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1176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2)" sheetId="78" state="hidden" r:id="rId24"/>
    <sheet name="收益法 (元)" sheetId="67" state="hidden" r:id="rId25"/>
    <sheet name="收益法（汇总）" sheetId="70" state="hidden" r:id="rId26"/>
    <sheet name="酒店收入计算" sheetId="66" state="hidden" r:id="rId27"/>
    <sheet name="收益法(3)" sheetId="79"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(2)'!$A$1:$AK$69</definedName>
    <definedName name="_xlnm.Print_Area" localSheetId="24">'收益法 (元)'!$A$1:$AK$69</definedName>
    <definedName name="_xlnm.Print_Area" localSheetId="27">'收益法(3)'!$A$1:$AK$69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B11" i="3" l="1"/>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D9" i="68"/>
  <c r="E9" i="68"/>
  <c r="C9" i="68"/>
  <c r="E3" i="6"/>
  <c r="E6" i="6"/>
  <c r="D10" i="68"/>
  <c r="E10" i="68"/>
  <c r="C10" i="68"/>
  <c r="I5" i="39"/>
  <c r="A6" i="1"/>
  <c r="A7" i="1"/>
  <c r="A8" i="1"/>
  <c r="G1" i="79"/>
  <c r="F6" i="79"/>
  <c r="F8" i="79"/>
  <c r="F21" i="6"/>
  <c r="E21" i="6"/>
  <c r="K8" i="1"/>
  <c r="F7" i="79"/>
  <c r="F9" i="79"/>
  <c r="C6" i="79"/>
  <c r="D3" i="4"/>
  <c r="C1" i="73"/>
  <c r="L1" i="73"/>
  <c r="F4" i="73"/>
  <c r="I1" i="73"/>
  <c r="B39" i="1"/>
  <c r="F11" i="79"/>
  <c r="C10" i="79"/>
  <c r="C5" i="79"/>
  <c r="B43" i="1"/>
  <c r="B41" i="1"/>
  <c r="F32" i="79"/>
  <c r="B2" i="1"/>
  <c r="C42" i="1"/>
  <c r="C32" i="79"/>
  <c r="F33" i="79"/>
  <c r="C33" i="79"/>
  <c r="B3" i="3"/>
  <c r="AY6" i="3"/>
  <c r="D3" i="6"/>
  <c r="D21" i="6"/>
  <c r="F28" i="6"/>
  <c r="G28" i="6"/>
  <c r="E28" i="6"/>
  <c r="F19" i="6"/>
  <c r="E19" i="6"/>
  <c r="F20" i="6"/>
  <c r="E20" i="6"/>
  <c r="G22" i="6"/>
  <c r="E22" i="6"/>
  <c r="E23" i="6"/>
  <c r="E24" i="6"/>
  <c r="E25" i="6"/>
  <c r="E26" i="6"/>
  <c r="E27" i="6"/>
  <c r="K21" i="6"/>
  <c r="F29" i="6"/>
  <c r="G29" i="6"/>
  <c r="E29" i="6"/>
  <c r="E32" i="6"/>
  <c r="L21" i="6"/>
  <c r="M21" i="6"/>
  <c r="I21" i="6"/>
  <c r="H21" i="6"/>
  <c r="R21" i="6"/>
  <c r="R8" i="1"/>
  <c r="F35" i="79"/>
  <c r="B52" i="1"/>
  <c r="F34" i="79"/>
  <c r="C34" i="79"/>
  <c r="C31" i="79"/>
  <c r="M8" i="1"/>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6" i="79"/>
  <c r="C36" i="79"/>
  <c r="F13" i="79"/>
  <c r="C13" i="79"/>
  <c r="F37" i="79"/>
  <c r="C37" i="79"/>
  <c r="F38" i="79"/>
  <c r="C38" i="79"/>
  <c r="C30" i="79"/>
  <c r="C39" i="79"/>
  <c r="F42" i="79"/>
  <c r="F40" i="79"/>
  <c r="D15" i="4"/>
  <c r="F8" i="1"/>
  <c r="L48" i="79"/>
  <c r="M47" i="79"/>
  <c r="B24" i="1"/>
  <c r="J50" i="79"/>
  <c r="J51" i="79"/>
  <c r="J53" i="79"/>
  <c r="F1" i="79"/>
  <c r="AE8" i="1"/>
  <c r="F41" i="79"/>
  <c r="C40" i="79"/>
  <c r="M6" i="79"/>
  <c r="M8" i="79"/>
  <c r="M7" i="79"/>
  <c r="M9" i="79"/>
  <c r="J6" i="79"/>
  <c r="M11" i="79"/>
  <c r="J10" i="79"/>
  <c r="J5" i="79"/>
  <c r="J26" i="79"/>
  <c r="J29" i="79"/>
  <c r="L46" i="79"/>
  <c r="B2" i="79"/>
  <c r="E8" i="12"/>
  <c r="B3" i="79"/>
  <c r="E6" i="12"/>
  <c r="L22" i="6"/>
  <c r="K22" i="6"/>
  <c r="M22" i="6"/>
  <c r="I22" i="6"/>
  <c r="H22" i="6"/>
  <c r="D22" i="6"/>
  <c r="R22" i="6"/>
  <c r="A9" i="1"/>
  <c r="R9" i="1"/>
  <c r="L19" i="6"/>
  <c r="K19" i="6"/>
  <c r="M19" i="6"/>
  <c r="I19" i="6"/>
  <c r="H19" i="6"/>
  <c r="D19" i="6"/>
  <c r="R19" i="6"/>
  <c r="R6" i="1"/>
  <c r="L20" i="6"/>
  <c r="K20" i="6"/>
  <c r="M20" i="6"/>
  <c r="I20" i="6"/>
  <c r="H20" i="6"/>
  <c r="D20" i="6"/>
  <c r="R20" i="6"/>
  <c r="R7" i="1"/>
  <c r="G1" i="15"/>
  <c r="G15" i="4"/>
  <c r="F9" i="1"/>
  <c r="L48" i="15"/>
  <c r="M47" i="15"/>
  <c r="J50" i="15"/>
  <c r="J51" i="15"/>
  <c r="J53" i="15"/>
  <c r="F1" i="15"/>
  <c r="AE9" i="1"/>
  <c r="AE6" i="1"/>
  <c r="AE7"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J59" i="79"/>
  <c r="F59" i="79"/>
  <c r="Q58" i="79"/>
  <c r="J57" i="79"/>
  <c r="J55" i="79"/>
  <c r="J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A10" i="1"/>
  <c r="A11" i="1"/>
  <c r="A12" i="1"/>
  <c r="A13" i="1"/>
  <c r="G1" i="78"/>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L48" i="78"/>
  <c r="M47" i="78"/>
  <c r="J50" i="78"/>
  <c r="J51" i="78"/>
  <c r="J53" i="78"/>
  <c r="F1" i="78"/>
  <c r="F41" i="78"/>
  <c r="C40" i="78"/>
  <c r="C83" i="78"/>
  <c r="C82" i="78"/>
  <c r="C76" i="78"/>
  <c r="C75" i="78"/>
  <c r="C80" i="78"/>
  <c r="C79" i="78"/>
  <c r="M6" i="78"/>
  <c r="M8" i="78"/>
  <c r="M7" i="78"/>
  <c r="M9" i="78"/>
  <c r="J6" i="78"/>
  <c r="M11" i="78"/>
  <c r="J10" i="78"/>
  <c r="J5" i="78"/>
  <c r="J26" i="78"/>
  <c r="J2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BB10" i="3"/>
  <c r="BC10" i="3"/>
  <c r="BD10" i="3"/>
  <c r="BE10" i="3"/>
  <c r="BF10" i="3"/>
  <c r="BG10" i="3"/>
  <c r="BH10" i="3"/>
  <c r="BI10" i="3"/>
  <c r="BJ10" i="3"/>
  <c r="BK10" i="3"/>
  <c r="E8" i="6"/>
  <c r="F27" i="6"/>
  <c r="F30" i="6"/>
  <c r="F31" i="6"/>
  <c r="D23" i="6"/>
  <c r="D24" i="6"/>
  <c r="D25" i="6"/>
  <c r="D26" i="6"/>
  <c r="D27" i="6"/>
  <c r="D28" i="6"/>
  <c r="D29" i="6"/>
  <c r="D30" i="6"/>
  <c r="D31" i="6"/>
  <c r="I6" i="6"/>
  <c r="C11" i="21"/>
  <c r="F11" i="21"/>
  <c r="AA11" i="21"/>
  <c r="B70" i="21"/>
  <c r="F12" i="21"/>
  <c r="AA12" i="21"/>
  <c r="B72" i="21"/>
  <c r="F13" i="21"/>
  <c r="AA13" i="21"/>
  <c r="B74" i="21"/>
  <c r="F14" i="21"/>
  <c r="AA14" i="21"/>
  <c r="D77" i="21"/>
  <c r="E77" i="21"/>
  <c r="F15" i="21"/>
  <c r="AA15" i="21"/>
  <c r="D79" i="21"/>
  <c r="E79" i="21"/>
  <c r="F17" i="21"/>
  <c r="AA17" i="21"/>
  <c r="D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6" i="12"/>
  <c r="D6" i="12"/>
  <c r="B2" i="49"/>
  <c r="B13" i="49"/>
  <c r="E4" i="4"/>
  <c r="B5" i="62"/>
  <c r="B7" i="49"/>
  <c r="C4" i="4"/>
  <c r="B4" i="62"/>
  <c r="F22" i="68"/>
  <c r="C19" i="68"/>
  <c r="C24" i="68"/>
  <c r="F21" i="68"/>
  <c r="B23" i="1"/>
  <c r="C26" i="68"/>
  <c r="D22" i="68"/>
  <c r="D19" i="68"/>
  <c r="D37" i="68"/>
  <c r="C40" i="68"/>
  <c r="C44" i="68"/>
  <c r="D41" i="68"/>
  <c r="F6" i="15"/>
  <c r="F8" i="15"/>
  <c r="K9" i="1"/>
  <c r="F7" i="15"/>
  <c r="F9" i="15"/>
  <c r="C6" i="15"/>
  <c r="F11" i="15"/>
  <c r="C10" i="15"/>
  <c r="C5" i="15"/>
  <c r="F32" i="15"/>
  <c r="C32" i="15"/>
  <c r="F33" i="15"/>
  <c r="C33" i="15"/>
  <c r="F35" i="15"/>
  <c r="F34" i="15"/>
  <c r="C34" i="15"/>
  <c r="C31"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F8" i="12"/>
  <c r="C7" i="12"/>
  <c r="C8" i="12"/>
  <c r="D7" i="12"/>
  <c r="D8" i="12"/>
  <c r="D3" i="21"/>
  <c r="B2" i="21"/>
  <c r="C4" i="12"/>
  <c r="K6" i="1"/>
  <c r="M6" i="1"/>
  <c r="O6" i="1"/>
  <c r="P6" i="1"/>
  <c r="K7" i="1"/>
  <c r="M7" i="1"/>
  <c r="O7" i="1"/>
  <c r="P7" i="1"/>
  <c r="O8" i="1"/>
  <c r="P8" i="1"/>
  <c r="O9" i="1"/>
  <c r="P9" i="1"/>
  <c r="K10" i="1"/>
  <c r="M10" i="1"/>
  <c r="O10" i="1"/>
  <c r="P10" i="1"/>
  <c r="K11" i="1"/>
  <c r="M11" i="1"/>
  <c r="O11" i="1"/>
  <c r="P11" i="1"/>
  <c r="K12" i="1"/>
  <c r="M12" i="1"/>
  <c r="O12" i="1"/>
  <c r="P12"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25" i="12"/>
  <c r="F31" i="12"/>
  <c r="C31" i="12"/>
  <c r="F24" i="12"/>
  <c r="C24" i="12"/>
  <c r="C26" i="12"/>
  <c r="D25" i="12"/>
  <c r="M18" i="9"/>
  <c r="B118" i="9"/>
  <c r="K4" i="4"/>
  <c r="B46" i="48"/>
  <c r="I46" i="39"/>
  <c r="I38" i="39"/>
  <c r="I7" i="39"/>
  <c r="E46" i="39"/>
  <c r="G46" i="39"/>
  <c r="G38" i="39"/>
  <c r="E38" i="39"/>
  <c r="C38" i="39"/>
  <c r="C10" i="39"/>
  <c r="G7" i="39"/>
  <c r="E7" i="39"/>
  <c r="G5" i="39"/>
  <c r="E5" i="39"/>
  <c r="D6" i="73"/>
  <c r="B3" i="15"/>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R46" i="39"/>
  <c r="D89" i="39"/>
  <c r="E89" i="39"/>
  <c r="F15" i="39"/>
  <c r="AA15" i="39"/>
  <c r="H7" i="39"/>
  <c r="AB7" i="39"/>
  <c r="T46" i="39"/>
  <c r="H15" i="39"/>
  <c r="AB15" i="39"/>
  <c r="J7" i="39"/>
  <c r="AC7" i="39"/>
  <c r="V46" i="39"/>
  <c r="J15" i="39"/>
  <c r="AC1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R10" i="1"/>
  <c r="AE10" i="1"/>
  <c r="J57" i="15"/>
  <c r="J55" i="15"/>
  <c r="J58" i="15"/>
  <c r="J59" i="15"/>
  <c r="C76" i="15"/>
  <c r="L51" i="15"/>
  <c r="L57" i="15"/>
  <c r="D9" i="1"/>
  <c r="L47" i="15"/>
  <c r="L58" i="15"/>
  <c r="M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C21"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F30" i="68"/>
  <c r="C30" i="68"/>
  <c r="F30" i="11"/>
  <c r="C48" i="11"/>
  <c r="F28" i="67"/>
  <c r="C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3"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E48" i="21"/>
  <c r="E52" i="21"/>
  <c r="F52" i="21"/>
  <c r="R26" i="6"/>
  <c r="R23" i="6"/>
  <c r="R24" i="6"/>
  <c r="D16" i="6"/>
  <c r="A7" i="51"/>
  <c r="B7" i="72"/>
  <c r="C4" i="52"/>
  <c r="B45" i="72"/>
  <c r="A10" i="51"/>
  <c r="B9" i="7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C102" i="9"/>
  <c r="C21" i="9"/>
  <c r="F11" i="12"/>
  <c r="C14" i="12"/>
  <c r="C16" i="12"/>
  <c r="C21" i="12"/>
  <c r="C22" i="12"/>
  <c r="C23" i="12"/>
  <c r="C27" i="12"/>
  <c r="C25" i="12"/>
  <c r="F28" i="12"/>
  <c r="C30" i="12"/>
  <c r="C28" i="12"/>
  <c r="C29" i="12"/>
  <c r="D28" i="12"/>
  <c r="C32" i="12"/>
  <c r="B2" i="12"/>
  <c r="D19" i="9"/>
  <c r="D22" i="9"/>
  <c r="B3" i="68"/>
  <c r="C20" i="9"/>
  <c r="C103" i="9"/>
  <c r="B3" i="12"/>
  <c r="D20" i="9"/>
  <c r="G20" i="9"/>
  <c r="G19" i="9"/>
  <c r="G21" i="9"/>
  <c r="G47" i="39"/>
  <c r="I47" i="39"/>
  <c r="G52" i="39"/>
  <c r="H52" i="39"/>
  <c r="G51" i="39"/>
  <c r="H51" i="39"/>
  <c r="I51" i="39"/>
  <c r="J51" i="39"/>
  <c r="C47" i="39"/>
  <c r="E47" i="39"/>
  <c r="E51" i="39"/>
  <c r="F51" i="39"/>
  <c r="E52" i="39"/>
  <c r="F52" i="39"/>
  <c r="I52" i="39"/>
  <c r="J52" i="39"/>
  <c r="B3" i="39"/>
  <c r="C32" i="9"/>
  <c r="C57" i="68"/>
  <c r="D35" i="9"/>
  <c r="C35" i="9"/>
  <c r="F118" i="9"/>
  <c r="G118" i="9"/>
  <c r="G4" i="52"/>
  <c r="B52" i="72"/>
  <c r="C34" i="9"/>
  <c r="D118" i="9"/>
  <c r="D119" i="9"/>
  <c r="D5" i="52"/>
  <c r="B49" i="72"/>
  <c r="H118" i="9"/>
  <c r="C104" i="9"/>
  <c r="H101"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M49" i="9"/>
  <c r="P57" i="9"/>
  <c r="N58" i="9"/>
  <c r="N59" i="9"/>
  <c r="N61" i="9"/>
  <c r="N60" i="9"/>
  <c r="L63" i="9"/>
  <c r="M63" i="9"/>
  <c r="L64" i="9"/>
  <c r="M64" i="9"/>
  <c r="L65" i="9"/>
  <c r="M65" i="9"/>
  <c r="L66" i="9"/>
  <c r="M66" i="9"/>
  <c r="L67" i="9"/>
  <c r="M67" i="9"/>
  <c r="L68" i="9"/>
  <c r="M68" i="9"/>
  <c r="M69" i="9"/>
  <c r="N69" i="9"/>
  <c r="C56" i="68"/>
  <c r="D34"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<sst xmlns="http://schemas.openxmlformats.org/spreadsheetml/2006/main" count="8447" uniqueCount="3252">
  <si>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</si>
  <si>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</si>
  <si>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</si>
  <si>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</si>
  <si>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</si>
  <si>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</si>
  <si>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</si>
  <si>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</si>
  <si>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</si>
  <si>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</si>
  <si>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</si>
  <si>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</si>
  <si>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</si>
  <si>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</si>
  <si>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</si>
  <si>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</si>
  <si>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</si>
  <si>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</si>
  <si>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</si>
  <si>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</si>
  <si>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</si>
  <si>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</si>
  <si>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</si>
  <si>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</si>
  <si>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</si>
  <si>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</si>
  <si>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</si>
  <si>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</si>
  <si>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</si>
  <si>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</si>
  <si>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</si>
  <si>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</si>
  <si>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</si>
  <si>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</si>
  <si>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</si>
  <si>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</si>
  <si>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</si>
  <si>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</si>
  <si>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</si>
  <si>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</si>
  <si>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</si>
  <si>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</si>
  <si>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</si>
  <si>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</si>
  <si>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</si>
  <si>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</si>
  <si>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</si>
  <si>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</si>
  <si>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</si>
  <si>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</si>
  <si>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</si>
  <si>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</si>
  <si>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</si>
  <si>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</si>
  <si>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</si>
  <si>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</si>
  <si>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</si>
  <si>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</si>
  <si>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</si>
  <si>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</si>
  <si>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</si>
  <si>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</si>
  <si>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</si>
  <si>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</si>
  <si>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</si>
  <si>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</si>
  <si>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</si>
  <si>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</si>
  <si>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</si>
  <si>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</si>
  <si>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</si>
  <si>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</si>
  <si>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</si>
  <si>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</si>
  <si>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</si>
  <si>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</si>
  <si>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</si>
  <si>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</si>
  <si>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</si>
  <si>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</si>
  <si>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</si>
  <si>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</si>
  <si>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</si>
  <si>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</si>
  <si>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</si>
  <si>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</si>
  <si>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</si>
  <si>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</si>
  <si>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</si>
  <si>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</si>
  <si>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</si>
  <si>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</si>
  <si>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</si>
  <si>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</si>
  <si>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</si>
  <si>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</si>
  <si>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</si>
  <si>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</si>
  <si>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</si>
  <si>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</si>
  <si>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</si>
  <si>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</si>
  <si>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</si>
  <si>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</si>
  <si>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</si>
  <si>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</si>
  <si>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</si>
  <si>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</si>
  <si>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</si>
  <si>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</si>
  <si>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</si>
  <si>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</si>
  <si>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</si>
  <si>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</si>
  <si>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</si>
  <si>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</si>
  <si>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</si>
  <si>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</si>
  <si>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</si>
  <si>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</si>
  <si>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</si>
  <si>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</si>
  <si>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</si>
  <si>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</si>
  <si>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</si>
  <si>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</si>
  <si>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</si>
  <si>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</si>
  <si>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</si>
  <si>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</si>
  <si>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</si>
  <si>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</si>
  <si>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</si>
  <si>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</si>
  <si>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</si>
  <si>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</si>
  <si>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</si>
  <si>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</si>
  <si>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</si>
  <si>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</si>
  <si>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</si>
  <si>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</si>
  <si>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</si>
  <si>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</si>
  <si>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</si>
  <si>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</si>
  <si>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</si>
  <si>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</si>
  <si>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</si>
  <si>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</si>
  <si>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</si>
  <si>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</si>
  <si>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</si>
  <si>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</si>
  <si>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</si>
  <si>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</si>
  <si>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</si>
  <si>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</si>
  <si>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</si>
  <si>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</si>
  <si>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</si>
  <si>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</si>
  <si>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</si>
  <si>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</si>
  <si>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</si>
  <si>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</si>
  <si>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</si>
  <si>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</si>
  <si>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</si>
  <si>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</si>
  <si>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</si>
  <si>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</si>
  <si>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</si>
  <si>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</si>
  <si>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</si>
  <si>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</si>
  <si>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</si>
  <si>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</si>
  <si>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</si>
  <si>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</si>
  <si>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</si>
  <si>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</si>
  <si>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</si>
  <si>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</si>
  <si>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</si>
  <si>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</si>
  <si>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</si>
  <si>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</si>
  <si>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</si>
  <si>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</si>
  <si>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</si>
  <si>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</si>
  <si>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</si>
  <si>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</si>
  <si>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</si>
  <si>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</si>
  <si>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</si>
  <si>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</si>
  <si>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</si>
  <si>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</si>
  <si>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</si>
  <si>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</si>
  <si>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</si>
  <si>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</si>
  <si>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</si>
  <si>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</si>
  <si>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</si>
  <si>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</si>
  <si>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</si>
  <si>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</si>
  <si>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</si>
  <si>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</si>
  <si>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</si>
  <si>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</si>
  <si>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</si>
  <si>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</si>
  <si>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</si>
  <si>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</si>
  <si>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</si>
  <si>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</si>
  <si>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</si>
  <si>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</si>
  <si>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</si>
  <si>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</si>
  <si>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</si>
  <si>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</si>
  <si>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</si>
  <si>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</si>
  <si>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</si>
  <si>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</si>
  <si>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</si>
  <si>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</si>
  <si>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</si>
  <si>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</si>
  <si>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</si>
  <si>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</si>
  <si>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</si>
  <si>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</si>
  <si>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</si>
  <si>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</si>
  <si>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</si>
  <si>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</si>
  <si>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</si>
  <si>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</si>
  <si>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</si>
  <si>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</si>
  <si>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</si>
  <si>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</si>
  <si>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</si>
  <si>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</si>
  <si>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</si>
  <si>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</si>
  <si>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</si>
  <si>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</si>
  <si>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</si>
  <si>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</si>
  <si>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</si>
  <si>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</si>
  <si>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</si>
  <si>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</si>
  <si>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</si>
  <si>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</si>
  <si>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</si>
  <si>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</si>
  <si>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</si>
  <si>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</si>
  <si>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</si>
  <si>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</si>
  <si>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</si>
  <si>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</si>
  <si>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</si>
  <si>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</si>
  <si>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</si>
  <si>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</si>
  <si>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</si>
  <si>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</si>
  <si>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</si>
  <si>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</si>
  <si>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</si>
  <si>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</si>
  <si>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</si>
  <si>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</si>
  <si>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</si>
  <si>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</si>
  <si>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</si>
  <si>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</si>
  <si>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</si>
  <si>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</si>
  <si>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</si>
  <si>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</si>
  <si>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</si>
  <si>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</si>
  <si>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</si>
  <si>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</si>
  <si>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</si>
  <si>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</si>
  <si>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</si>
  <si>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</si>
  <si>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</si>
  <si>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</si>
  <si>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</si>
  <si>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</si>
  <si>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</si>
  <si>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</si>
  <si>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</si>
  <si>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</si>
  <si>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</si>
  <si>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</si>
  <si>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</si>
  <si>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</si>
  <si>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</si>
  <si>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</si>
  <si>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</si>
  <si>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</si>
  <si>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</si>
  <si>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</si>
  <si>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</si>
  <si>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</si>
  <si>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</si>
  <si>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</si>
  <si>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</si>
  <si>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</si>
  <si>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</si>
  <si>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</si>
  <si>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</si>
  <si>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</si>
  <si>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</si>
  <si>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</si>
  <si>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</si>
  <si>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</si>
  <si>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</si>
  <si>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</si>
  <si>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</si>
  <si>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</si>
  <si>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</si>
  <si>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</si>
  <si>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</si>
  <si>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</si>
  <si>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</si>
  <si>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</si>
  <si>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</si>
  <si>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</si>
  <si>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</si>
  <si>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</si>
  <si>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</si>
  <si>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</si>
  <si>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</si>
  <si>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</si>
  <si>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</si>
  <si>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</si>
  <si>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</si>
  <si>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</si>
  <si>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</si>
  <si>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</si>
  <si>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</si>
  <si>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</si>
  <si>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</si>
  <si>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</si>
  <si>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</si>
  <si>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</si>
  <si>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</si>
  <si>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</si>
  <si>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</si>
  <si>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</si>
  <si>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</si>
  <si>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</si>
  <si>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</si>
  <si>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</si>
  <si>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</si>
  <si>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</si>
  <si>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</si>
  <si>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</si>
  <si>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</si>
  <si>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</si>
  <si>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</si>
  <si>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</si>
  <si>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</si>
  <si>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</si>
  <si>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</si>
  <si>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</si>
  <si>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</si>
  <si>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</si>
  <si>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</si>
  <si>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</si>
  <si>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</si>
  <si>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</si>
  <si>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</si>
  <si>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</si>
  <si>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</si>
  <si>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</si>
  <si>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</si>
  <si>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</si>
  <si>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</si>
  <si>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</si>
  <si>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</si>
  <si>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</si>
  <si>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</si>
  <si>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</si>
  <si>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</si>
  <si>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</si>
  <si>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</si>
  <si>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</si>
  <si>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</si>
  <si>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</si>
  <si>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</si>
  <si>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</si>
  <si>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</si>
  <si>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</si>
  <si>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</si>
  <si>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</si>
  <si>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</si>
  <si>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</si>
  <si>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</si>
  <si>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</si>
  <si>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</si>
  <si>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</si>
  <si>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</si>
  <si>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</si>
  <si>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</si>
  <si>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</si>
  <si>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</si>
  <si>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</si>
  <si>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</si>
  <si>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</si>
  <si>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</si>
  <si>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</si>
  <si>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</si>
  <si>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</si>
  <si>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</si>
  <si>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</si>
  <si>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</si>
  <si>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</si>
  <si>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</si>
  <si>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</si>
  <si>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</si>
  <si>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</si>
  <si>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</si>
  <si>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</si>
  <si>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</si>
  <si>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</si>
  <si>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</si>
  <si>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</si>
  <si>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</si>
  <si>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</si>
  <si>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</si>
  <si>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</si>
  <si>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</si>
  <si>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</si>
  <si>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</si>
  <si>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</si>
  <si>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</si>
  <si>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</si>
  <si>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</si>
  <si>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</si>
  <si>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</si>
  <si>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</si>
  <si>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</si>
  <si>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</si>
  <si>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</si>
  <si>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</si>
  <si>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</si>
  <si>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</si>
  <si>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</si>
  <si>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</si>
  <si>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</si>
  <si>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</si>
  <si>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</si>
  <si>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</si>
  <si>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</si>
  <si>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</si>
  <si>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</si>
  <si>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</si>
  <si>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</si>
  <si>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</si>
  <si>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</si>
  <si>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</si>
  <si>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</si>
  <si>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</si>
  <si>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</si>
  <si>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</si>
  <si>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</si>
  <si>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</si>
  <si>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</si>
  <si>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</si>
  <si>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</si>
  <si>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</si>
  <si>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</si>
  <si>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</si>
  <si>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</si>
  <si>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</si>
  <si>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</si>
  <si>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</si>
  <si>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</si>
  <si>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</si>
  <si>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</si>
  <si>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</si>
  <si>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</si>
  <si>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</si>
  <si>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</si>
  <si>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</si>
  <si>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</si>
  <si>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</si>
  <si>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</si>
  <si>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</si>
  <si>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</si>
  <si>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</si>
  <si>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</si>
  <si>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</si>
  <si>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</si>
  <si>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</si>
  <si>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</si>
  <si>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</si>
  <si>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</si>
  <si>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</si>
  <si>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</si>
  <si>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</si>
  <si>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</si>
  <si>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</si>
  <si>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</si>
  <si>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</si>
  <si>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</si>
  <si>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</si>
  <si>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</si>
  <si>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</si>
  <si>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</si>
  <si>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</si>
  <si>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</si>
  <si>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</si>
  <si>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</si>
  <si>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</si>
  <si>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</si>
  <si>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</si>
  <si>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</si>
  <si>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</si>
  <si>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</si>
  <si>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</si>
  <si>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</si>
  <si>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</si>
  <si>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</si>
  <si>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</si>
  <si>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</si>
  <si>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</si>
  <si>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</si>
  <si>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</si>
  <si>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</si>
  <si>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</si>
  <si>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</si>
  <si>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</si>
  <si>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</si>
  <si>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</si>
  <si>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</si>
  <si>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</si>
  <si>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</si>
  <si>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</si>
  <si>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</si>
  <si>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</si>
  <si>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</si>
  <si>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</si>
  <si>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</si>
  <si>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</si>
  <si>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</si>
  <si>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</si>
  <si>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</si>
  <si>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</si>
  <si>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</si>
  <si>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</si>
  <si>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</si>
  <si>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</si>
  <si>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</si>
  <si>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</si>
  <si>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</si>
  <si>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</si>
  <si>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</si>
  <si>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</si>
  <si>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</si>
  <si>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</si>
  <si>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</si>
  <si>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</si>
  <si>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</si>
  <si>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</si>
  <si>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</si>
  <si>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</si>
  <si>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</si>
  <si>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</si>
  <si>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</si>
  <si>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</si>
  <si>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</si>
  <si>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</si>
  <si>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</si>
  <si>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</si>
  <si>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</si>
  <si>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</si>
  <si>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</si>
  <si>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</si>
  <si>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</si>
  <si>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</si>
  <si>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</si>
  <si>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</si>
  <si>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</si>
  <si>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</si>
  <si>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</si>
  <si>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</si>
  <si>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</si>
  <si>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</si>
  <si>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</si>
  <si>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</si>
  <si>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</si>
  <si>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</si>
  <si>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</si>
  <si>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</si>
  <si>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</si>
  <si>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</si>
  <si>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</si>
  <si>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</si>
  <si>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</si>
  <si>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</si>
  <si>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</si>
  <si>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</si>
  <si>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</si>
  <si>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</si>
  <si>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</si>
  <si>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</si>
  <si>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</si>
  <si>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</si>
  <si>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</si>
  <si>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</si>
  <si>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</si>
  <si>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</si>
  <si>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</si>
  <si>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</si>
  <si>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</si>
  <si>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</si>
  <si>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</si>
  <si>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</si>
  <si>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</si>
  <si>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</si>
  <si>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</si>
  <si>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</si>
  <si>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</si>
  <si>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</si>
  <si>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</si>
  <si>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</si>
  <si>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</si>
  <si>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</si>
  <si>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</si>
  <si>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</si>
  <si>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</si>
  <si>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</si>
  <si>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</si>
  <si>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</si>
  <si>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</si>
  <si>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</si>
  <si>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</si>
  <si>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</si>
  <si>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</si>
  <si>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</si>
  <si>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</si>
  <si>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</si>
  <si>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</si>
  <si>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</si>
  <si>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</si>
  <si>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</si>
  <si>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</si>
  <si>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</si>
  <si>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</si>
  <si>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</si>
  <si>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</si>
  <si>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</si>
  <si>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</si>
  <si>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</si>
  <si>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</si>
  <si>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</si>
  <si>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</si>
  <si>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</si>
  <si>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</si>
  <si>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</si>
  <si>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</si>
  <si>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</si>
  <si>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</si>
  <si>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</si>
  <si>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</si>
  <si>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</si>
  <si>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</si>
  <si>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</si>
  <si>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</si>
  <si>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</si>
  <si>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</si>
  <si>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</si>
  <si>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</si>
  <si>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</si>
  <si>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</si>
  <si>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</si>
  <si>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</si>
  <si>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</si>
  <si>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</si>
  <si>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</si>
  <si>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</si>
  <si>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</si>
  <si>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</si>
  <si>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</si>
  <si>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</si>
  <si>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</si>
  <si>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</si>
  <si>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</si>
  <si>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</si>
  <si>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</si>
  <si>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</si>
  <si>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</si>
  <si>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</si>
  <si>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</si>
  <si>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</si>
  <si>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</si>
  <si>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</si>
  <si>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</si>
  <si>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</si>
  <si>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</si>
  <si>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</si>
  <si>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</si>
  <si>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</si>
  <si>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</si>
  <si>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</si>
  <si>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</si>
  <si>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</si>
  <si>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</si>
  <si>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</si>
  <si>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</si>
  <si>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</si>
  <si>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</si>
  <si>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</si>
  <si>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</si>
  <si>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</si>
  <si>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</si>
  <si>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</si>
  <si>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</si>
  <si>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</si>
  <si>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</si>
  <si>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</si>
  <si>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</si>
  <si>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</si>
  <si>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</si>
  <si>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</si>
  <si>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</si>
  <si>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</si>
  <si>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</si>
  <si>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</si>
  <si>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</si>
  <si>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</si>
  <si>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</si>
  <si>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</si>
  <si>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</si>
  <si>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</si>
  <si>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</si>
  <si>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</si>
  <si>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</si>
  <si>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</si>
  <si>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</si>
  <si>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</si>
  <si>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</si>
  <si>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</si>
  <si>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</si>
  <si>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</si>
  <si>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</si>
  <si>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</si>
  <si>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</si>
  <si>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</si>
  <si>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</si>
  <si>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</si>
  <si>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</si>
  <si>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</si>
  <si>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</si>
  <si>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</si>
  <si>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</si>
  <si>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</si>
  <si>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</si>
  <si>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</si>
  <si>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</si>
  <si>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</si>
  <si>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</si>
  <si>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</si>
  <si>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</si>
  <si>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</si>
  <si>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</si>
  <si>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</si>
  <si>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</si>
  <si>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</si>
  <si>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</si>
  <si>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</si>
  <si>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</si>
  <si>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</si>
  <si>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</si>
  <si>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</si>
  <si>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</si>
  <si>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</si>
  <si>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</si>
  <si>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</si>
  <si>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</si>
  <si>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</si>
  <si>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</si>
  <si>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</si>
  <si>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</si>
  <si>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</si>
  <si>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</si>
  <si>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</si>
  <si>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</si>
  <si>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</si>
  <si>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</si>
  <si>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</si>
  <si>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</si>
  <si>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</si>
  <si>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</si>
  <si>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</si>
  <si>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</si>
  <si>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</si>
  <si>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</si>
  <si>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</si>
  <si>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</si>
  <si>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</si>
  <si>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</si>
  <si>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</si>
  <si>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</si>
  <si>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</si>
  <si>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</si>
  <si>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</si>
  <si>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</si>
  <si>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</si>
  <si>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</si>
  <si>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</si>
  <si>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</si>
  <si>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</si>
  <si>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</si>
  <si>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</si>
  <si>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</si>
  <si>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</si>
  <si>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</si>
  <si>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</si>
  <si>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</si>
  <si>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</si>
  <si>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</si>
  <si>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</si>
  <si>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</si>
  <si>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</si>
  <si>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</si>
  <si>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</si>
  <si>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</si>
  <si>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</si>
  <si>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</si>
  <si>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</si>
  <si>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</si>
  <si>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</si>
  <si>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</si>
  <si>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</si>
  <si>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</si>
  <si>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</si>
  <si>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</si>
  <si>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</si>
  <si>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</si>
  <si>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</si>
  <si>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</si>
  <si>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</si>
  <si>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</si>
  <si>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</si>
  <si>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</si>
  <si>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</si>
  <si>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</si>
  <si>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</si>
  <si>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</si>
  <si>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</si>
  <si>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</si>
  <si>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</si>
  <si>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</si>
  <si>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</si>
  <si>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</si>
  <si>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</si>
  <si>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</si>
  <si>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</si>
  <si>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</si>
  <si>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</si>
  <si>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</si>
  <si>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</si>
  <si>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</si>
  <si>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</si>
  <si>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</si>
  <si>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</si>
  <si>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</si>
  <si>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</si>
  <si>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</si>
  <si>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</si>
  <si>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</si>
  <si>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</si>
  <si>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</si>
  <si>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</si>
  <si>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</si>
  <si>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</si>
  <si>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</si>
  <si>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</si>
  <si>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</si>
  <si>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</si>
  <si>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</si>
  <si>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</si>
  <si>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</si>
  <si>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</si>
  <si>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</si>
  <si>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</si>
  <si>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</si>
  <si>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</si>
  <si>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</si>
  <si>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</si>
  <si>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</si>
  <si>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</si>
  <si>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</si>
  <si>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</si>
  <si>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</si>
  <si>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</si>
  <si>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</si>
  <si>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</si>
  <si>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</si>
  <si>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</si>
  <si>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</si>
  <si>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</si>
  <si>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</si>
  <si>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</si>
  <si>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</si>
  <si>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</si>
  <si>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</si>
  <si>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</si>
  <si>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</si>
  <si>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</si>
  <si>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</si>
  <si>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</si>
  <si>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</si>
  <si>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</si>
  <si>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</si>
  <si>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</si>
  <si>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</si>
  <si>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</si>
  <si>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</si>
  <si>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</si>
  <si>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</si>
  <si>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</si>
  <si>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</si>
  <si>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</si>
  <si>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</si>
  <si>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</si>
  <si>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</si>
  <si>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</si>
  <si>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</si>
  <si>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</si>
  <si>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</si>
  <si>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</si>
  <si>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</si>
  <si>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</si>
  <si>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</si>
  <si>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</si>
  <si>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</si>
  <si>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</si>
  <si>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</si>
  <si>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</si>
  <si>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</si>
  <si>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</si>
  <si>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</si>
  <si>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</si>
  <si>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</si>
  <si>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</si>
  <si>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</si>
  <si>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</si>
  <si>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</si>
  <si>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</si>
  <si>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</si>
  <si>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</si>
  <si>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</si>
  <si>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</si>
  <si>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</si>
  <si>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</si>
  <si>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</si>
  <si>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</si>
  <si>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</si>
  <si>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</si>
  <si>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</si>
  <si>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</si>
  <si>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</si>
  <si>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</si>
  <si>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</si>
  <si>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</si>
  <si>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</si>
  <si>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</si>
  <si>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</si>
  <si>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</si>
  <si>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</si>
  <si>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</si>
  <si>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</si>
  <si>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</si>
  <si>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</si>
  <si>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</si>
  <si>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</si>
  <si>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</si>
  <si>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</si>
  <si>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</si>
  <si>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</si>
  <si>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</si>
  <si>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</si>
  <si>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</si>
  <si>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</si>
  <si>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</si>
  <si>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</si>
  <si>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</si>
  <si>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</si>
  <si>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</si>
  <si>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</si>
  <si>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</si>
  <si>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</si>
  <si>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</si>
  <si>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</si>
  <si>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</si>
  <si>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</si>
  <si>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</si>
  <si>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</si>
  <si>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</si>
  <si>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</si>
  <si>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</si>
  <si>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</si>
  <si>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</si>
  <si>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</si>
  <si>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</si>
  <si>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</si>
  <si>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</si>
  <si>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</si>
  <si>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</si>
  <si>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</si>
  <si>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</si>
  <si>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</si>
  <si>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</si>
  <si>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</si>
  <si>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</si>
  <si>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</si>
  <si>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</si>
  <si>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</si>
  <si>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</si>
  <si>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</si>
  <si>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</si>
  <si>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</si>
  <si>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</si>
  <si>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</si>
  <si>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</si>
  <si>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</si>
  <si>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</si>
  <si>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</si>
  <si>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</si>
  <si>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</si>
  <si>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</si>
  <si>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</si>
  <si>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</si>
  <si>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</si>
  <si>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</si>
  <si>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</si>
  <si>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</si>
  <si>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</si>
  <si>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</si>
  <si>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</si>
  <si>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</si>
  <si>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</si>
  <si>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</si>
  <si>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</si>
  <si>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</si>
  <si>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</si>
  <si>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</si>
  <si>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</si>
  <si>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</si>
  <si>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</si>
  <si>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</si>
  <si>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</si>
  <si>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</si>
  <si>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</si>
  <si>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</si>
  <si>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</si>
  <si>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</si>
  <si>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</si>
  <si>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</si>
  <si>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</si>
  <si>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</si>
  <si>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</si>
  <si>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</si>
  <si>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</si>
  <si>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</si>
  <si>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</si>
  <si>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</si>
  <si>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</si>
  <si>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</si>
  <si>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</si>
  <si>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</si>
  <si>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</si>
  <si>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</si>
  <si>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</si>
  <si>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</si>
  <si>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</si>
  <si>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</si>
  <si>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</si>
  <si>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</si>
  <si>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</si>
  <si>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</si>
  <si>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</si>
  <si>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</si>
  <si>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</si>
  <si>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</si>
  <si>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</si>
  <si>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</si>
  <si>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</si>
  <si>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</si>
  <si>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</si>
  <si>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</si>
  <si>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</si>
  <si>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</si>
  <si>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</si>
  <si>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</si>
  <si>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</si>
  <si>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</si>
  <si>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</si>
  <si>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</si>
  <si>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</si>
  <si>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</si>
  <si>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</si>
  <si>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</si>
  <si>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</si>
  <si>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</si>
  <si>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</si>
  <si>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</si>
  <si>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</si>
  <si>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</si>
  <si>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</si>
  <si>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</si>
  <si>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</si>
  <si>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</si>
  <si>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</si>
  <si>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</si>
  <si>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</si>
  <si>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</si>
  <si>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</si>
  <si>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</si>
  <si>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</si>
  <si>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</si>
  <si>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</si>
  <si>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</si>
  <si>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</si>
  <si>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</si>
  <si>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</si>
  <si>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</si>
  <si>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</si>
  <si>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</si>
  <si>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</si>
  <si>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</si>
  <si>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</si>
  <si>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</si>
  <si>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</si>
  <si>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</si>
  <si>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</si>
  <si>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</si>
  <si>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</si>
  <si>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</si>
  <si>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</si>
  <si>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</si>
  <si>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</si>
  <si>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</si>
  <si>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</si>
  <si>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</si>
  <si>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</si>
  <si>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</si>
  <si>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</si>
  <si>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</si>
  <si>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</si>
  <si>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</si>
  <si>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</si>
  <si>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</si>
  <si>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</si>
  <si>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</si>
  <si>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</si>
  <si>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</si>
  <si>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</si>
  <si>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</si>
  <si>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</si>
  <si>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</si>
  <si>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</si>
  <si>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</si>
  <si>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</si>
  <si>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</si>
  <si>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</si>
  <si>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</si>
  <si>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</si>
  <si>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</si>
  <si>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</si>
  <si>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</si>
  <si>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</si>
  <si>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</si>
  <si>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</si>
  <si>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</si>
  <si>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</si>
  <si>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</si>
  <si>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</si>
  <si>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</si>
  <si>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</si>
  <si>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</si>
  <si>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</si>
  <si>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</si>
  <si>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</si>
  <si>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</si>
  <si>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</si>
  <si>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</si>
  <si>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</si>
  <si>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</si>
  <si>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</si>
  <si>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</si>
  <si>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</si>
  <si>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</si>
  <si>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</si>
  <si>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</si>
  <si>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</si>
  <si>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</si>
  <si>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</si>
  <si>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</si>
  <si>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</si>
  <si>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</si>
  <si>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</si>
  <si>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</si>
  <si>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</si>
  <si>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</si>
  <si>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</si>
  <si>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</si>
  <si>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</si>
  <si>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</si>
  <si>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</si>
  <si>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</si>
  <si>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</si>
  <si>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</si>
  <si>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</si>
  <si>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</si>
  <si>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</si>
  <si>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</si>
  <si>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</si>
  <si>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</si>
  <si>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</si>
  <si>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</si>
  <si>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</si>
  <si>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</si>
  <si>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</si>
  <si>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</si>
  <si>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</si>
  <si>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</si>
  <si>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</si>
  <si>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</si>
  <si>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</si>
  <si>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</si>
  <si>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</si>
  <si>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</si>
  <si>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</si>
  <si>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</si>
  <si>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</si>
  <si>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</si>
  <si>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</si>
  <si>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</si>
  <si>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</si>
  <si>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</si>
  <si>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</si>
  <si>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</si>
  <si>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</si>
  <si>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</si>
  <si>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</si>
  <si>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</si>
  <si>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</si>
  <si>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</si>
  <si>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</si>
  <si>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</si>
  <si>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</si>
  <si>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</si>
  <si>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</si>
  <si>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</si>
  <si>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</si>
  <si>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</si>
  <si>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</si>
  <si>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</si>
  <si>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</si>
  <si>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</si>
  <si>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</si>
  <si>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</si>
  <si>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</si>
  <si>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</si>
  <si>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</si>
  <si>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</si>
  <si>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</si>
  <si>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</si>
  <si>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</si>
  <si>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</si>
  <si>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</si>
  <si>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</si>
  <si>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</si>
  <si>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</si>
  <si>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</si>
  <si>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</si>
  <si>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</si>
  <si>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</si>
  <si>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</si>
  <si>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</si>
  <si>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</si>
  <si>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</si>
  <si>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</si>
  <si>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</si>
  <si>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</si>
  <si>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</si>
  <si>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</si>
  <si>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</si>
  <si>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</si>
  <si>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</si>
  <si>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</si>
  <si>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</si>
  <si>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</si>
  <si>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</si>
  <si>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</si>
  <si>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</si>
  <si>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</si>
  <si>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</si>
  <si>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</si>
  <si>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</si>
  <si>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</si>
  <si>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</si>
  <si>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</si>
  <si>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</si>
  <si>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</si>
  <si>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</si>
  <si>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</si>
  <si>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</si>
  <si>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</si>
  <si>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</si>
  <si>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</si>
  <si>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</si>
  <si>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</si>
  <si>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</si>
  <si>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</si>
  <si>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</si>
  <si>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</si>
  <si>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</si>
  <si>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</si>
  <si>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</si>
  <si>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</si>
  <si>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</si>
  <si>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</si>
  <si>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</si>
  <si>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</si>
  <si>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</si>
  <si>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</si>
  <si>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</si>
  <si>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</si>
  <si>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</si>
  <si>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</si>
  <si>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</si>
  <si>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</si>
  <si>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</si>
  <si>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</si>
  <si>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</si>
  <si>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</si>
  <si>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</si>
  <si>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</si>
  <si>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</si>
  <si>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</si>
  <si>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</si>
  <si>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</si>
  <si>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</si>
  <si>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</si>
  <si>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</si>
  <si>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</si>
  <si>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</si>
  <si>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</si>
  <si>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</si>
  <si>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</si>
  <si>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</si>
  <si>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</si>
  <si>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</si>
  <si>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</si>
  <si>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</si>
  <si>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</si>
  <si>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</si>
  <si>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</si>
  <si>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</si>
  <si>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</si>
  <si>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</si>
  <si>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</si>
  <si>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</si>
  <si>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</si>
  <si>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</si>
  <si>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</si>
  <si>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</si>
  <si>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</si>
  <si>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</si>
  <si>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</si>
  <si>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</si>
  <si>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</si>
  <si>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</si>
  <si>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</si>
  <si>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</si>
  <si>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</si>
  <si>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</si>
  <si>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</si>
  <si>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</si>
  <si>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</si>
  <si>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</si>
  <si>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</si>
  <si>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</si>
  <si>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</si>
  <si>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</si>
  <si>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</si>
  <si>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</si>
  <si>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</si>
  <si>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</si>
  <si>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</si>
  <si>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</si>
  <si>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</si>
  <si>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</si>
  <si>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</si>
  <si>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</si>
  <si>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</si>
  <si>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</si>
  <si>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</si>
  <si>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</si>
  <si>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</si>
  <si>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</si>
  <si>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</si>
  <si>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</si>
  <si>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</si>
  <si>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</si>
  <si>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</si>
  <si>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</si>
  <si>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</si>
  <si>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</si>
  <si>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</si>
  <si>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</si>
  <si>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</si>
  <si>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</si>
  <si>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</si>
  <si>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</si>
  <si>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</si>
  <si>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</si>
  <si>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</si>
  <si>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</si>
  <si>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</si>
  <si>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</si>
  <si>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</si>
  <si>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</si>
  <si>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</si>
  <si>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</si>
  <si>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</si>
  <si>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</si>
  <si>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</si>
  <si>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</si>
  <si>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</si>
  <si>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</si>
  <si>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</si>
  <si>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</si>
  <si>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</si>
  <si>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</si>
  <si>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</si>
  <si>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</si>
  <si>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</si>
  <si>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</si>
  <si>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</si>
  <si>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</si>
  <si>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</si>
  <si>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</si>
  <si>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</si>
  <si>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</si>
  <si>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</si>
  <si>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</si>
  <si>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</si>
  <si>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</si>
  <si>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</si>
  <si>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</si>
  <si>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</si>
  <si>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</si>
  <si>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</si>
  <si>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</si>
  <si>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</si>
  <si>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</si>
  <si>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</si>
  <si>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</si>
  <si>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</si>
  <si>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</si>
  <si>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</si>
  <si>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</si>
  <si>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</si>
  <si>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</si>
  <si>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</si>
  <si>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</si>
  <si>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</si>
  <si>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</si>
  <si>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</si>
  <si>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</si>
  <si>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</si>
  <si>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</si>
  <si>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</si>
  <si>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</si>
  <si>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</si>
  <si>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</si>
  <si>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</si>
  <si>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</si>
  <si>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</si>
  <si>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</si>
  <si>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</si>
  <si>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</si>
  <si>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</si>
  <si>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</si>
  <si>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</si>
  <si>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</si>
  <si>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</si>
  <si>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</si>
  <si>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</si>
  <si>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</si>
  <si>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</si>
  <si>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</si>
  <si>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</si>
  <si>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</si>
  <si>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</si>
  <si>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</si>
  <si>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</si>
  <si>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</si>
  <si>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</si>
  <si>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</si>
  <si>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</si>
  <si>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</si>
  <si>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</si>
  <si>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</si>
  <si>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</si>
  <si>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</si>
  <si>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</si>
  <si>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</si>
  <si>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</si>
  <si>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</si>
  <si>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</si>
  <si>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</si>
  <si>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</si>
  <si>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</si>
  <si>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</si>
  <si>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</si>
  <si>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</si>
  <si>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</si>
  <si>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</si>
  <si>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</si>
  <si>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</si>
  <si>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</si>
  <si>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</si>
  <si>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</si>
  <si>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</si>
  <si>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</si>
  <si>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</si>
  <si>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</si>
  <si>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</si>
  <si>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</si>
  <si>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</si>
  <si>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</si>
  <si>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</si>
  <si>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</si>
  <si>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</si>
  <si>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</si>
  <si>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</si>
  <si>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</si>
  <si>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</si>
  <si>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</si>
  <si>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</si>
  <si>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</si>
  <si>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</si>
  <si>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</si>
  <si>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</si>
  <si>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</si>
  <si>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</si>
  <si>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</si>
  <si>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</si>
  <si>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</si>
  <si>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</si>
  <si>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</si>
  <si>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</si>
  <si>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</si>
  <si>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</si>
  <si>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</si>
  <si>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</si>
  <si>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</si>
  <si>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</si>
  <si>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</si>
  <si>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</si>
  <si>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</si>
  <si>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</si>
  <si>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</si>
  <si>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</si>
  <si>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</si>
  <si>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</si>
  <si>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</si>
  <si>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</si>
  <si>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</si>
  <si>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</si>
  <si>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</si>
  <si>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</si>
  <si>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</si>
  <si>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</si>
  <si>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</si>
  <si>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</si>
  <si>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</si>
  <si>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</si>
  <si>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</si>
  <si>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</si>
  <si>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</si>
  <si>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</si>
  <si>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</si>
  <si>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</si>
  <si>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</si>
  <si>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</si>
  <si>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</si>
  <si>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</si>
  <si>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</si>
  <si>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</si>
  <si>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</si>
  <si>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</si>
  <si>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</si>
  <si>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</si>
  <si>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</si>
  <si>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</si>
  <si>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</si>
  <si>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</si>
  <si>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</si>
  <si>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</si>
  <si>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</si>
  <si>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</si>
  <si>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</si>
  <si>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</si>
  <si>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</si>
  <si>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</si>
  <si>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</si>
  <si>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</si>
  <si>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</si>
  <si>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</si>
  <si>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</si>
  <si>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</si>
  <si>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</si>
  <si>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</si>
  <si>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</si>
  <si>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</si>
  <si>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</si>
  <si>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</si>
  <si>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</si>
  <si>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</si>
  <si>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</si>
  <si>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</si>
  <si>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</si>
  <si>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</si>
  <si>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</si>
  <si>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</si>
  <si>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</si>
  <si>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</si>
  <si>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</si>
  <si>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</si>
  <si>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</si>
  <si>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</si>
  <si>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</si>
  <si>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</si>
  <si>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</si>
  <si>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</si>
  <si>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</si>
  <si>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</si>
  <si>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</si>
  <si>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</si>
  <si>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</si>
  <si>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</si>
  <si>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</si>
  <si>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</si>
  <si>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</si>
  <si>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</si>
  <si>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</si>
  <si>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</si>
  <si>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</si>
  <si>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</si>
  <si>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</si>
  <si>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</si>
  <si>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</si>
  <si>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</si>
  <si>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</si>
  <si>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</si>
  <si>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</si>
  <si>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</si>
  <si>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</si>
  <si>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</si>
  <si>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</si>
  <si>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</si>
  <si>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</si>
  <si>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</si>
  <si>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</si>
  <si>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</si>
  <si>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</si>
  <si>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</si>
  <si>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</si>
  <si>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</si>
  <si>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</si>
  <si>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</si>
  <si>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</si>
  <si>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</si>
  <si>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</si>
  <si>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</si>
  <si>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</si>
  <si>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</si>
  <si>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</si>
  <si>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</si>
  <si>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</si>
  <si>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</si>
  <si>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</si>
  <si>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</si>
  <si>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</si>
  <si>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</si>
  <si>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</si>
  <si>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</si>
  <si>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</si>
  <si>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</si>
  <si>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</si>
  <si>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</si>
  <si>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</si>
  <si>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</si>
  <si>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</si>
  <si>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</si>
  <si>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</si>
  <si>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</si>
  <si>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</si>
  <si>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</si>
  <si>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</si>
  <si>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</si>
  <si>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</si>
  <si>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</si>
  <si>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</si>
  <si>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</si>
  <si>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</si>
  <si>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</si>
  <si>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</si>
  <si>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</si>
  <si>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</si>
  <si>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</si>
  <si>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</si>
  <si>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</si>
  <si>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</si>
  <si>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</si>
  <si>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</si>
  <si>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</si>
  <si>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</si>
  <si>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</si>
  <si>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</si>
  <si>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</si>
  <si>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</si>
  <si>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</si>
  <si>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</si>
  <si>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</si>
  <si>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</si>
  <si>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</si>
  <si>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</si>
  <si>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</si>
  <si>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</si>
  <si>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</si>
  <si>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</si>
  <si>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</si>
  <si>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</si>
  <si>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</si>
  <si>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</si>
  <si>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</si>
  <si>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</si>
  <si>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</si>
  <si>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</si>
  <si>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</si>
  <si>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</si>
  <si>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</si>
  <si>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</si>
  <si>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</si>
  <si>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</si>
  <si>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</si>
  <si>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</si>
  <si>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</si>
  <si>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</si>
  <si>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</si>
  <si>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</si>
  <si>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</si>
  <si>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</si>
  <si>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</si>
  <si>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</si>
  <si>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</si>
  <si>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</si>
  <si>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</si>
  <si>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</si>
  <si>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</si>
  <si>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</si>
  <si>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</si>
  <si>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</si>
  <si>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</si>
  <si>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</si>
  <si>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</si>
  <si>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</si>
  <si>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</si>
  <si>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</si>
  <si>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</si>
  <si>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</si>
  <si>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</si>
  <si>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</si>
  <si>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</si>
  <si>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</si>
  <si>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</si>
  <si>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</si>
  <si>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</si>
  <si>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</si>
  <si>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</si>
  <si>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</si>
  <si>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</si>
  <si>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</si>
  <si>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</si>
  <si>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</si>
  <si>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</si>
  <si>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</si>
  <si>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</si>
  <si>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</si>
  <si>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</si>
  <si>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</si>
  <si>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</si>
  <si>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</si>
  <si>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</si>
  <si>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</si>
  <si>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</si>
  <si>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</si>
  <si>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</si>
  <si>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</si>
  <si>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</si>
  <si>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</si>
  <si>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</si>
  <si>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</si>
  <si>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</si>
  <si>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</si>
  <si>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</si>
  <si>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</si>
  <si>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</si>
  <si>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</si>
  <si>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</si>
  <si>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</si>
  <si>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</si>
  <si>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</si>
  <si>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</si>
  <si>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</si>
  <si>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</si>
  <si>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</si>
  <si>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</si>
  <si>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</si>
  <si>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</si>
  <si>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</si>
  <si>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</si>
  <si>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</si>
  <si>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</si>
  <si>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</si>
  <si>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</si>
  <si>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</si>
  <si>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</si>
  <si>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</si>
  <si>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</si>
  <si>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</si>
  <si>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</si>
  <si>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</si>
  <si>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</si>
  <si>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</si>
  <si>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</si>
  <si>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</si>
  <si>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</si>
  <si>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</si>
  <si>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</si>
  <si>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</si>
  <si>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</si>
  <si>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</si>
  <si>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</si>
  <si>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</si>
  <si>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</si>
  <si>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</si>
  <si>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</si>
  <si>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</si>
  <si>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</si>
  <si>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</si>
  <si>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</si>
  <si>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</si>
  <si>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</si>
  <si>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</si>
  <si>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</si>
  <si>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</si>
  <si>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</si>
  <si>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</si>
  <si>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</si>
  <si>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</si>
  <si>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</si>
  <si>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</si>
  <si>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</si>
  <si>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</si>
  <si>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</si>
  <si>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</si>
  <si>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</si>
  <si>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</si>
  <si>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</si>
  <si>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</si>
  <si>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</si>
  <si>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</si>
  <si>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</si>
  <si>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</si>
  <si>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</si>
  <si>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</si>
  <si>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</si>
  <si>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</si>
  <si>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</si>
  <si>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</si>
  <si>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</si>
  <si>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</si>
  <si>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</si>
  <si>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</si>
  <si>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</si>
  <si>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</si>
  <si>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</si>
  <si>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</si>
  <si>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</si>
  <si>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</si>
  <si>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</si>
  <si>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</si>
  <si>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</si>
  <si>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</si>
  <si>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</si>
  <si>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</si>
  <si>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</si>
  <si>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</si>
  <si>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</si>
  <si>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</si>
  <si>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</si>
  <si>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</si>
  <si>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</si>
  <si>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</si>
  <si>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</si>
  <si>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</si>
  <si>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</si>
  <si>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</si>
  <si>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</si>
  <si>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</si>
  <si>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</si>
  <si>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</si>
  <si>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</si>
  <si>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</si>
  <si>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</si>
  <si>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</si>
  <si>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</si>
  <si>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</si>
  <si>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</si>
  <si>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</si>
  <si>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</si>
  <si>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</si>
  <si>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</si>
  <si>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</si>
  <si>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</si>
  <si>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</si>
  <si>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</si>
  <si>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</si>
  <si>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</si>
  <si>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</si>
  <si>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</si>
  <si>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</si>
  <si>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</si>
  <si>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</si>
  <si>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</si>
  <si>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</si>
  <si>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</si>
  <si>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</si>
  <si>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</si>
  <si>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</si>
  <si>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</si>
  <si>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</si>
  <si>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</si>
  <si>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</si>
  <si>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</si>
  <si>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</si>
  <si>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</si>
  <si>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</si>
  <si>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</si>
  <si>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</si>
  <si>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</si>
  <si>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</si>
  <si>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</si>
  <si>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</si>
  <si>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</si>
  <si>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</si>
  <si>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</si>
  <si>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</si>
  <si>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</si>
  <si>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</si>
  <si>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</si>
  <si>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</si>
  <si>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</si>
  <si>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</si>
  <si>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</si>
  <si>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</si>
  <si>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</si>
  <si>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</si>
  <si>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</si>
  <si>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</si>
  <si>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</si>
  <si>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</si>
  <si>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</si>
  <si>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</si>
  <si>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</si>
  <si>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</si>
  <si>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</si>
  <si>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</si>
  <si>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</si>
  <si>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</si>
  <si>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</si>
  <si>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</si>
  <si>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</si>
  <si>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</si>
  <si>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</si>
  <si>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</si>
  <si>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</si>
  <si>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</si>
  <si>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</si>
  <si>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</si>
  <si>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</si>
  <si>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</si>
  <si>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</si>
  <si>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</si>
  <si>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</si>
  <si>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</si>
  <si>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</si>
  <si>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</si>
  <si>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</si>
  <si>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</si>
  <si>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</si>
  <si>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</si>
  <si>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</si>
  <si>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</si>
  <si>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</si>
  <si>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</si>
  <si>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</si>
  <si>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</si>
  <si>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</si>
  <si>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</si>
  <si>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</si>
  <si>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</si>
  <si>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</si>
  <si>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</si>
  <si>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</si>
  <si>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</si>
  <si>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</si>
  <si>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</si>
  <si>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</si>
  <si>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</si>
  <si>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</si>
  <si>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</si>
  <si>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</si>
  <si>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</si>
  <si>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</si>
  <si>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</si>
  <si>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</si>
  <si>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</si>
  <si>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</si>
  <si>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</si>
  <si>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</si>
  <si>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</si>
  <si>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</si>
  <si>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</si>
  <si>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</si>
  <si>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</si>
  <si>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</si>
  <si>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</si>
  <si>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</si>
  <si>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</si>
  <si>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</si>
  <si>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</si>
  <si>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</si>
  <si>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</si>
  <si>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</si>
  <si>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</si>
  <si>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</si>
  <si>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</si>
  <si>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</si>
  <si>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</si>
  <si>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</si>
  <si>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</si>
  <si>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</si>
  <si>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</si>
  <si>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</si>
  <si>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</si>
  <si>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</si>
  <si>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</si>
  <si>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</si>
  <si>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</si>
  <si>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</si>
  <si>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</si>
  <si>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</si>
  <si>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</si>
  <si>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</si>
  <si>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</si>
  <si>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</si>
  <si>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</si>
  <si>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</si>
  <si>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</si>
  <si>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</si>
  <si>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</si>
  <si>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</si>
  <si>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</si>
  <si>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</si>
  <si>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</si>
  <si>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</si>
  <si>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</si>
  <si>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</si>
  <si>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</si>
  <si>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</si>
  <si>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</si>
  <si>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</si>
  <si>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</si>
  <si>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</si>
  <si>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</si>
  <si>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</si>
  <si>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</si>
  <si>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</si>
  <si>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</si>
  <si>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</si>
  <si>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</si>
  <si>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</si>
  <si>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</si>
  <si>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</si>
  <si>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</si>
  <si>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</si>
  <si>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</si>
  <si>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</si>
  <si>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</si>
  <si>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</si>
  <si>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</si>
  <si>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</si>
  <si>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</si>
  <si>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</si>
  <si>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</si>
  <si>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</si>
  <si>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</si>
  <si>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</si>
  <si>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</si>
  <si>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</si>
  <si>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</si>
  <si>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</si>
  <si>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</si>
  <si>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</si>
  <si>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</si>
  <si>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</si>
  <si>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</si>
  <si>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</si>
  <si>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</si>
  <si>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</si>
  <si>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</si>
  <si>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</si>
  <si>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</si>
  <si>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</si>
  <si>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</si>
  <si>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</si>
  <si>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</si>
  <si>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</si>
  <si>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</si>
  <si>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</si>
  <si>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</si>
  <si>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</si>
  <si>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</si>
  <si>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</si>
  <si>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</si>
  <si>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</si>
  <si>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</si>
  <si>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</si>
  <si>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</si>
  <si>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</si>
  <si>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</si>
  <si>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</si>
  <si>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</si>
  <si>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</si>
  <si>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</si>
  <si>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</si>
  <si>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</si>
  <si>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</si>
  <si>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</si>
  <si>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</si>
  <si>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</si>
  <si>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</si>
  <si>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</si>
  <si>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</si>
  <si>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</si>
  <si>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</si>
  <si>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</si>
  <si>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</si>
  <si>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</si>
  <si>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</si>
  <si>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</si>
  <si>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</si>
  <si>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</si>
  <si>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</si>
  <si>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</si>
  <si>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</si>
  <si>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</si>
  <si>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</si>
  <si>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</si>
  <si>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</si>
  <si>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</si>
  <si>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</si>
  <si>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</si>
  <si>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</si>
  <si>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</si>
  <si>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</si>
  <si>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</si>
  <si>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</si>
  <si>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</si>
  <si>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</si>
  <si>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</si>
  <si>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</si>
  <si>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</si>
  <si>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</si>
  <si>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</si>
  <si>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</si>
  <si>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</si>
  <si>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</si>
  <si>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</si>
  <si>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</si>
  <si>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</si>
  <si>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</si>
  <si>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</si>
  <si>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</si>
  <si>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</si>
  <si>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</si>
  <si>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</si>
  <si>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</si>
  <si>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</si>
  <si>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</si>
  <si>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</si>
  <si>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</si>
  <si>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</si>
  <si>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</si>
  <si>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</si>
  <si>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</si>
  <si>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</si>
  <si>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</si>
  <si>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</si>
  <si>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</si>
  <si>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</si>
  <si>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</si>
  <si>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</si>
  <si>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</si>
  <si>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</si>
  <si>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</si>
  <si>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</si>
  <si>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</si>
  <si>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</si>
  <si>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</si>
  <si>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</si>
  <si>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</si>
  <si>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</si>
  <si>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</si>
  <si>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</si>
  <si>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</si>
  <si>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</si>
  <si>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</si>
  <si>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</si>
  <si>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</si>
  <si>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</si>
  <si>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</si>
  <si>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</si>
  <si>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</si>
  <si>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</si>
  <si>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</si>
  <si>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</si>
  <si>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</si>
  <si>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</si>
  <si>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</si>
  <si>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</si>
  <si>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</si>
  <si>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</si>
  <si>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</si>
  <si>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</si>
  <si>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</si>
  <si>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</si>
  <si>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</si>
  <si>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</si>
  <si>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</si>
  <si>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</si>
  <si>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</si>
  <si>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</si>
  <si>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</si>
  <si>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</si>
  <si>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</si>
  <si>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</si>
  <si>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</si>
  <si>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</si>
  <si>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</si>
  <si>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</si>
  <si>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</si>
  <si>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</si>
  <si>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</si>
  <si>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</si>
  <si>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</si>
  <si>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</si>
  <si>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</si>
  <si>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</si>
  <si>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</si>
  <si>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</si>
  <si>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</si>
  <si>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</si>
  <si>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</si>
  <si>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</si>
  <si>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</si>
  <si>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</si>
  <si>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</si>
  <si>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</si>
  <si>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</si>
  <si>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</si>
  <si>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</si>
  <si>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</si>
  <si>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</si>
  <si>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</si>
  <si>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</si>
  <si>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</si>
  <si>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</si>
  <si>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</si>
  <si>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</si>
  <si>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</si>
  <si>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</si>
  <si>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</si>
  <si>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</si>
  <si>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</si>
  <si>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</si>
  <si>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</si>
  <si>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</si>
  <si>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</si>
  <si>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</si>
  <si>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</si>
  <si>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</si>
  <si>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</si>
  <si>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</si>
  <si>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</si>
  <si>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</si>
  <si>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</si>
  <si>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</si>
  <si>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</si>
  <si>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</si>
  <si>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</si>
  <si>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</si>
  <si>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</si>
  <si>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</si>
  <si>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</si>
  <si>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</si>
  <si>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</si>
  <si>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</si>
  <si>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</si>
  <si>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</si>
  <si>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</si>
  <si>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</si>
  <si>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</si>
  <si>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</si>
  <si>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</si>
  <si>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</si>
  <si>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</si>
  <si>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</si>
  <si>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</si>
  <si>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</si>
  <si>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</si>
  <si>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</si>
  <si>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</si>
  <si>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</si>
  <si>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</si>
  <si>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</si>
  <si>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</si>
  <si>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</si>
  <si>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</si>
  <si>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</si>
  <si>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</si>
  <si>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</si>
  <si>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</si>
  <si>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</si>
  <si>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</si>
  <si>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</si>
  <si>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</si>
  <si>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</si>
  <si>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</si>
  <si>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</si>
  <si>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</si>
  <si>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</si>
  <si>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</si>
  <si>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</si>
  <si>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</si>
  <si>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</si>
  <si>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</si>
  <si>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</si>
  <si>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</si>
  <si>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</si>
  <si>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</si>
  <si>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</si>
  <si>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</si>
  <si>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</si>
  <si>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</si>
  <si>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</si>
  <si>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</si>
  <si>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</si>
  <si>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</si>
  <si>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</si>
  <si>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</si>
  <si>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</si>
  <si>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</si>
  <si>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</si>
  <si>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</si>
  <si>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</si>
  <si>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</si>
  <si>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</si>
  <si>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</si>
  <si>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</si>
  <si>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</si>
  <si>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</si>
  <si>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</si>
  <si>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</si>
  <si>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</si>
  <si>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</si>
  <si>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</si>
  <si>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</si>
  <si>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</si>
  <si>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</si>
  <si>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</si>
  <si>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</si>
  <si>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</si>
  <si>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</si>
  <si>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</si>
  <si>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</si>
  <si>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</si>
  <si>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</si>
  <si>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</si>
  <si>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</si>
  <si>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</si>
  <si>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</si>
  <si>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</si>
  <si>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</si>
  <si>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</si>
  <si>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</si>
  <si>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</si>
  <si>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</si>
  <si>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</si>
  <si>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</si>
  <si>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</si>
  <si>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</si>
  <si>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</si>
  <si>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</si>
  <si>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</si>
  <si>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</si>
  <si>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</si>
  <si>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</si>
  <si>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</si>
  <si>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</si>
  <si>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</si>
  <si>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</si>
  <si>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</si>
  <si>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</si>
  <si>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</si>
  <si>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</si>
  <si>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</si>
  <si>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</si>
  <si>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</si>
  <si>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</si>
  <si>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</si>
  <si>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</si>
  <si>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</si>
  <si>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</si>
  <si>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</si>
  <si>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</si>
  <si>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</si>
  <si>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</si>
  <si>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</si>
  <si>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</si>
  <si>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</si>
  <si>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</si>
  <si>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</si>
  <si>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</si>
  <si>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</si>
  <si>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</si>
  <si>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</si>
  <si>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</si>
  <si>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</si>
  <si>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</si>
  <si>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</si>
  <si>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</si>
  <si>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</si>
  <si>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</si>
  <si>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</si>
  <si>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</si>
  <si>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</si>
  <si>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</si>
  <si>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</si>
  <si>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</si>
  <si>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</si>
  <si>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</si>
  <si>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</si>
  <si>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</si>
  <si>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</si>
  <si>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</si>
  <si>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</si>
  <si>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</si>
  <si>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</si>
  <si>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</si>
  <si>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</si>
  <si>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</si>
  <si>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</si>
  <si>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</si>
  <si>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</si>
  <si>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</si>
  <si>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</si>
  <si>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</si>
  <si>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</si>
  <si>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</si>
  <si>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</si>
  <si>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</si>
  <si>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</si>
  <si>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</si>
  <si>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</si>
  <si>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</si>
  <si>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</si>
  <si>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</si>
  <si>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</si>
  <si>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</si>
  <si>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</si>
  <si>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</si>
  <si>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</si>
  <si>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</si>
  <si>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</si>
  <si>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</si>
  <si>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</si>
  <si>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</si>
  <si>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</si>
  <si>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</si>
  <si>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</si>
  <si>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</si>
  <si>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</si>
  <si>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</si>
  <si>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</si>
  <si>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</si>
  <si>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</si>
  <si>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</si>
  <si>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</si>
  <si>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</si>
  <si>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</si>
  <si>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</si>
  <si>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</si>
  <si>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</si>
  <si>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</si>
  <si>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</si>
  <si>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</si>
  <si>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</si>
  <si>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</si>
  <si>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</si>
  <si>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</si>
  <si>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</si>
  <si>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</si>
  <si>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</si>
  <si>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</si>
  <si>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</si>
  <si>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</si>
  <si>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</si>
  <si>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</si>
  <si>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</si>
  <si>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</si>
  <si>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</si>
  <si>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</si>
  <si>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</si>
  <si>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</si>
  <si>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</si>
  <si>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</si>
  <si>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</si>
  <si>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</si>
  <si>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</si>
  <si>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</si>
  <si>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</si>
  <si>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</si>
  <si>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</si>
  <si>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</si>
  <si>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</si>
  <si>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</si>
  <si>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</si>
  <si>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</si>
  <si>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</si>
  <si>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</si>
  <si>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</si>
  <si>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</si>
  <si>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</si>
  <si>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</si>
  <si>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</si>
  <si>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</si>
  <si>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</si>
  <si>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</si>
  <si>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</si>
  <si>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</si>
  <si>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</si>
  <si>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</si>
  <si>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</si>
  <si>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</si>
  <si>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</si>
  <si>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</si>
  <si>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</si>
  <si>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</si>
  <si>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</si>
  <si>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</si>
  <si>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</si>
  <si>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</si>
  <si>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</si>
  <si>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</si>
  <si>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</si>
  <si>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</si>
  <si>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</si>
  <si>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</si>
  <si>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</si>
  <si>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</si>
  <si>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</si>
  <si>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</si>
  <si>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</si>
  <si>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</si>
  <si>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</si>
  <si>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</si>
  <si>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</si>
  <si>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</si>
  <si>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</si>
  <si>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</si>
  <si>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</si>
  <si>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</si>
  <si>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</si>
  <si>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</si>
  <si>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</si>
  <si>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</si>
  <si>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</si>
  <si>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</si>
  <si>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</si>
  <si>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</si>
  <si>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</si>
  <si>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</si>
  <si>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</si>
  <si>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</si>
  <si>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</si>
  <si>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</si>
  <si>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</si>
  <si>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</si>
  <si>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</si>
  <si>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</si>
  <si>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</si>
  <si>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</si>
  <si>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</si>
  <si>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</si>
  <si>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</si>
  <si>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</si>
  <si>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</si>
  <si>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</si>
  <si>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</si>
  <si>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</si>
  <si>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</si>
  <si>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</si>
  <si>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</si>
  <si>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</si>
  <si>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</si>
  <si>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</si>
  <si>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</si>
  <si>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</si>
  <si>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</si>
  <si>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</si>
  <si>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</si>
  <si>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</si>
  <si>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</si>
  <si>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</si>
  <si>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</si>
  <si>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</si>
  <si>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</si>
  <si>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</si>
  <si>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</si>
  <si>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</si>
  <si>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</si>
  <si>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</si>
  <si>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</si>
  <si>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</si>
  <si>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</si>
  <si>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</si>
  <si>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</si>
  <si>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</si>
  <si>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</si>
  <si>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</si>
  <si>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</si>
  <si>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</si>
  <si>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</si>
  <si>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</si>
  <si>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</si>
  <si>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</si>
  <si>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</si>
  <si>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</si>
  <si>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</si>
  <si>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</si>
  <si>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</si>
  <si>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</si>
  <si>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</si>
  <si>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</si>
  <si>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</si>
  <si>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</si>
  <si>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</si>
  <si>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</si>
  <si>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</si>
  <si>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</si>
  <si>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</si>
  <si>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</si>
  <si>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</si>
  <si>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</si>
  <si>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</si>
  <si>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</si>
  <si>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</si>
  <si>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</si>
  <si>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</si>
  <si>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</si>
  <si>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</si>
  <si>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</si>
  <si>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</si>
  <si>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</si>
  <si>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</si>
  <si>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</si>
  <si>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</si>
  <si>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</si>
  <si>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</si>
  <si>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</si>
  <si>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</si>
  <si>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</si>
  <si>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</si>
  <si>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</si>
  <si>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</si>
  <si>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</si>
  <si>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</si>
  <si>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</si>
  <si>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</si>
  <si>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</si>
  <si>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</si>
  <si>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</si>
  <si>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</si>
  <si>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</si>
  <si>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</si>
  <si>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</si>
  <si>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</si>
  <si>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</si>
  <si>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</si>
  <si>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</si>
  <si>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</si>
  <si>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</si>
  <si>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</si>
  <si>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</si>
  <si>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</si>
  <si>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</si>
  <si>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</si>
  <si>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</si>
  <si>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</si>
  <si>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</si>
  <si>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</si>
  <si>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</si>
  <si>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</si>
  <si>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</si>
  <si>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</si>
  <si>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</si>
  <si>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</si>
  <si>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</si>
  <si>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</si>
  <si>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</si>
  <si>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</si>
  <si>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</si>
  <si>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</si>
  <si>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</si>
  <si>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</si>
  <si>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</si>
  <si>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</si>
  <si>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</si>
  <si>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</si>
  <si>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</si>
  <si>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</si>
  <si>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</si>
  <si>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</si>
  <si>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</si>
  <si>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</si>
  <si>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</si>
  <si>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</si>
  <si>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</si>
  <si>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</si>
  <si>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</si>
  <si>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</si>
  <si>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</si>
  <si>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</si>
  <si>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</si>
  <si>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</si>
  <si>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</si>
  <si>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</si>
  <si>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</si>
  <si>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</si>
  <si>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</si>
  <si>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</si>
  <si>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</si>
  <si>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</si>
  <si>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</si>
  <si>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</si>
  <si>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</si>
  <si>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</si>
  <si>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</si>
  <si>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</si>
  <si>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</si>
  <si>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</si>
  <si>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</si>
  <si>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</si>
  <si>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</si>
  <si>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</si>
  <si>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</si>
  <si>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</si>
  <si>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</si>
  <si>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</si>
  <si>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</si>
  <si>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</si>
  <si>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</si>
  <si>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</si>
  <si>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</si>
  <si>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</si>
  <si>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</si>
  <si>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</si>
  <si>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</si>
  <si>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</si>
  <si>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</si>
  <si>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</si>
  <si>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</si>
  <si>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</si>
  <si>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</si>
  <si>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</si>
  <si>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</si>
  <si>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</si>
  <si>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</si>
  <si>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</si>
  <si>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</si>
  <si>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</si>
  <si>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</si>
  <si>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</si>
  <si>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</si>
  <si>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</si>
  <si>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</si>
  <si>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</si>
  <si>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</si>
  <si>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</si>
  <si>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</si>
  <si>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</si>
  <si>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</si>
  <si>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</si>
  <si>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</si>
  <si>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</si>
  <si>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</si>
  <si>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</si>
  <si>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</si>
  <si>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</si>
  <si>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</si>
  <si>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</si>
  <si>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</si>
  <si>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</si>
  <si>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</si>
  <si>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</si>
  <si>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</si>
  <si>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</si>
  <si>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</si>
  <si>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</si>
  <si>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</si>
  <si>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</si>
  <si>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</si>
  <si>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</si>
  <si>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</si>
  <si>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</si>
  <si>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</si>
  <si>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</si>
  <si>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</si>
  <si>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</si>
  <si>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</si>
  <si>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</si>
  <si>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</si>
  <si>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</si>
  <si>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</si>
  <si>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</si>
  <si>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</si>
  <si>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</si>
  <si>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</si>
  <si>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</si>
  <si>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</si>
  <si>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</si>
  <si>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</si>
  <si>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</si>
  <si>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</si>
  <si>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</si>
  <si>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</si>
  <si>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</si>
  <si>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</si>
  <si>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</si>
  <si>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</si>
  <si>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</si>
  <si>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</si>
  <si>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</si>
  <si>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</si>
  <si>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</si>
  <si>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</si>
  <si>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</si>
  <si>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</si>
  <si>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</si>
  <si>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</si>
  <si>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</si>
  <si>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</si>
  <si>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</si>
  <si>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</si>
  <si>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</si>
  <si>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</si>
  <si>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</si>
  <si>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</si>
  <si>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</si>
  <si>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</si>
  <si>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</si>
  <si>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</si>
  <si>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</si>
  <si>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</si>
  <si>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</si>
  <si>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</si>
  <si>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</si>
  <si>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</si>
  <si>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</si>
  <si>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</si>
  <si>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</si>
  <si>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</si>
  <si>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</si>
  <si>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</si>
  <si>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</si>
  <si>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</si>
  <si>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</si>
  <si>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</si>
  <si>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</si>
  <si>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</si>
  <si>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</si>
  <si>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</si>
  <si>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</si>
  <si>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</si>
  <si>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</si>
  <si>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</si>
  <si>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</si>
  <si>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</si>
  <si>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</si>
  <si>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</si>
  <si>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</si>
  <si>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</si>
  <si>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</si>
  <si>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</si>
  <si>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</si>
  <si>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</si>
  <si>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</si>
  <si>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</si>
  <si>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</si>
  <si>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</si>
  <si>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</si>
  <si>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</si>
  <si>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</si>
  <si>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</si>
  <si>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</si>
  <si>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</si>
  <si>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</si>
  <si>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</si>
  <si>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</si>
  <si>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</si>
  <si>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</si>
  <si>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</si>
  <si>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</si>
  <si>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</si>
  <si>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</si>
  <si>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</si>
  <si>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</si>
  <si>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</si>
  <si>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</si>
  <si>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</si>
  <si>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</si>
  <si>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</si>
  <si>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</si>
  <si>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</si>
  <si>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</si>
  <si>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</si>
  <si>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</si>
  <si>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</si>
  <si>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</si>
  <si>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</si>
  <si>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</si>
  <si>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</si>
  <si>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</si>
  <si>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</si>
  <si>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</si>
  <si>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</si>
  <si>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</si>
  <si>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</si>
  <si>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</si>
  <si>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</si>
  <si>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</si>
  <si>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</si>
  <si>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</si>
  <si>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</si>
  <si>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</si>
  <si>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</si>
  <si>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</si>
  <si>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</si>
  <si>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</si>
  <si>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</si>
  <si>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</si>
  <si>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</si>
  <si>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</si>
  <si>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</si>
  <si>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</si>
  <si>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</si>
  <si>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</si>
  <si>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</si>
  <si>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</si>
  <si>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</si>
  <si>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</si>
  <si>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</si>
  <si>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</si>
  <si>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</si>
  <si>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</si>
  <si>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</si>
  <si>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</si>
  <si>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</si>
  <si>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</si>
  <si>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</si>
  <si>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</si>
  <si>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</si>
  <si>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</si>
  <si>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</si>
  <si>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</si>
  <si>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</si>
  <si>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</si>
  <si>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</si>
  <si>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</si>
  <si>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</si>
  <si>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</si>
  <si>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</si>
  <si>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</si>
  <si>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</si>
  <si>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</si>
  <si>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</si>
  <si>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</si>
  <si>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</si>
  <si>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</si>
  <si>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</si>
  <si>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</si>
  <si>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</si>
  <si>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</si>
  <si>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</si>
  <si>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</si>
  <si>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</si>
  <si>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是</t>
  </si>
  <si>
    <t>地上</t>
  </si>
  <si>
    <t>住宅</t>
  </si>
  <si>
    <t>15#</t>
    <phoneticPr fontId="3" type="noConversion"/>
  </si>
  <si>
    <t>洋房</t>
  </si>
  <si>
    <t>33#</t>
    <phoneticPr fontId="3" type="noConversion"/>
  </si>
  <si>
    <t>联排</t>
  </si>
  <si>
    <t>38-40#</t>
    <phoneticPr fontId="3" type="noConversion"/>
  </si>
  <si>
    <r>
      <t>1</t>
    </r>
    <r>
      <rPr>
        <sz val="10"/>
        <color indexed="8"/>
        <rFont val="宋体"/>
        <family val="3"/>
        <charset val="134"/>
      </rPr>
      <t>、</t>
    </r>
    <r>
      <rPr>
        <sz val="10"/>
        <color indexed="8"/>
        <rFont val="Arial"/>
        <family val="2"/>
      </rPr>
      <t>2#</t>
    </r>
    <phoneticPr fontId="3" type="noConversion"/>
  </si>
  <si>
    <t>3-5#</t>
    <phoneticPr fontId="3" type="noConversion"/>
  </si>
  <si>
    <t>41#</t>
    <phoneticPr fontId="3" type="noConversion"/>
  </si>
  <si>
    <r>
      <t>44</t>
    </r>
    <r>
      <rPr>
        <sz val="11"/>
        <color indexed="8"/>
        <rFont val="宋体"/>
        <family val="3"/>
        <charset val="134"/>
      </rPr>
      <t>、</t>
    </r>
    <r>
      <rPr>
        <sz val="11"/>
        <color indexed="8"/>
        <rFont val="Arial"/>
        <family val="2"/>
      </rPr>
      <t>45#</t>
    </r>
    <phoneticPr fontId="3" type="noConversion"/>
  </si>
  <si>
    <t>普通住宅</t>
  </si>
  <si>
    <r>
      <rPr>
        <sz val="11"/>
        <color indexed="8"/>
        <rFont val="宋体"/>
        <family val="3"/>
        <charset val="134"/>
      </rPr>
      <t>配建</t>
    </r>
    <r>
      <rPr>
        <sz val="11"/>
        <color indexed="8"/>
        <rFont val="Arial"/>
        <family val="2"/>
      </rPr>
      <t>1#</t>
    </r>
    <phoneticPr fontId="3" type="noConversion"/>
  </si>
  <si>
    <r>
      <t>34</t>
    </r>
    <r>
      <rPr>
        <sz val="11"/>
        <color indexed="8"/>
        <rFont val="宋体"/>
        <family val="3"/>
        <charset val="134"/>
      </rPr>
      <t>、</t>
    </r>
    <r>
      <rPr>
        <sz val="11"/>
        <color indexed="8"/>
        <rFont val="Arial"/>
        <family val="2"/>
      </rPr>
      <t>35#</t>
    </r>
    <phoneticPr fontId="3" type="noConversion"/>
  </si>
  <si>
    <t>门卫</t>
    <phoneticPr fontId="3" type="noConversion"/>
  </si>
  <si>
    <t>37#</t>
    <phoneticPr fontId="3" type="noConversion"/>
  </si>
  <si>
    <r>
      <rPr>
        <sz val="11"/>
        <color indexed="8"/>
        <rFont val="宋体"/>
        <family val="3"/>
        <charset val="134"/>
      </rPr>
      <t>配建</t>
    </r>
    <r>
      <rPr>
        <sz val="11"/>
        <color indexed="8"/>
        <rFont val="Arial"/>
        <family val="2"/>
      </rPr>
      <t>2#</t>
    </r>
    <phoneticPr fontId="3" type="noConversion"/>
  </si>
  <si>
    <t>23#</t>
    <phoneticPr fontId="3" type="noConversion"/>
  </si>
  <si>
    <t>42#</t>
    <phoneticPr fontId="3" type="noConversion"/>
  </si>
  <si>
    <t>43#</t>
    <phoneticPr fontId="3" type="noConversion"/>
  </si>
  <si>
    <t>36#</t>
    <phoneticPr fontId="3" type="noConversion"/>
  </si>
  <si>
    <r>
      <t>20</t>
    </r>
    <r>
      <rPr>
        <sz val="11"/>
        <color indexed="8"/>
        <rFont val="宋体"/>
        <family val="3"/>
        <charset val="134"/>
      </rPr>
      <t>、</t>
    </r>
    <r>
      <rPr>
        <sz val="11"/>
        <color indexed="8"/>
        <rFont val="Arial"/>
        <family val="2"/>
      </rPr>
      <t>25</t>
    </r>
    <r>
      <rPr>
        <sz val="11"/>
        <color indexed="8"/>
        <rFont val="宋体"/>
        <family val="3"/>
        <charset val="134"/>
      </rPr>
      <t>、</t>
    </r>
    <r>
      <rPr>
        <sz val="11"/>
        <color indexed="8"/>
        <rFont val="Arial"/>
        <family val="2"/>
      </rPr>
      <t>31#</t>
    </r>
    <phoneticPr fontId="3" type="noConversion"/>
  </si>
  <si>
    <r>
      <t>6</t>
    </r>
    <r>
      <rPr>
        <sz val="11"/>
        <color indexed="8"/>
        <rFont val="宋体"/>
        <family val="3"/>
        <charset val="134"/>
      </rPr>
      <t>、</t>
    </r>
    <r>
      <rPr>
        <sz val="11"/>
        <color indexed="8"/>
        <rFont val="Arial"/>
        <family val="2"/>
      </rPr>
      <t>10</t>
    </r>
    <r>
      <rPr>
        <sz val="11"/>
        <color indexed="8"/>
        <rFont val="宋体"/>
        <family val="3"/>
        <charset val="134"/>
      </rPr>
      <t>、</t>
    </r>
    <r>
      <rPr>
        <sz val="11"/>
        <color indexed="8"/>
        <rFont val="Arial"/>
        <family val="2"/>
      </rPr>
      <t>11#</t>
    </r>
    <phoneticPr fontId="3" type="noConversion"/>
  </si>
  <si>
    <r>
      <t>7-9</t>
    </r>
    <r>
      <rPr>
        <sz val="11"/>
        <color indexed="8"/>
        <rFont val="宋体"/>
        <family val="3"/>
        <charset val="134"/>
      </rPr>
      <t>、</t>
    </r>
    <r>
      <rPr>
        <sz val="11"/>
        <color indexed="8"/>
        <rFont val="Arial"/>
        <family val="2"/>
      </rPr>
      <t>12-13#</t>
    </r>
    <phoneticPr fontId="3" type="noConversion"/>
  </si>
  <si>
    <r>
      <t>14</t>
    </r>
    <r>
      <rPr>
        <sz val="11"/>
        <color indexed="8"/>
        <rFont val="宋体"/>
        <family val="3"/>
        <charset val="134"/>
      </rPr>
      <t>、</t>
    </r>
    <r>
      <rPr>
        <sz val="11"/>
        <color indexed="8"/>
        <rFont val="Arial"/>
        <family val="2"/>
      </rPr>
      <t>30#</t>
    </r>
    <phoneticPr fontId="3" type="noConversion"/>
  </si>
  <si>
    <r>
      <t>16</t>
    </r>
    <r>
      <rPr>
        <sz val="11"/>
        <color indexed="8"/>
        <rFont val="宋体"/>
        <family val="3"/>
        <charset val="134"/>
      </rPr>
      <t>、</t>
    </r>
    <r>
      <rPr>
        <sz val="11"/>
        <color indexed="8"/>
        <rFont val="Arial"/>
        <family val="2"/>
      </rPr>
      <t>17</t>
    </r>
    <r>
      <rPr>
        <sz val="11"/>
        <color indexed="8"/>
        <rFont val="宋体"/>
        <family val="3"/>
        <charset val="134"/>
      </rPr>
      <t>、</t>
    </r>
    <r>
      <rPr>
        <sz val="11"/>
        <color indexed="8"/>
        <rFont val="Arial"/>
        <family val="2"/>
      </rPr>
      <t>26</t>
    </r>
    <r>
      <rPr>
        <sz val="11"/>
        <color indexed="8"/>
        <rFont val="宋体"/>
        <family val="3"/>
        <charset val="134"/>
      </rPr>
      <t>、</t>
    </r>
    <r>
      <rPr>
        <sz val="11"/>
        <color indexed="8"/>
        <rFont val="Arial"/>
        <family val="2"/>
      </rPr>
      <t>27#</t>
    </r>
    <phoneticPr fontId="3" type="noConversion"/>
  </si>
  <si>
    <r>
      <t>18</t>
    </r>
    <r>
      <rPr>
        <sz val="11"/>
        <color indexed="8"/>
        <rFont val="宋体"/>
        <family val="3"/>
        <charset val="134"/>
      </rPr>
      <t>、</t>
    </r>
    <r>
      <rPr>
        <sz val="11"/>
        <color indexed="8"/>
        <rFont val="Arial"/>
        <family val="2"/>
      </rPr>
      <t>19</t>
    </r>
    <r>
      <rPr>
        <sz val="11"/>
        <color indexed="8"/>
        <rFont val="宋体"/>
        <family val="3"/>
        <charset val="134"/>
      </rPr>
      <t>、</t>
    </r>
    <r>
      <rPr>
        <sz val="11"/>
        <color indexed="8"/>
        <rFont val="Arial"/>
        <family val="2"/>
      </rPr>
      <t>21#</t>
    </r>
    <phoneticPr fontId="3" type="noConversion"/>
  </si>
  <si>
    <r>
      <t>22</t>
    </r>
    <r>
      <rPr>
        <sz val="11"/>
        <color indexed="8"/>
        <rFont val="宋体"/>
        <family val="3"/>
        <charset val="134"/>
      </rPr>
      <t>、</t>
    </r>
    <r>
      <rPr>
        <sz val="11"/>
        <color indexed="8"/>
        <rFont val="Arial"/>
        <family val="2"/>
      </rPr>
      <t>28#</t>
    </r>
    <phoneticPr fontId="3" type="noConversion"/>
  </si>
  <si>
    <t>29#</t>
    <phoneticPr fontId="3" type="noConversion"/>
  </si>
  <si>
    <t>24#</t>
    <phoneticPr fontId="3" type="noConversion"/>
  </si>
  <si>
    <t>32#</t>
    <phoneticPr fontId="3" type="noConversion"/>
  </si>
  <si>
    <t>地下车库</t>
    <phoneticPr fontId="3" type="noConversion"/>
  </si>
  <si>
    <t>地下</t>
  </si>
  <si>
    <t>车库</t>
  </si>
  <si>
    <t>洋房</t>
    <phoneticPr fontId="7" type="noConversion"/>
  </si>
  <si>
    <t>联排</t>
    <phoneticPr fontId="7" type="noConversion"/>
  </si>
  <si>
    <t>高层</t>
  </si>
  <si>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</si>
  <si>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</si>
  <si>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</si>
  <si>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</si>
  <si>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</si>
  <si>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</si>
  <si>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</si>
  <si>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</si>
  <si>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</si>
  <si>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</si>
  <si>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</si>
  <si>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</si>
  <si>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</si>
  <si>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</si>
  <si>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海河教育园区文慧北路与雅观路交口东北侧</t>
  </si>
  <si>
    <t>天津市</t>
  </si>
  <si>
    <t>综合用地(含住宅)</t>
  </si>
  <si>
    <t>挂牌</t>
  </si>
  <si>
    <t>2018-08-29</t>
  </si>
  <si>
    <t>路劲(天津隽隆企业管理有限公司)</t>
  </si>
  <si>
    <t>海河教育园区津沽公路与雅泽路交口东北侧</t>
  </si>
  <si>
    <t>雅居乐(天津雅兴房地产开发有限公司)</t>
  </si>
  <si>
    <t>津南区咸水沽镇</t>
  </si>
  <si>
    <t>≤2.0;≤1.0</t>
  </si>
  <si>
    <t>2018-04-04</t>
  </si>
  <si>
    <t>华远(阳菱光辉(天津)房地产开发有限公司)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</si>
  <si>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</si>
  <si>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</si>
  <si>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</si>
  <si>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</si>
  <si>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</si>
  <si>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</si>
  <si>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津南区北闸口镇地块</t>
  </si>
  <si>
    <t>住宅用地</t>
  </si>
  <si>
    <t>＞1.0且≤1.2</t>
  </si>
  <si>
    <t>2017-08-25</t>
  </si>
  <si>
    <t>禹洲</t>
  </si>
  <si>
    <t>津南区北闸口镇</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</si>
  <si>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</si>
  <si>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</si>
  <si>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</si>
  <si>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</si>
  <si>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</si>
  <si>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</si>
  <si>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</si>
  <si>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</si>
  <si>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</si>
  <si>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</si>
  <si>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</si>
  <si>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</si>
  <si>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综合容积率:1.486</t>
  </si>
  <si>
    <t>2016-09-29</t>
  </si>
  <si>
    <t>恒大地产集团天津有限公司</t>
  </si>
  <si>
    <t>住宅</t>
    <phoneticPr fontId="31" type="noConversion"/>
  </si>
  <si>
    <t>住宅商业</t>
  </si>
  <si>
    <t>住宅商业</t>
    <phoneticPr fontId="31" type="noConversion"/>
  </si>
  <si>
    <t>正常</t>
  </si>
  <si>
    <t>未包含在土地购买价格中</t>
  </si>
  <si>
    <t>已包含在土地取得成本中</t>
  </si>
  <si>
    <t>收益法</t>
  </si>
  <si>
    <t>在建（套用方法）</t>
  </si>
  <si>
    <t>钢混</t>
  </si>
  <si>
    <t>非生产用房</t>
  </si>
  <si>
    <t>自定义</t>
  </si>
  <si>
    <t>按租金收入计税</t>
  </si>
  <si>
    <t>成本法</t>
  </si>
  <si>
    <t>假设开发法</t>
  </si>
  <si>
    <t>一般</t>
  </si>
  <si>
    <t>较好</t>
  </si>
  <si>
    <t>王鹏</t>
  </si>
  <si>
    <t>郑燚</t>
  </si>
  <si>
    <t>天津融町房地产开发有限公司</t>
    <phoneticPr fontId="6" type="noConversion"/>
  </si>
  <si>
    <t>天津融町房地产开发有限公司</t>
    <phoneticPr fontId="6" type="noConversion"/>
  </si>
  <si>
    <t>抵押</t>
  </si>
  <si>
    <t>房地产抵押价值</t>
  </si>
  <si>
    <t>其他：</t>
  </si>
  <si>
    <t>天津市</t>
    <phoneticPr fontId="6" type="noConversion"/>
  </si>
  <si>
    <t>津南区北闸口镇</t>
    <phoneticPr fontId="6" type="noConversion"/>
  </si>
  <si>
    <t>企业</t>
  </si>
  <si>
    <t>住宅、地下车库</t>
    <phoneticPr fontId="6" type="noConversion"/>
  </si>
  <si>
    <r>
      <rPr>
        <sz val="12"/>
        <color theme="9" tint="-0.249977111117893"/>
        <rFont val="宋体"/>
        <family val="3"/>
        <charset val="134"/>
      </rPr>
      <t>住宅</t>
    </r>
    <r>
      <rPr>
        <sz val="12"/>
        <color theme="9" tint="-0.249977111117893"/>
        <rFont val="Arial"/>
        <family val="2"/>
      </rPr>
      <t>68.9</t>
    </r>
    <r>
      <rPr>
        <sz val="12"/>
        <color theme="9" tint="-0.249977111117893"/>
        <rFont val="宋体"/>
        <family val="3"/>
        <charset val="134"/>
      </rPr>
      <t>年、地下车库</t>
    </r>
    <r>
      <rPr>
        <sz val="12"/>
        <color theme="9" tint="-0.249977111117893"/>
        <rFont val="Arial"/>
        <family val="2"/>
      </rPr>
      <t>48.9</t>
    </r>
    <r>
      <rPr>
        <sz val="12"/>
        <color theme="9" tint="-0.249977111117893"/>
        <rFont val="宋体"/>
        <family val="3"/>
        <charset val="134"/>
      </rPr>
      <t>年</t>
    </r>
    <phoneticPr fontId="6" type="noConversion"/>
  </si>
  <si>
    <t>《建设工程规划许可证》[2017津南住证0038、0039号]</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</si>
  <si>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）津南区不动产权第</t>
    </r>
    <r>
      <rPr>
        <sz val="12"/>
        <color theme="9" tint="-0.249977111117893"/>
        <rFont val="Arial"/>
        <family val="2"/>
      </rPr>
      <t>1037264</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</si>
  <si>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</si>
  <si>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</si>
  <si>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</si>
  <si>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平安信托有限责任公司</t>
    <phoneticPr fontId="6" type="noConversion"/>
  </si>
  <si>
    <r>
      <t>64266.3</t>
    </r>
    <r>
      <rPr>
        <sz val="10"/>
        <color theme="9" tint="-0.249977111117893"/>
        <rFont val="宋体"/>
        <family val="3"/>
        <charset val="134"/>
      </rPr>
      <t>平方米</t>
    </r>
    <phoneticPr fontId="6" type="noConversion"/>
  </si>
  <si>
    <r>
      <t>1072500000</t>
    </r>
    <r>
      <rPr>
        <sz val="10"/>
        <color theme="9" tint="-0.249977111117893"/>
        <rFont val="宋体"/>
        <family val="3"/>
        <charset val="134"/>
      </rPr>
      <t>元</t>
    </r>
    <phoneticPr fontId="6" type="noConversion"/>
  </si>
  <si>
    <t>居住项目</t>
  </si>
  <si>
    <t>低密度住宅</t>
  </si>
  <si>
    <t>在建</t>
  </si>
  <si>
    <t>正常</t>
    <phoneticPr fontId="6" type="noConversion"/>
  </si>
  <si>
    <t>通路</t>
  </si>
  <si>
    <t>通电</t>
  </si>
  <si>
    <t>通讯</t>
  </si>
  <si>
    <t>通上水</t>
  </si>
  <si>
    <t>通下水</t>
  </si>
  <si>
    <t>通热</t>
  </si>
  <si>
    <t>燃气</t>
  </si>
  <si>
    <t>估价对象周边有钱隆学府、宣惠园社区等住宅项目，规模一般，入住率一般，分布密集程度一般，综合评价居住社区成熟度一般。</t>
    <phoneticPr fontId="41" type="noConversion"/>
  </si>
  <si>
    <t>——</t>
    <phoneticPr fontId="25" type="noConversion"/>
  </si>
  <si>
    <t>估价对象周边有152路、208路等公交线路，周边路网密集程度一般，停车便捷程度一般，综合评价交通便捷度一般。</t>
    <phoneticPr fontId="41" type="noConversion"/>
  </si>
  <si>
    <t>估价对象所在区域公共配套设施齐备情况较好。</t>
    <phoneticPr fontId="41" type="noConversion"/>
  </si>
  <si>
    <t>估价对象所在区域基础设施水平达“七通”。</t>
    <phoneticPr fontId="25" type="noConversion"/>
  </si>
  <si>
    <t>估价对象所在区域有月牙河公园，自然状况一般；所在区域无人文设施，人文环境较差；综合评价环境状况较差。</t>
    <phoneticPr fontId="41" type="noConversion"/>
  </si>
  <si>
    <t>城市支路—泽惠道</t>
    <phoneticPr fontId="25" type="noConversion"/>
  </si>
  <si>
    <t>多面临街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</si>
  <si>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</si>
  <si>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</si>
  <si>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</si>
  <si>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</si>
  <si>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</si>
  <si>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</si>
  <si>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</si>
  <si>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</si>
  <si>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</si>
  <si>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</si>
  <si>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</si>
  <si>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</si>
  <si>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</si>
  <si>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</si>
  <si>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</si>
  <si>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</si>
  <si>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</si>
  <si>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</si>
  <si>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</si>
  <si>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</si>
  <si>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</si>
  <si>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</si>
  <si>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</si>
  <si>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</si>
  <si>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</si>
  <si>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</si>
  <si>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</si>
  <si>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</si>
  <si>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</si>
  <si>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</si>
  <si>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</si>
  <si>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</si>
  <si>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</si>
  <si>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</si>
  <si>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</si>
  <si>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</si>
  <si>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</si>
  <si>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</si>
  <si>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</si>
  <si>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</si>
  <si>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六通</t>
    <phoneticPr fontId="25" type="noConversion"/>
  </si>
  <si>
    <t>七通</t>
    <phoneticPr fontId="25" type="noConversion"/>
  </si>
  <si>
    <t>五通</t>
    <phoneticPr fontId="25" type="noConversion"/>
  </si>
  <si>
    <t>四通</t>
    <phoneticPr fontId="25" type="noConversion"/>
  </si>
  <si>
    <t>三通</t>
    <phoneticPr fontId="25" type="noConversion"/>
  </si>
  <si>
    <t>钱隆学府</t>
    <phoneticPr fontId="3" type="noConversion"/>
  </si>
  <si>
    <t>天地源欧筑</t>
    <phoneticPr fontId="3" type="noConversion"/>
  </si>
  <si>
    <t>中粮信托有限责任公司</t>
    <phoneticPr fontId="6" type="noConversion"/>
  </si>
  <si>
    <t>天山龙玺</t>
    <phoneticPr fontId="3" type="noConversion"/>
  </si>
  <si>
    <t>住宅</t>
    <phoneticPr fontId="25" type="noConversion"/>
  </si>
  <si>
    <t>60-70（含）</t>
  </si>
  <si>
    <t>中档</t>
  </si>
  <si>
    <t>精装修</t>
  </si>
  <si>
    <t>专业</t>
  </si>
  <si>
    <t>毛坯</t>
  </si>
  <si>
    <t>成本比率</t>
  </si>
  <si>
    <t>收益法 (2)</t>
    <phoneticPr fontId="16" type="noConversion"/>
  </si>
  <si>
    <t>押一</t>
  </si>
  <si>
    <t>收益还原</t>
  </si>
  <si>
    <t>收益法(3)</t>
  </si>
  <si>
    <t>收益法(3)</t>
    <phoneticPr fontId="16" type="noConversion"/>
  </si>
  <si>
    <t>住宅</t>
    <phoneticPr fontId="7"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</si>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</sst>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天津市津南区北闸口镇出让国有建设用地使用权及在建建筑物房地产抵押价值预评估</v>
      </c>
    </row>
    <row r="3" spans="1:2" s="1595" customFormat="1">
      <c r="A3" s="1593" t="s">
        <v>1221</v>
      </c>
      <c r="B3" s="1594" t="str">
        <f>'预评函-封皮'!B40</f>
        <v>天津融町房地产开发有限公司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受贵公司委托，我公司对天津市津南区北闸口镇出让国有建设用地使用权及在建建筑物房地产抵押价值进行了预评估。</v>
      </c>
    </row>
    <row r="7" spans="1:2" s="1595" customFormat="1">
      <c r="A7" s="1593" t="s">
        <v>1264</v>
      </c>
      <c r="B7" s="1594" t="str">
        <f>'预评函-1'!A7</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为估价委托人在向中粮信托有限责任公司办理贷款手续过程中，确定房地产抵押贷款额度提供参考依据而评估房地产抵押价值。</v>
      </c>
    </row>
    <row r="12" spans="1:2" s="1595" customFormat="1">
      <c r="A12" s="1593" t="s">
        <v>1226</v>
      </c>
      <c r="B12" s="1594" t="str">
        <f>'预评函-1'!A15</f>
        <v>2018年9月14日（评估专业人员实地查勘之日）</v>
      </c>
    </row>
    <row r="13" spans="1:2" s="1595" customFormat="1">
      <c r="A13" s="1593" t="s">
        <v>1227</v>
      </c>
      <c r="B13" s="1594" t="str">
        <f>'预评函-1'!A18</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4" spans="1:2" s="1595" customFormat="1">
      <c r="A14" s="1593" t="s">
        <v>1228</v>
      </c>
      <c r="B14" s="1594" t="str">
        <f>'预评函-1'!A19</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92399</v>
      </c>
    </row>
    <row r="21" spans="1:2" s="1595" customFormat="1">
      <c r="A21" s="1593" t="s">
        <v>1235</v>
      </c>
      <c r="B21" s="1594">
        <f ca="1">'预评函-2'!D7</f>
        <v>7415</v>
      </c>
    </row>
    <row r="22" spans="1:2" s="1595" customFormat="1">
      <c r="A22" s="1593" t="s">
        <v>1236</v>
      </c>
      <c r="B22" s="1594" t="str">
        <f ca="1">'预评函-2'!D6</f>
        <v>玖亿贰仟叁佰玖拾玖万元整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92399</v>
      </c>
    </row>
    <row r="31" spans="1:2" s="1595" customFormat="1">
      <c r="A31" s="1593" t="s">
        <v>1274</v>
      </c>
      <c r="B31" s="1594">
        <f ca="1">'预评函-2'!D15</f>
        <v>7415</v>
      </c>
    </row>
    <row r="32" spans="1:2" s="1595" customFormat="1">
      <c r="A32" s="1593" t="s">
        <v>1241</v>
      </c>
      <c r="B32" s="1594" t="str">
        <f ca="1">'预评函-2'!D14</f>
        <v>玖亿贰仟叁佰玖拾玖万元整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天津市津南区北闸口镇出让国有建设用地使用权及在建建筑物房地产</v>
      </c>
    </row>
    <row r="42" spans="1:2" s="1595" customFormat="1">
      <c r="A42" s="1593" t="s">
        <v>1288</v>
      </c>
      <c r="B42" s="1594" t="str">
        <f>'预评函-3'!B2</f>
        <v>建筑面积</v>
      </c>
    </row>
    <row r="43" spans="1:2" s="1595" customFormat="1">
      <c r="A43" s="1593" t="s">
        <v>1289</v>
      </c>
      <c r="B43" s="1594">
        <f>'预评函-3'!B4</f>
        <v>124616.56000000001</v>
      </c>
    </row>
    <row r="44" spans="1:2" s="1595" customFormat="1">
      <c r="A44" s="1593" t="s">
        <v>1273</v>
      </c>
      <c r="B44" s="1594" t="str">
        <f>'预评函-3'!C2</f>
        <v>(分摊)土地面积</v>
      </c>
    </row>
    <row r="45" spans="1:2" s="1595" customFormat="1">
      <c r="A45" s="1593" t="s">
        <v>1245</v>
      </c>
      <c r="B45" s="1594">
        <f>'预评函-3'!C4</f>
        <v>64266.3</v>
      </c>
    </row>
    <row r="46" spans="1:2" s="1595" customFormat="1">
      <c r="A46" s="1593" t="s">
        <v>1271</v>
      </c>
      <c r="B46" s="1594" t="str">
        <f>'预评函-3'!D2</f>
        <v>出让国有建设用地使用权价值</v>
      </c>
    </row>
    <row r="47" spans="1:2" s="1595" customFormat="1">
      <c r="A47" s="1593" t="s">
        <v>1246</v>
      </c>
      <c r="B47" s="1594">
        <f ca="1">'预评函-3'!D4</f>
        <v>84083</v>
      </c>
    </row>
    <row r="48" spans="1:2" s="1595" customFormat="1">
      <c r="A48" s="1593" t="s">
        <v>1247</v>
      </c>
      <c r="B48" s="1594">
        <f ca="1">'预评函-3'!E4</f>
        <v>6748</v>
      </c>
    </row>
    <row r="49" spans="1:2" s="1595" customFormat="1">
      <c r="A49" s="1593" t="s">
        <v>1248</v>
      </c>
      <c r="B49" s="1594" t="str">
        <f ca="1">'预评函-3'!D5</f>
        <v>捌亿肆仟零捌拾叁万元整</v>
      </c>
    </row>
    <row r="50" spans="1:2" s="1595" customFormat="1">
      <c r="A50" s="1593" t="s">
        <v>1272</v>
      </c>
      <c r="B50" s="1594" t="str">
        <f>'预评函-3'!F2</f>
        <v>在建建筑物价值</v>
      </c>
    </row>
    <row r="51" spans="1:2" s="1595" customFormat="1">
      <c r="A51" s="1593" t="s">
        <v>1249</v>
      </c>
      <c r="B51" s="1594">
        <f ca="1">'预评函-3'!F4</f>
        <v>8316</v>
      </c>
    </row>
    <row r="52" spans="1:2" s="1595" customFormat="1">
      <c r="A52" s="1593" t="s">
        <v>1250</v>
      </c>
      <c r="B52" s="1594">
        <f ca="1">'预评函-3'!G4</f>
        <v>667</v>
      </c>
    </row>
    <row r="53" spans="1:2" s="1595" customFormat="1">
      <c r="A53" s="1593" t="s">
        <v>1278</v>
      </c>
      <c r="B53" s="1594" t="str">
        <f ca="1">'预评函-3'!F5</f>
        <v>捌仟叁佰壹拾陆万元整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（1）根据估价对象《不动产权证书》复印件、，截至价值时点，估价对象已设定抵押。上述抵押权设定日期为，权利人为平安信托有限责任公司，权利范围为64266.3平方米，权利价值为1072500000元。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6" customWidth="1"/>
    <col min="2" max="2" width="23.125" style="1977" customWidth="1"/>
    <col min="3" max="3" width="13" style="2021" hidden="1" customWidth="1"/>
    <col min="4" max="4" width="5.62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3245</v>
      </c>
      <c r="C17" s="2017"/>
    </row>
    <row r="18" spans="1:3">
      <c r="A18" s="2016" t="s">
        <v>1767</v>
      </c>
      <c r="B18" s="2016" t="s">
        <v>3249</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融町房地产开发有限公司拟使用天津市津南区北闸口镇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4" t="s">
        <v>864</v>
      </c>
      <c r="C54" s="2021" t="s">
        <v>1281</v>
      </c>
    </row>
    <row r="55" spans="1:4">
      <c r="A55" s="3014"/>
      <c r="B55" s="2024" t="s">
        <v>865</v>
      </c>
      <c r="C55" s="2021" t="s">
        <v>1282</v>
      </c>
    </row>
    <row r="56" spans="1:4">
      <c r="A56" s="3014"/>
      <c r="B56" s="2024" t="s">
        <v>866</v>
      </c>
      <c r="C56" s="2021" t="s">
        <v>1286</v>
      </c>
    </row>
    <row r="57" spans="1:4">
      <c r="A57" s="301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5" sqref="N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625" style="2034" customWidth="1"/>
    <col min="8" max="8" width="10" style="2034" customWidth="1"/>
    <col min="9" max="9" width="13.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23" t="str">
        <f>IF(B10="北京市","北京市",C10)&amp;F10&amp;IF(结果表!G1="在建","出让国有建设用地使用权及在建建筑物",IF(结果表!G1="土地","出让国有建设用地使用权",))&amp;B9&amp;"预评估"</f>
        <v>天津市津南区北闸口镇出让国有建设用地使用权及在建建筑物房地产抵押价值预评估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天津市津南区北闸口镇出让国有建设用地使用权及在建建筑物房地产抵押价值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天津市津南区北闸口镇出让国有建设用地使用权及在建建筑物房地产</v>
      </c>
    </row>
    <row r="3" spans="1:19" ht="18" customHeight="1">
      <c r="A3" s="2037" t="s">
        <v>1778</v>
      </c>
      <c r="B3" s="2038">
        <v>43357</v>
      </c>
      <c r="C3" s="2039" t="s">
        <v>1779</v>
      </c>
      <c r="D3" s="2038">
        <f>B3</f>
        <v>43357</v>
      </c>
      <c r="E3" s="2028"/>
      <c r="F3" s="2028"/>
      <c r="G3" s="2028"/>
      <c r="H3" s="2028"/>
      <c r="I3" s="2028"/>
      <c r="J3" s="2028"/>
      <c r="K3" s="2029"/>
      <c r="L3" s="2030"/>
      <c r="M3" s="2030"/>
      <c r="N3" s="2031"/>
      <c r="O3" s="2032"/>
      <c r="P3" s="2031"/>
      <c r="Q3" s="2031"/>
      <c r="R3" s="2031"/>
      <c r="S3" s="2033"/>
    </row>
    <row r="4" spans="1:19" ht="18" customHeight="1" thickBot="1">
      <c r="A4" s="2040" t="s">
        <v>1780</v>
      </c>
      <c r="B4" s="2041" t="s">
        <v>3150</v>
      </c>
      <c r="C4" s="1040">
        <f ca="1">SUMIF(注册房地产估价师,B4,估价师及机构信息!B3:B24)</f>
        <v>1120050019</v>
      </c>
      <c r="D4" s="2041" t="s">
        <v>3151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5" t="s">
        <v>3236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5" t="s">
        <v>3153</v>
      </c>
      <c r="C7" s="2050"/>
      <c r="D7" s="2051"/>
      <c r="E7" s="2036"/>
      <c r="F7" s="2044"/>
      <c r="G7" s="2044"/>
      <c r="H7" s="2044"/>
      <c r="I7" s="2044"/>
      <c r="J7" s="2044"/>
      <c r="K7" s="2053"/>
      <c r="L7" s="2030"/>
      <c r="M7" s="2030"/>
      <c r="N7" s="2031"/>
      <c r="O7" s="2032"/>
      <c r="P7" s="2031"/>
      <c r="Q7" s="2031"/>
      <c r="R7" s="2031"/>
    </row>
    <row r="8" spans="1:19" ht="18" customHeight="1">
      <c r="A8" s="2049" t="s">
        <v>1784</v>
      </c>
      <c r="B8" s="2054" t="s">
        <v>3154</v>
      </c>
      <c r="C8" s="2055"/>
      <c r="D8" s="3026" t="s">
        <v>1785</v>
      </c>
      <c r="E8" s="2056" t="s">
        <v>3155</v>
      </c>
      <c r="F8" s="2057"/>
      <c r="G8" s="2028"/>
      <c r="H8" s="2028"/>
      <c r="I8" s="2028"/>
      <c r="J8" s="2044"/>
      <c r="K8" s="2045"/>
      <c r="L8" s="2030"/>
      <c r="M8" s="2030"/>
      <c r="N8" s="2031"/>
      <c r="O8" s="2032"/>
      <c r="P8" s="2031"/>
      <c r="Q8" s="2031"/>
      <c r="R8" s="2031"/>
    </row>
    <row r="9" spans="1:19" ht="18" customHeight="1" thickBot="1">
      <c r="A9" s="2042" t="s">
        <v>1786</v>
      </c>
      <c r="B9" s="2058" t="s">
        <v>3155</v>
      </c>
      <c r="C9" s="2059"/>
      <c r="D9" s="3027"/>
      <c r="E9" s="2058" t="s">
        <v>70</v>
      </c>
      <c r="F9" s="2060"/>
      <c r="G9" s="2061"/>
      <c r="H9" s="2061"/>
      <c r="I9" s="2061"/>
      <c r="J9" s="2044"/>
      <c r="K9" s="2053"/>
      <c r="L9" s="2030"/>
      <c r="M9" s="2030"/>
      <c r="N9" s="2031"/>
      <c r="O9" s="2032"/>
      <c r="P9" s="2031"/>
      <c r="Q9" s="2031"/>
      <c r="R9" s="2031"/>
    </row>
    <row r="10" spans="1:19" ht="18" customHeight="1" thickTop="1">
      <c r="A10" s="2062" t="s">
        <v>1787</v>
      </c>
      <c r="B10" s="2063" t="s">
        <v>3156</v>
      </c>
      <c r="C10" s="2946" t="s">
        <v>3157</v>
      </c>
      <c r="D10" s="2048"/>
      <c r="E10" s="2064" t="s">
        <v>1788</v>
      </c>
      <c r="F10" s="2947" t="s">
        <v>3158</v>
      </c>
      <c r="G10" s="2065"/>
      <c r="H10" s="2066"/>
      <c r="I10" s="2048"/>
      <c r="J10" s="2044"/>
      <c r="K10" s="2053"/>
      <c r="L10" s="2030"/>
      <c r="M10" s="2030"/>
      <c r="N10" s="2031"/>
      <c r="O10" s="2032"/>
      <c r="P10" s="2031"/>
      <c r="Q10" s="2031"/>
      <c r="R10" s="2031"/>
    </row>
    <row r="11" spans="1:19" ht="18" customHeight="1">
      <c r="A11" s="2067" t="s">
        <v>1789</v>
      </c>
      <c r="B11" s="2068" t="s">
        <v>3159</v>
      </c>
      <c r="C11" s="2948" t="s">
        <v>3152</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3042</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68531</v>
      </c>
      <c r="E13" s="2076">
        <v>57574</v>
      </c>
      <c r="F13" s="2076"/>
      <c r="G13" s="2076">
        <v>61226</v>
      </c>
      <c r="H13" s="2076">
        <v>61226</v>
      </c>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v>50</v>
      </c>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68.959999999999994</v>
      </c>
      <c r="E15" s="1052">
        <f>IF(B12="出让",IF(E13="","",ROUNDDOWN(MIN((E13-$D$3)/365,E14),2)),E14)</f>
        <v>38.950000000000003</v>
      </c>
      <c r="F15" s="1052" t="str">
        <f>IF(B12="出让",IF(F13="","",ROUNDDOWN(MIN((F13-$D$3)/365,F14),2)),F14)</f>
        <v/>
      </c>
      <c r="G15" s="1052">
        <f>IF(B12="出让",IF(G13="","",ROUNDDOWN(MIN((G13-$D$3)/365,G14),2)),G14)</f>
        <v>48.95</v>
      </c>
      <c r="H15" s="1052">
        <f>IF(B12="出让",IF(H13="","",ROUNDDOWN(MIN((H13-$D$3)/365,H14),2)),H14)</f>
        <v>48.95</v>
      </c>
      <c r="I15" s="1052" t="str">
        <f>IF(B12="出让",IF(I13="","",ROUNDDOWN(MIN((I13-$D$3)/365,I14),2)),I14)</f>
        <v/>
      </c>
      <c r="J15" s="2044"/>
      <c r="K15" s="2079"/>
      <c r="L15" s="2080"/>
      <c r="M15" s="2080"/>
      <c r="N15" s="2081"/>
      <c r="O15" s="2080"/>
      <c r="P15" s="2081"/>
      <c r="Q15" s="2031"/>
      <c r="R15" s="2031"/>
    </row>
    <row r="16" spans="1:19" ht="30.75" customHeight="1">
      <c r="A16" s="2064" t="s">
        <v>1801</v>
      </c>
      <c r="B16" s="3033" t="s">
        <v>3160</v>
      </c>
      <c r="C16" s="3034"/>
      <c r="D16" s="3035"/>
      <c r="E16" s="2082" t="s">
        <v>1802</v>
      </c>
      <c r="F16" s="3036" t="s">
        <v>3161</v>
      </c>
      <c r="G16" s="3037"/>
      <c r="H16" s="3037"/>
      <c r="I16" s="3038"/>
      <c r="J16" s="2031"/>
      <c r="K16" s="2079"/>
      <c r="L16" s="2080"/>
      <c r="M16" s="2080"/>
      <c r="N16" s="2081"/>
      <c r="O16" s="2080"/>
      <c r="P16" s="2081"/>
      <c r="Q16" s="2031"/>
      <c r="R16" s="2031"/>
    </row>
    <row r="17" spans="1:22" ht="18" customHeight="1">
      <c r="A17" s="2083" t="s">
        <v>1803</v>
      </c>
      <c r="B17" s="2037" t="s">
        <v>1804</v>
      </c>
      <c r="C17" s="1057">
        <f>'数据-汇总表'!E3</f>
        <v>124616.56000000001</v>
      </c>
      <c r="D17" s="2084" t="s">
        <v>1805</v>
      </c>
      <c r="E17" s="3039" t="s">
        <v>3162</v>
      </c>
      <c r="F17" s="3040"/>
      <c r="G17" s="3040"/>
      <c r="H17" s="3040"/>
      <c r="I17" s="3041"/>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7">
        <f>'数据-汇总表'!D3</f>
        <v>64266.3</v>
      </c>
      <c r="D18" s="2087" t="s">
        <v>1805</v>
      </c>
      <c r="E18" s="3042" t="s">
        <v>3163</v>
      </c>
      <c r="F18" s="3043"/>
      <c r="G18" s="3043"/>
      <c r="H18" s="3043"/>
      <c r="I18" s="3044"/>
      <c r="J18" s="2031"/>
      <c r="K18" s="2085"/>
      <c r="L18" s="2080"/>
      <c r="M18" s="2080"/>
      <c r="N18" s="2081"/>
      <c r="O18" s="2080"/>
      <c r="P18" s="2081"/>
      <c r="Q18" s="2031"/>
      <c r="R18" s="2031"/>
      <c r="S18" s="2031"/>
      <c r="T18" s="2031"/>
      <c r="U18" s="2031"/>
      <c r="V18" s="2031"/>
    </row>
    <row r="19" spans="1:22" ht="37.5" customHeight="1" thickTop="1" thickBot="1">
      <c r="A19" s="373" t="s">
        <v>1808</v>
      </c>
      <c r="B19" s="352" t="s">
        <v>1809</v>
      </c>
      <c r="C19" s="2088" t="s">
        <v>3043</v>
      </c>
      <c r="D19" s="2089" t="s">
        <v>1810</v>
      </c>
      <c r="E19" s="2090" t="s">
        <v>3043</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1811</v>
      </c>
      <c r="B20" s="3029" t="s">
        <v>1812</v>
      </c>
      <c r="C20" s="3030"/>
      <c r="D20" s="3031" t="s">
        <v>1813</v>
      </c>
      <c r="E20" s="3032"/>
      <c r="F20" s="2094" t="s">
        <v>1814</v>
      </c>
      <c r="G20" s="2044"/>
      <c r="H20" s="2044"/>
      <c r="I20" s="2044"/>
      <c r="J20" s="2044"/>
      <c r="K20" s="3028" t="s">
        <v>1815</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1"/>
      <c r="O20" s="2080"/>
      <c r="P20" s="2081"/>
      <c r="Q20" s="2031"/>
      <c r="R20" s="2031"/>
      <c r="S20" s="2031"/>
      <c r="T20" s="2031"/>
      <c r="U20" s="2031"/>
      <c r="V20" s="2031"/>
    </row>
    <row r="21" spans="1:22" ht="24.75" customHeight="1">
      <c r="A21" s="2093"/>
      <c r="B21" s="2095" t="s">
        <v>3165</v>
      </c>
      <c r="C21" s="2096" t="s">
        <v>3166</v>
      </c>
      <c r="D21" s="2097"/>
      <c r="E21" s="2098"/>
      <c r="F21" s="2099"/>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上述抵押权设定日期为，权利人为平安信托有限责任公司，权利范围为64266.3平方米，权利价值为1072500000元。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c r="D23" s="2104" t="s">
        <v>1817</v>
      </c>
      <c r="E23" s="2105"/>
      <c r="F23" s="2101"/>
      <c r="G23" s="2044"/>
      <c r="H23" s="2044"/>
      <c r="I23" s="2044"/>
      <c r="J23" s="2044"/>
      <c r="K23" s="2106"/>
      <c r="L23" s="748"/>
      <c r="M23" s="2030"/>
      <c r="N23" s="2081"/>
      <c r="O23" s="2080"/>
      <c r="P23" s="2081"/>
      <c r="Q23" s="2031"/>
      <c r="R23" s="2031"/>
      <c r="S23" s="2031"/>
      <c r="T23" s="2031"/>
      <c r="U23" s="2031"/>
      <c r="V23" s="2031"/>
    </row>
    <row r="24" spans="1:22" ht="24">
      <c r="A24" s="2107"/>
      <c r="B24" s="183" t="s">
        <v>1818</v>
      </c>
      <c r="C24" s="2949" t="s">
        <v>3167</v>
      </c>
      <c r="D24" s="2102" t="s">
        <v>1818</v>
      </c>
      <c r="E24" s="2109"/>
      <c r="F24" s="2101"/>
      <c r="G24" s="2044"/>
      <c r="H24" s="2044"/>
      <c r="I24" s="2044"/>
      <c r="J24" s="2044"/>
      <c r="K24" s="2106"/>
      <c r="L24" s="748"/>
      <c r="M24" s="2030"/>
      <c r="N24" s="2081"/>
      <c r="O24" s="2080"/>
      <c r="P24" s="2081"/>
      <c r="Q24" s="2031"/>
      <c r="R24" s="2031"/>
      <c r="S24" s="2031"/>
      <c r="T24" s="2031"/>
      <c r="U24" s="2031"/>
      <c r="V24" s="2031"/>
    </row>
    <row r="25" spans="1:22" ht="24.75" customHeight="1">
      <c r="A25" s="2107"/>
      <c r="B25" s="183" t="s">
        <v>1819</v>
      </c>
      <c r="C25" s="2108" t="s">
        <v>3168</v>
      </c>
      <c r="D25" s="2102" t="s">
        <v>1819</v>
      </c>
      <c r="E25" s="2109"/>
      <c r="F25" s="2101"/>
      <c r="G25" s="2044"/>
      <c r="H25" s="2044"/>
      <c r="I25" s="2044"/>
      <c r="J25" s="2044"/>
      <c r="K25" s="2053"/>
      <c r="L25" s="2030"/>
      <c r="M25" s="2030"/>
      <c r="N25" s="2081"/>
      <c r="O25" s="2080"/>
      <c r="P25" s="2081"/>
      <c r="Q25" s="2031"/>
      <c r="R25" s="2031"/>
      <c r="S25" s="2031"/>
      <c r="T25" s="2031"/>
      <c r="U25" s="2031"/>
      <c r="V25" s="2031"/>
    </row>
    <row r="26" spans="1:22" ht="24.75" customHeight="1" thickBot="1">
      <c r="A26" s="2110"/>
      <c r="B26" s="2111" t="s">
        <v>1820</v>
      </c>
      <c r="C26" s="2112" t="s">
        <v>3169</v>
      </c>
      <c r="D26" s="2113" t="s">
        <v>1821</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16" t="s">
        <v>1822</v>
      </c>
      <c r="B27" s="2062" t="s">
        <v>1823</v>
      </c>
      <c r="C27" s="2116" t="s">
        <v>3170</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6"/>
      <c r="B28" s="2037" t="s">
        <v>1824</v>
      </c>
      <c r="C28" s="2118" t="s">
        <v>3171</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6"/>
      <c r="B29" s="2037" t="s">
        <v>1825</v>
      </c>
      <c r="C29" s="2121" t="s">
        <v>3164</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7"/>
      <c r="B30" s="2037" t="s">
        <v>1826</v>
      </c>
      <c r="C30" s="3018"/>
      <c r="D30" s="301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20" t="s">
        <v>1827</v>
      </c>
      <c r="B31" s="2123" t="s">
        <v>3172</v>
      </c>
      <c r="C31" s="2124" t="str">
        <f>IF(B31="现房","成新及维护状况正常否",IF(B31="在建","工程状态是否正常",IF(B31="土地","是否闲置","-")))</f>
        <v>工程状态是否正常</v>
      </c>
      <c r="D31" s="2125"/>
      <c r="E31" s="2950" t="s">
        <v>3173</v>
      </c>
      <c r="F31" s="2044"/>
      <c r="G31" s="2044"/>
      <c r="H31" s="2044"/>
      <c r="I31" s="2044"/>
      <c r="J31" s="2044"/>
      <c r="K31" s="2052"/>
      <c r="L31" s="2030"/>
      <c r="M31" s="2030"/>
      <c r="N31" s="2031"/>
      <c r="O31" s="2032"/>
      <c r="P31" s="2031"/>
      <c r="Q31" s="2031"/>
      <c r="R31" s="2031"/>
      <c r="S31" s="2031"/>
      <c r="T31" s="2031"/>
      <c r="U31" s="2031"/>
      <c r="V31" s="2031"/>
    </row>
    <row r="32" spans="1:22" ht="18" customHeight="1">
      <c r="A32" s="302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2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0" t="s">
        <v>3174</v>
      </c>
      <c r="C34" s="2130" t="s">
        <v>3175</v>
      </c>
      <c r="D34" s="2130" t="s">
        <v>3176</v>
      </c>
      <c r="E34" s="2130" t="s">
        <v>3177</v>
      </c>
      <c r="F34" s="2130" t="s">
        <v>3178</v>
      </c>
      <c r="G34" s="2130" t="s">
        <v>3179</v>
      </c>
      <c r="H34" s="2130" t="s">
        <v>3180</v>
      </c>
      <c r="I34" s="2044"/>
      <c r="J34" s="2044"/>
      <c r="K34" s="1797">
        <f>COUNTIF(B34:H34,"——")</f>
        <v>0</v>
      </c>
      <c r="L34" s="2071" t="s">
        <v>1829</v>
      </c>
      <c r="M34" s="2071" t="s">
        <v>1830</v>
      </c>
      <c r="N34" s="2071" t="s">
        <v>1831</v>
      </c>
      <c r="O34" s="2071" t="s">
        <v>1832</v>
      </c>
      <c r="P34" s="2071" t="s">
        <v>1833</v>
      </c>
      <c r="Q34" s="2071" t="s">
        <v>1834</v>
      </c>
      <c r="R34" s="2071" t="s">
        <v>1835</v>
      </c>
      <c r="S34" s="3015" t="s">
        <v>1836</v>
      </c>
      <c r="T34" s="2131" t="str">
        <f>NUMBERSTRING(7-K34,1)&amp;"通"</f>
        <v>七通</v>
      </c>
      <c r="U34" s="2031"/>
      <c r="V34" s="2031"/>
    </row>
    <row r="35" spans="1:22" ht="18" customHeight="1">
      <c r="A35" s="2132"/>
      <c r="B35" s="3022" t="s">
        <v>1837</v>
      </c>
      <c r="C35" s="3022"/>
      <c r="D35" s="3022"/>
      <c r="E35" s="3022"/>
      <c r="F35" s="2133" t="str">
        <f>C10</f>
        <v>天津市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31"/>
      <c r="V35" s="2031"/>
    </row>
    <row r="36" spans="1:22" ht="18" customHeight="1">
      <c r="A36" s="2134"/>
      <c r="B36" s="2133" t="s">
        <v>1838</v>
      </c>
      <c r="C36" s="2133" t="s">
        <v>1839</v>
      </c>
      <c r="D36" s="2133" t="s">
        <v>1840</v>
      </c>
      <c r="E36" s="2133" t="s">
        <v>1841</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1842</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1843</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1845</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9"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4" sqref="D3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625" style="2156" customWidth="1"/>
    <col min="17" max="17" width="9.375" style="2156" hidden="1" customWidth="1"/>
    <col min="18" max="18" width="9.125" style="2156" hidden="1" customWidth="1"/>
    <col min="19" max="19" width="10.875" style="2156" hidden="1" customWidth="1"/>
    <col min="20" max="21" width="10.625" style="2156" hidden="1" customWidth="1"/>
    <col min="22" max="22" width="10.875" style="2156" hidden="1" customWidth="1"/>
    <col min="23" max="27" width="10.625" style="2156" hidden="1" customWidth="1"/>
    <col min="28" max="28" width="10.875" style="2156" hidden="1" customWidth="1"/>
    <col min="29" max="29" width="11" style="2156" bestFit="1" customWidth="1"/>
    <col min="30" max="30" width="10" style="2156" hidden="1" customWidth="1"/>
    <col min="31" max="31" width="9.625" style="2156" hidden="1" customWidth="1"/>
    <col min="32" max="37" width="9.5" style="2156" hidden="1" customWidth="1"/>
    <col min="38" max="46" width="9.5" style="2156" customWidth="1"/>
    <col min="47" max="47" width="18.125" style="2156" customWidth="1"/>
    <col min="48" max="50" width="9.62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1869</v>
      </c>
      <c r="AZ2" s="1273"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64266.3</v>
      </c>
      <c r="B3" s="14">
        <f>IF(C3="否",G5-AT5,G5)</f>
        <v>124616.56000000001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5"/>
      <c r="C5" s="1805"/>
      <c r="D5" s="1808"/>
      <c r="E5" s="16" t="s">
        <v>1</v>
      </c>
      <c r="F5" s="16">
        <f>SUM(F13:F587)</f>
        <v>0</v>
      </c>
      <c r="G5" s="16">
        <f>SUM(G13:G587)</f>
        <v>124616.56000000001</v>
      </c>
      <c r="H5" s="16">
        <f t="shared" ref="H5:AT5" si="0">SUM(H13:H656)</f>
        <v>119273.70000000001</v>
      </c>
      <c r="I5" s="16">
        <f t="shared" si="0"/>
        <v>26351.31</v>
      </c>
      <c r="J5" s="16">
        <f t="shared" si="0"/>
        <v>0</v>
      </c>
      <c r="K5" s="16">
        <f t="shared" si="0"/>
        <v>25060.65</v>
      </c>
      <c r="L5" s="16">
        <f t="shared" si="0"/>
        <v>0</v>
      </c>
      <c r="M5" s="16">
        <f t="shared" si="0"/>
        <v>23301.179999999997</v>
      </c>
      <c r="N5" s="16">
        <f t="shared" si="0"/>
        <v>0</v>
      </c>
      <c r="O5" s="16">
        <f t="shared" si="0"/>
        <v>44560.56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5342.8600000000015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1976.8500000000001</v>
      </c>
      <c r="AM5" s="16">
        <f t="shared" si="0"/>
        <v>0</v>
      </c>
      <c r="AN5" s="16">
        <f t="shared" si="0"/>
        <v>3366.0099999999998</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124616.56000000001</v>
      </c>
      <c r="BA5" s="18">
        <f t="shared" si="1"/>
        <v>119273.70000000001</v>
      </c>
      <c r="BB5" s="18">
        <f t="shared" si="1"/>
        <v>26351.31</v>
      </c>
      <c r="BC5" s="18">
        <f t="shared" si="1"/>
        <v>25060.65</v>
      </c>
      <c r="BD5" s="18">
        <f t="shared" si="1"/>
        <v>23301.179999999997</v>
      </c>
      <c r="BE5" s="18">
        <f t="shared" si="1"/>
        <v>44560.56</v>
      </c>
      <c r="BF5" s="18">
        <f t="shared" si="1"/>
        <v>0</v>
      </c>
      <c r="BG5" s="18">
        <f t="shared" si="1"/>
        <v>0</v>
      </c>
      <c r="BH5" s="18">
        <f t="shared" si="1"/>
        <v>0</v>
      </c>
      <c r="BI5" s="18">
        <f t="shared" si="1"/>
        <v>0</v>
      </c>
      <c r="BJ5" s="18">
        <f t="shared" si="1"/>
        <v>0</v>
      </c>
      <c r="BK5" s="18">
        <f t="shared" si="1"/>
        <v>0</v>
      </c>
      <c r="BL5" s="18">
        <f t="shared" si="1"/>
        <v>5342.8600000000015</v>
      </c>
      <c r="BM5" s="18">
        <f t="shared" si="1"/>
        <v>0</v>
      </c>
      <c r="BN5" s="18">
        <f t="shared" si="1"/>
        <v>0</v>
      </c>
      <c r="BO5" s="18">
        <f t="shared" si="1"/>
        <v>0</v>
      </c>
      <c r="BP5" s="18">
        <f t="shared" si="1"/>
        <v>0</v>
      </c>
      <c r="BQ5" s="18">
        <f t="shared" si="1"/>
        <v>1976.8500000000001</v>
      </c>
      <c r="BR5" s="18">
        <f t="shared" si="1"/>
        <v>3366.0099999999998</v>
      </c>
      <c r="BS5" s="18">
        <f t="shared" si="1"/>
        <v>0</v>
      </c>
      <c r="BT5" s="19">
        <f t="shared" si="1"/>
        <v>0</v>
      </c>
    </row>
    <row r="6" spans="1:72" s="2174" customFormat="1" ht="12.75">
      <c r="A6" s="15" t="s">
        <v>1874</v>
      </c>
      <c r="B6" s="2171"/>
      <c r="C6" s="2171"/>
      <c r="D6" s="2172"/>
      <c r="E6" s="16">
        <f>H6+AC6+AT6</f>
        <v>64266.31</v>
      </c>
      <c r="F6" s="16" t="s">
        <v>1</v>
      </c>
      <c r="G6" s="16" t="s">
        <v>2</v>
      </c>
      <c r="H6" s="20">
        <f>SUMIF(I$12:AB$12,"总值",I6:AB6)</f>
        <v>61510.93</v>
      </c>
      <c r="I6" s="16">
        <f t="shared" ref="I6:AB6" si="2">ROUND($A$3*I5/$B$3,2)</f>
        <v>13589.7</v>
      </c>
      <c r="J6" s="16">
        <f t="shared" si="2"/>
        <v>0</v>
      </c>
      <c r="K6" s="16">
        <f t="shared" si="2"/>
        <v>12924.09</v>
      </c>
      <c r="L6" s="16">
        <f t="shared" si="2"/>
        <v>0</v>
      </c>
      <c r="M6" s="16">
        <f t="shared" si="2"/>
        <v>12016.71</v>
      </c>
      <c r="N6" s="16">
        <f t="shared" si="2"/>
        <v>0</v>
      </c>
      <c r="O6" s="16">
        <f t="shared" si="2"/>
        <v>22980.43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2755.38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1019.49</v>
      </c>
      <c r="AM6" s="16">
        <f t="shared" si="3"/>
        <v>0</v>
      </c>
      <c r="AN6" s="16">
        <f t="shared" si="3"/>
        <v>1735.89</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64266.3</v>
      </c>
      <c r="AZ6" s="16" t="s">
        <v>3</v>
      </c>
      <c r="BA6" s="16">
        <f>ROUND($AY$6*BA5/$AZ$5,2)</f>
        <v>61510.92</v>
      </c>
      <c r="BB6" s="16">
        <f>ROUND($AY$6*BB5/$AZ$5,2)</f>
        <v>13589.7</v>
      </c>
      <c r="BC6" s="16">
        <f t="shared" ref="BC6:BH6" si="4">ROUND($AY$6*BC5/$AZ$5,2)</f>
        <v>12924.09</v>
      </c>
      <c r="BD6" s="16">
        <f t="shared" si="4"/>
        <v>12016.71</v>
      </c>
      <c r="BE6" s="16">
        <f t="shared" si="4"/>
        <v>22980.43</v>
      </c>
      <c r="BF6" s="16">
        <f t="shared" si="4"/>
        <v>0</v>
      </c>
      <c r="BG6" s="16">
        <f t="shared" si="4"/>
        <v>0</v>
      </c>
      <c r="BH6" s="16">
        <f t="shared" si="4"/>
        <v>0</v>
      </c>
      <c r="BI6" s="16">
        <f t="shared" ref="BI6:BT6" si="5">ROUND($AY$6*BI5/$AZ$5,2)</f>
        <v>0</v>
      </c>
      <c r="BJ6" s="16">
        <f t="shared" si="5"/>
        <v>0</v>
      </c>
      <c r="BK6" s="16">
        <f t="shared" si="5"/>
        <v>0</v>
      </c>
      <c r="BL6" s="16">
        <f t="shared" si="5"/>
        <v>2755.38</v>
      </c>
      <c r="BM6" s="16">
        <f t="shared" si="5"/>
        <v>0</v>
      </c>
      <c r="BN6" s="16">
        <f t="shared" si="5"/>
        <v>0</v>
      </c>
      <c r="BO6" s="16">
        <f t="shared" si="5"/>
        <v>0</v>
      </c>
      <c r="BP6" s="16">
        <f t="shared" si="5"/>
        <v>0</v>
      </c>
      <c r="BQ6" s="16">
        <f t="shared" si="5"/>
        <v>1019.49</v>
      </c>
      <c r="BR6" s="16">
        <f t="shared" si="5"/>
        <v>1735.89</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1882</v>
      </c>
      <c r="AV7" s="23" t="s">
        <v>1883</v>
      </c>
      <c r="AW7" s="2163" t="s">
        <v>1884</v>
      </c>
      <c r="AX7" s="23" t="s">
        <v>1877</v>
      </c>
      <c r="AY7" s="1805"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20"/>
      <c r="K8" s="1820"/>
      <c r="L8" s="1820"/>
      <c r="M8" s="1820"/>
      <c r="N8" s="1820"/>
      <c r="O8" s="1820"/>
      <c r="P8" s="1820"/>
      <c r="Q8" s="1820"/>
      <c r="R8" s="1820"/>
      <c r="S8" s="1820"/>
      <c r="T8" s="1820"/>
      <c r="U8" s="1820"/>
      <c r="V8" s="2183"/>
      <c r="W8" s="1820"/>
      <c r="X8" s="1820"/>
      <c r="Y8" s="1820"/>
      <c r="Z8" s="1820"/>
      <c r="AA8" s="2183"/>
      <c r="AB8" s="2184"/>
      <c r="AC8" s="984" t="s">
        <v>1888</v>
      </c>
      <c r="AD8" s="2185"/>
      <c r="AE8" s="2177"/>
      <c r="AF8" s="1820"/>
      <c r="AG8" s="1820"/>
      <c r="AH8" s="1820"/>
      <c r="AI8" s="1820"/>
      <c r="AJ8" s="1820"/>
      <c r="AK8" s="1820"/>
      <c r="AL8" s="1820"/>
      <c r="AM8" s="1820"/>
      <c r="AN8" s="1820"/>
      <c r="AO8" s="1820"/>
      <c r="AP8" s="1820"/>
      <c r="AQ8" s="1820"/>
      <c r="AR8" s="1820"/>
      <c r="AS8" s="1820"/>
      <c r="AT8" s="1295" t="s">
        <v>1889</v>
      </c>
      <c r="AU8" s="2179" t="s">
        <v>1890</v>
      </c>
      <c r="AV8" s="1295"/>
      <c r="AW8" s="2162"/>
      <c r="AX8" s="1295"/>
      <c r="AY8" s="2163"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1893</v>
      </c>
      <c r="I9" s="2188" t="s">
        <v>3044</v>
      </c>
      <c r="J9" s="984"/>
      <c r="K9" s="2188" t="s">
        <v>3044</v>
      </c>
      <c r="L9" s="984"/>
      <c r="M9" s="2188" t="s">
        <v>3044</v>
      </c>
      <c r="N9" s="984"/>
      <c r="O9" s="2188" t="s">
        <v>3076</v>
      </c>
      <c r="P9" s="984"/>
      <c r="Q9" s="2188"/>
      <c r="R9" s="984"/>
      <c r="S9" s="2188"/>
      <c r="T9" s="984"/>
      <c r="U9" s="2188"/>
      <c r="V9" s="984"/>
      <c r="W9" s="2188"/>
      <c r="X9" s="2189"/>
      <c r="Y9" s="2188"/>
      <c r="Z9" s="984"/>
      <c r="AA9" s="2188"/>
      <c r="AB9" s="984"/>
      <c r="AC9" s="2180"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0"/>
      <c r="AT9" s="2179"/>
      <c r="AU9" s="2179" t="s">
        <v>1896</v>
      </c>
      <c r="AV9" s="1295"/>
      <c r="AW9" s="2162"/>
      <c r="AX9" s="1295"/>
      <c r="AY9" s="28"/>
      <c r="AZ9" s="28" t="s">
        <v>1886</v>
      </c>
      <c r="BA9" s="2191" t="s">
        <v>1897</v>
      </c>
      <c r="BB9" s="2192"/>
      <c r="BC9" s="1341"/>
      <c r="BD9" s="1341"/>
      <c r="BE9" s="1341"/>
      <c r="BF9" s="1341"/>
      <c r="BG9" s="1341"/>
      <c r="BH9" s="1341"/>
      <c r="BI9" s="1341"/>
      <c r="BJ9" s="1341"/>
      <c r="BK9" s="2193"/>
      <c r="BL9" s="15" t="s">
        <v>1898</v>
      </c>
      <c r="BM9" s="1820"/>
      <c r="BN9" s="2182"/>
      <c r="BO9" s="1820"/>
      <c r="BP9" s="1820"/>
      <c r="BQ9" s="1820"/>
      <c r="BR9" s="1820"/>
      <c r="BS9" s="1820"/>
      <c r="BT9" s="26"/>
    </row>
    <row r="10" spans="1:72" s="2186" customFormat="1" ht="12.75">
      <c r="A10" s="2179"/>
      <c r="B10" s="2179"/>
      <c r="C10" s="2179"/>
      <c r="D10" s="2179"/>
      <c r="E10" s="2179"/>
      <c r="F10" s="2179"/>
      <c r="G10" s="1295"/>
      <c r="H10" s="28"/>
      <c r="I10" s="2188" t="s">
        <v>3045</v>
      </c>
      <c r="J10" s="984"/>
      <c r="K10" s="2194" t="s">
        <v>3045</v>
      </c>
      <c r="L10" s="984"/>
      <c r="M10" s="2194" t="s">
        <v>3045</v>
      </c>
      <c r="N10" s="984"/>
      <c r="O10" s="2194" t="s">
        <v>3077</v>
      </c>
      <c r="P10" s="984"/>
      <c r="Q10" s="2194"/>
      <c r="R10" s="984"/>
      <c r="S10" s="2194"/>
      <c r="T10" s="984"/>
      <c r="U10" s="2194"/>
      <c r="V10" s="984"/>
      <c r="W10" s="2194"/>
      <c r="X10" s="984"/>
      <c r="Y10" s="2194"/>
      <c r="Z10" s="984"/>
      <c r="AA10" s="2194"/>
      <c r="AB10" s="984"/>
      <c r="AC10" s="1295"/>
      <c r="AD10" s="15" t="s">
        <v>1899</v>
      </c>
      <c r="AE10" s="2195"/>
      <c r="AF10" s="15" t="s">
        <v>1899</v>
      </c>
      <c r="AG10" s="2195"/>
      <c r="AH10" s="15" t="s">
        <v>1900</v>
      </c>
      <c r="AI10" s="2195"/>
      <c r="AJ10" s="15" t="s">
        <v>1900</v>
      </c>
      <c r="AK10" s="2195"/>
      <c r="AL10" s="15" t="s">
        <v>1901</v>
      </c>
      <c r="AM10" s="1301"/>
      <c r="AN10" s="15" t="s">
        <v>1901</v>
      </c>
      <c r="AO10" s="1301"/>
      <c r="AP10" s="15" t="s">
        <v>1902</v>
      </c>
      <c r="AQ10" s="1301"/>
      <c r="AR10" s="15" t="s">
        <v>1902</v>
      </c>
      <c r="AS10" s="1301"/>
      <c r="AT10" s="2179"/>
      <c r="AU10" s="2179"/>
      <c r="AV10" s="1295"/>
      <c r="AW10" s="2162"/>
      <c r="AX10" s="1295"/>
      <c r="AY10" s="28"/>
      <c r="AZ10" s="28"/>
      <c r="BA10" s="2196" t="s">
        <v>1893</v>
      </c>
      <c r="BB10" s="219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3047</v>
      </c>
      <c r="J11" s="2200"/>
      <c r="K11" s="2199" t="s">
        <v>3049</v>
      </c>
      <c r="L11" s="2200"/>
      <c r="M11" s="2199" t="s">
        <v>3055</v>
      </c>
      <c r="N11" s="2200"/>
      <c r="O11" s="2199" t="s">
        <v>3077</v>
      </c>
      <c r="P11" s="2200"/>
      <c r="Q11" s="2199"/>
      <c r="R11" s="2200"/>
      <c r="S11" s="2199"/>
      <c r="T11" s="2200"/>
      <c r="U11" s="2199"/>
      <c r="V11" s="2200"/>
      <c r="W11" s="2199"/>
      <c r="X11" s="2200"/>
      <c r="Y11" s="2199"/>
      <c r="Z11" s="2200"/>
      <c r="AA11" s="2199"/>
      <c r="AB11" s="2200"/>
      <c r="AC11" s="1295"/>
      <c r="AD11" s="2201" t="s">
        <v>1903</v>
      </c>
      <c r="AE11" s="1821"/>
      <c r="AF11" s="2201" t="s">
        <v>1903</v>
      </c>
      <c r="AG11" s="1821"/>
      <c r="AH11" s="2201" t="s">
        <v>1904</v>
      </c>
      <c r="AI11" s="2202"/>
      <c r="AJ11" s="2201" t="s">
        <v>1904</v>
      </c>
      <c r="AK11" s="1821"/>
      <c r="AL11" s="1819"/>
      <c r="AM11" s="1821"/>
      <c r="AN11" s="1819"/>
      <c r="AO11" s="1821"/>
      <c r="AP11" s="1819"/>
      <c r="AQ11" s="1821"/>
      <c r="AR11" s="1819"/>
      <c r="AS11" s="1821"/>
      <c r="AT11" s="2162"/>
      <c r="AU11" s="2179"/>
      <c r="AV11" s="1295"/>
      <c r="AW11" s="2162"/>
      <c r="AX11" s="1295"/>
      <c r="AY11" s="28"/>
      <c r="AZ11" s="28"/>
      <c r="BA11" s="28"/>
      <c r="BB11" s="2184" t="str">
        <f>I10</f>
        <v>住宅</v>
      </c>
      <c r="BC11" s="2184" t="str">
        <f>K10</f>
        <v>住宅</v>
      </c>
      <c r="BD11" s="2184" t="str">
        <f>M10</f>
        <v>住宅</v>
      </c>
      <c r="BE11" s="2184" t="str">
        <f>O10</f>
        <v>车库</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6"/>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洋房</v>
      </c>
      <c r="BC12" s="2209" t="str">
        <f>K11</f>
        <v>联排</v>
      </c>
      <c r="BD12" s="2209" t="str">
        <f>M11</f>
        <v>普通住宅</v>
      </c>
      <c r="BE12" s="2184" t="str">
        <f>O11</f>
        <v>车库</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1275" t="s">
        <v>3046</v>
      </c>
      <c r="D13" s="2210" t="s">
        <v>3043</v>
      </c>
      <c r="E13" s="16">
        <f>IF($C$3="是",ROUND($A$3*G13/$B$3,2),ROUND($A$3*(G13-AT13)/$B$3,2))</f>
        <v>2429.98</v>
      </c>
      <c r="F13" s="32"/>
      <c r="G13" s="33">
        <f>H13+AC13+AT13</f>
        <v>4711.8900000000003</v>
      </c>
      <c r="H13" s="20">
        <f>SUMIF(I$12:AB$12,"总值",I13:AB13)</f>
        <v>4401.25</v>
      </c>
      <c r="I13" s="2211">
        <v>4401.25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310.64</v>
      </c>
      <c r="AD13" s="2212"/>
      <c r="AE13" s="2212"/>
      <c r="AF13" s="2212"/>
      <c r="AG13" s="2212"/>
      <c r="AH13" s="2212"/>
      <c r="AI13" s="2212"/>
      <c r="AJ13" s="2212"/>
      <c r="AK13" s="2212"/>
      <c r="AL13" s="2212"/>
      <c r="AM13" s="2212"/>
      <c r="AN13" s="2212">
        <v>310.64</v>
      </c>
      <c r="AO13" s="2212"/>
      <c r="AP13" s="2212"/>
      <c r="AQ13" s="2212"/>
      <c r="AR13" s="2212"/>
      <c r="AS13" s="2212"/>
      <c r="AT13" s="2213"/>
      <c r="AU13" s="2214"/>
      <c r="AV13" s="11">
        <f t="shared" ref="AV13:AX17" si="6">A13</f>
        <v>0</v>
      </c>
      <c r="AW13" s="11">
        <f t="shared" si="6"/>
        <v>0</v>
      </c>
      <c r="AX13" s="11" t="str">
        <f t="shared" si="6"/>
        <v>15#</v>
      </c>
      <c r="AY13" s="1808">
        <f>ROUND($AY$6*AZ13/$AZ$5,2)</f>
        <v>2429.98</v>
      </c>
      <c r="AZ13" s="16">
        <f>BA13+BL13</f>
        <v>4711.8900000000003</v>
      </c>
      <c r="BA13" s="16">
        <f>SUM(BB13:BK13)</f>
        <v>4401.25</v>
      </c>
      <c r="BB13" s="16">
        <f>IF($D13="是",I13-J13,0)</f>
        <v>4401.25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310.64</v>
      </c>
      <c r="BM13" s="16">
        <f>IF($D13="是",AD13-AE13,0)</f>
        <v>0</v>
      </c>
      <c r="BN13" s="16">
        <f>IF($D13="是",AF13-AG13,0)</f>
        <v>0</v>
      </c>
      <c r="BO13" s="16">
        <f>IF($D13="是",AH13-AI13,0)</f>
        <v>0</v>
      </c>
      <c r="BP13" s="16">
        <f>IF($D13="是",AJ13-AK13,0)</f>
        <v>0</v>
      </c>
      <c r="BQ13" s="16">
        <f>IF($D13="是",AL13-AM13,0)</f>
        <v>0</v>
      </c>
      <c r="BR13" s="16">
        <f>IF($D13="是",AN13-AO13,0)</f>
        <v>310.64</v>
      </c>
      <c r="BS13" s="16">
        <f>IF($D13="是",AP13-AQ13,0)</f>
        <v>0</v>
      </c>
      <c r="BT13" s="22">
        <f>IF($D13="是",AR13-AS13,0)</f>
        <v>0</v>
      </c>
    </row>
    <row r="14" spans="1:72" s="2164" customFormat="1" ht="12.75">
      <c r="A14" s="1275"/>
      <c r="B14" s="1275"/>
      <c r="C14" s="2150" t="s">
        <v>3048</v>
      </c>
      <c r="D14" s="2210" t="s">
        <v>3043</v>
      </c>
      <c r="E14" s="16">
        <f>IF($C$3="是",ROUND($A$3*G14/$B$3,2),ROUND($A$3*(G14-AT14)/$B$3,2))</f>
        <v>445.46</v>
      </c>
      <c r="F14" s="32"/>
      <c r="G14" s="33">
        <f>H14+AC14+AT14</f>
        <v>863.78</v>
      </c>
      <c r="H14" s="20">
        <f>SUMIF(I$12:AB$12,"总值",I14:AB14)</f>
        <v>863.78</v>
      </c>
      <c r="I14" s="2211"/>
      <c r="J14" s="2211"/>
      <c r="K14" s="2211">
        <v>863.78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33#</v>
      </c>
      <c r="AY14" s="1808">
        <f>ROUND($AY$6*AZ14/$AZ$5,2)</f>
        <v>445.46</v>
      </c>
      <c r="AZ14" s="16">
        <f>BA14+BL14</f>
        <v>863.78</v>
      </c>
      <c r="BA14" s="16">
        <f>SUM(BB14:BK14)</f>
        <v>863.78</v>
      </c>
      <c r="BB14" s="16">
        <f>IF($D14="是",I14-J14,0)</f>
        <v>0</v>
      </c>
      <c r="BC14" s="16">
        <f>IF($D14="是",K14-L14,0)</f>
        <v>863.78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t="s">
        <v>3050</v>
      </c>
      <c r="D15" s="2210" t="s">
        <v>3043</v>
      </c>
      <c r="E15" s="16">
        <f>IF($C$3="是",ROUND($A$3*G15/$B$3,2),ROUND($A$3*(G15-AT15)/$B$3,2))</f>
        <v>5160.2299999999996</v>
      </c>
      <c r="F15" s="32"/>
      <c r="G15" s="33">
        <f>H15+AC15+AT15</f>
        <v>10006.02</v>
      </c>
      <c r="H15" s="20">
        <f>SUMIF(I$12:AB$12,"总值",I15:AB15)</f>
        <v>9348.1200000000008</v>
      </c>
      <c r="I15" s="2211">
        <v>9348.1200000000008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657.9</v>
      </c>
      <c r="AD15" s="2212"/>
      <c r="AE15" s="2212"/>
      <c r="AF15" s="2212"/>
      <c r="AG15" s="2212"/>
      <c r="AH15" s="2212"/>
      <c r="AI15" s="2212"/>
      <c r="AJ15" s="2212"/>
      <c r="AK15" s="2212"/>
      <c r="AL15" s="2212"/>
      <c r="AM15" s="2212"/>
      <c r="AN15" s="2212">
        <v>657.9</v>
      </c>
      <c r="AO15" s="2212"/>
      <c r="AP15" s="2212"/>
      <c r="AQ15" s="2212"/>
      <c r="AR15" s="2212"/>
      <c r="AS15" s="2212"/>
      <c r="AT15" s="2213"/>
      <c r="AU15" s="2214"/>
      <c r="AV15" s="11">
        <f t="shared" si="6"/>
        <v>0</v>
      </c>
      <c r="AW15" s="11">
        <f t="shared" si="6"/>
        <v>0</v>
      </c>
      <c r="AX15" s="11" t="str">
        <f t="shared" si="6"/>
        <v>38-40#</v>
      </c>
      <c r="AY15" s="1808">
        <f>ROUND($AY$6*AZ15/$AZ$5,2)</f>
        <v>5160.2299999999996</v>
      </c>
      <c r="AZ15" s="16">
        <f>BA15+BL15</f>
        <v>10006.02</v>
      </c>
      <c r="BA15" s="16">
        <f>SUM(BB15:BK15)</f>
        <v>9348.1200000000008</v>
      </c>
      <c r="BB15" s="16">
        <f>IF($D15="是",I15-J15,0)</f>
        <v>9348.1200000000008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657.9</v>
      </c>
      <c r="BM15" s="16">
        <f>IF($D15="是",AD15-AE15,0)</f>
        <v>0</v>
      </c>
      <c r="BN15" s="16">
        <f>IF($D15="是",AF15-AG15,0)</f>
        <v>0</v>
      </c>
      <c r="BO15" s="16">
        <f>IF($D15="是",AH15-AI15,0)</f>
        <v>0</v>
      </c>
      <c r="BP15" s="16">
        <f>IF($D15="是",AJ15-AK15,0)</f>
        <v>0</v>
      </c>
      <c r="BQ15" s="16">
        <f>IF($D15="是",AL15-AM15,0)</f>
        <v>0</v>
      </c>
      <c r="BR15" s="16">
        <f>IF($D15="是",AN15-AO15,0)</f>
        <v>657.9</v>
      </c>
      <c r="BS15" s="16">
        <f>IF($D15="是",AP15-AQ15,0)</f>
        <v>0</v>
      </c>
      <c r="BT15" s="22">
        <f>IF($D15="是",AR15-AS15,0)</f>
        <v>0</v>
      </c>
    </row>
    <row r="16" spans="1:72" s="2164" customFormat="1" ht="12.75">
      <c r="A16" s="1275"/>
      <c r="B16" s="1275"/>
      <c r="C16" s="2150" t="s">
        <v>3051</v>
      </c>
      <c r="D16" s="2210" t="s">
        <v>3043</v>
      </c>
      <c r="E16" s="16">
        <f>IF($C$3="是",ROUND($A$3*G16/$B$3,2),ROUND($A$3*(G16-AT16)/$B$3,2))</f>
        <v>2759.46</v>
      </c>
      <c r="F16" s="32"/>
      <c r="G16" s="33">
        <f>H16+AC16+AT16</f>
        <v>5350.78</v>
      </c>
      <c r="H16" s="20">
        <f>SUMIF(I$12:AB$12,"总值",I16:AB16)</f>
        <v>5350.78</v>
      </c>
      <c r="I16" s="2211">
        <v>5350.78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1、2#</v>
      </c>
      <c r="AY16" s="1808">
        <f>ROUND($AY$6*AZ16/$AZ$5,2)</f>
        <v>2759.46</v>
      </c>
      <c r="AZ16" s="16">
        <f>BA16+BL16</f>
        <v>5350.78</v>
      </c>
      <c r="BA16" s="16">
        <f>SUM(BB16:BK16)</f>
        <v>5350.78</v>
      </c>
      <c r="BB16" s="16">
        <f>IF($D16="是",I16-J16,0)</f>
        <v>5350.78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t="s">
        <v>3052</v>
      </c>
      <c r="D17" s="2210" t="s">
        <v>3043</v>
      </c>
      <c r="E17" s="16">
        <f>IF($C$3="是",ROUND($A$3*G17/$B$3,2),ROUND($A$3*(G17-AT17)/$B$3,2))</f>
        <v>911.34</v>
      </c>
      <c r="F17" s="32"/>
      <c r="G17" s="33">
        <f>H17+AC17+AT17</f>
        <v>1767.15</v>
      </c>
      <c r="H17" s="20">
        <f>SUMIF(I$12:AB$12,"总值",I17:AB17)</f>
        <v>1767.15</v>
      </c>
      <c r="I17" s="2211"/>
      <c r="J17" s="2211"/>
      <c r="K17" s="2211">
        <v>1767.15</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3-5#</v>
      </c>
      <c r="AY17" s="1808">
        <f>ROUND($AY$6*AZ17/$AZ$5,2)</f>
        <v>911.34</v>
      </c>
      <c r="AZ17" s="16">
        <f>BA17+BL17</f>
        <v>1767.15</v>
      </c>
      <c r="BA17" s="16">
        <f>SUM(BB17:BK17)</f>
        <v>1767.15</v>
      </c>
      <c r="BB17" s="16">
        <f>IF($D17="是",I17-J17,0)</f>
        <v>0</v>
      </c>
      <c r="BC17" s="16">
        <f>IF($D17="是",K17-L17,0)</f>
        <v>1767.15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5" t="s">
        <v>3043</v>
      </c>
      <c r="E18" s="35">
        <f t="shared" ref="E18:E112" si="7">IF($C$3="是",ROUND($A$3*G18/$B$3,2),ROUND($A$3*(G18-AT18)/$B$3,2))</f>
        <v>1576.46</v>
      </c>
      <c r="F18" s="36"/>
      <c r="G18" s="37">
        <f t="shared" ref="G18:G109" si="8">H18+AC18+AT18</f>
        <v>3056.85</v>
      </c>
      <c r="H18" s="38">
        <f t="shared" ref="H18:H109" si="9">SUMIF(I$12:AB$12,"总值",I18:AB18)</f>
        <v>2855.47</v>
      </c>
      <c r="I18" s="39">
        <v>2855.47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201.38</v>
      </c>
      <c r="AD18" s="40"/>
      <c r="AE18" s="40"/>
      <c r="AF18" s="40"/>
      <c r="AG18" s="40"/>
      <c r="AH18" s="40"/>
      <c r="AI18" s="40"/>
      <c r="AJ18" s="40"/>
      <c r="AK18" s="40"/>
      <c r="AL18" s="40"/>
      <c r="AM18" s="40"/>
      <c r="AN18" s="40">
        <v>201.38</v>
      </c>
      <c r="AO18" s="40"/>
      <c r="AP18" s="40"/>
      <c r="AQ18" s="40"/>
      <c r="AR18" s="40"/>
      <c r="AS18" s="40"/>
      <c r="AT18" s="41"/>
      <c r="AU18" s="2216"/>
      <c r="AV18" s="1797">
        <f t="shared" ref="AV18:AV112" si="11">A18</f>
        <v>0</v>
      </c>
      <c r="AW18" s="1797">
        <f t="shared" ref="AW18:AW112" si="12">B18</f>
        <v>0</v>
      </c>
      <c r="AX18" s="1797" t="str">
        <f t="shared" ref="AX18:AX112" si="13">C18</f>
        <v>41#</v>
      </c>
      <c r="AY18" s="42">
        <f t="shared" ref="AY18:AY109" si="14">ROUND($AY$6*AZ18/$AZ$5,2)</f>
        <v>1576.46</v>
      </c>
      <c r="AZ18" s="35">
        <f t="shared" ref="AZ18:AZ109" si="15">BA18+BL18</f>
        <v>3056.85</v>
      </c>
      <c r="BA18" s="35">
        <f t="shared" ref="BA18:BA109" si="16">SUM(BB18:BK18)</f>
        <v>2855.47</v>
      </c>
      <c r="BB18" s="35">
        <f t="shared" ref="BB18:BB109" si="17">IF($D18="是",I18-J18,0)</f>
        <v>2855.47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201.38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201.38</v>
      </c>
      <c r="BS18" s="35">
        <f t="shared" ref="BS18:BS109" si="34">IF($D18="是",AP18-AQ18,0)</f>
        <v>0</v>
      </c>
      <c r="BT18" s="43">
        <f t="shared" ref="BT18:BT109" si="35">IF($D18="是",AR18-AS18,0)</f>
        <v>0</v>
      </c>
    </row>
    <row r="19" spans="1:72">
      <c r="A19" s="9"/>
      <c r="B19" s="34"/>
      <c r="C19" s="34" t="s">
        <v>3054</v>
      </c>
      <c r="D19" s="2215" t="s">
        <v>3043</v>
      </c>
      <c r="E19" s="35">
        <f t="shared" si="7"/>
        <v>7048.58</v>
      </c>
      <c r="F19" s="36"/>
      <c r="G19" s="37">
        <f t="shared" si="8"/>
        <v>13667.65</v>
      </c>
      <c r="H19" s="38">
        <f t="shared" si="9"/>
        <v>12809.97</v>
      </c>
      <c r="I19" s="39"/>
      <c r="J19" s="39"/>
      <c r="K19" s="39"/>
      <c r="L19" s="39"/>
      <c r="M19" s="39">
        <v>12809.97</v>
      </c>
      <c r="N19" s="39"/>
      <c r="O19" s="39"/>
      <c r="P19" s="39"/>
      <c r="Q19" s="39"/>
      <c r="R19" s="39"/>
      <c r="S19" s="39"/>
      <c r="T19" s="39"/>
      <c r="U19" s="39"/>
      <c r="V19" s="39"/>
      <c r="W19" s="39"/>
      <c r="X19" s="39"/>
      <c r="Y19" s="39"/>
      <c r="Z19" s="39"/>
      <c r="AA19" s="39"/>
      <c r="AB19" s="39"/>
      <c r="AC19" s="35">
        <f t="shared" si="10"/>
        <v>857.68</v>
      </c>
      <c r="AD19" s="40"/>
      <c r="AE19" s="40"/>
      <c r="AF19" s="40"/>
      <c r="AG19" s="40"/>
      <c r="AH19" s="40"/>
      <c r="AI19" s="40"/>
      <c r="AJ19" s="40"/>
      <c r="AK19" s="40"/>
      <c r="AL19" s="40"/>
      <c r="AM19" s="40"/>
      <c r="AN19" s="40">
        <v>857.68</v>
      </c>
      <c r="AO19" s="40"/>
      <c r="AP19" s="40"/>
      <c r="AQ19" s="40"/>
      <c r="AR19" s="40"/>
      <c r="AS19" s="40"/>
      <c r="AT19" s="41"/>
      <c r="AU19" s="2216"/>
      <c r="AV19" s="1797">
        <f t="shared" si="11"/>
        <v>0</v>
      </c>
      <c r="AW19" s="1797">
        <f t="shared" si="12"/>
        <v>0</v>
      </c>
      <c r="AX19" s="1797" t="str">
        <f t="shared" si="13"/>
        <v>44、45#</v>
      </c>
      <c r="AY19" s="42">
        <f t="shared" si="14"/>
        <v>7048.58</v>
      </c>
      <c r="AZ19" s="35">
        <f t="shared" si="15"/>
        <v>13667.65</v>
      </c>
      <c r="BA19" s="35">
        <f t="shared" si="16"/>
        <v>12809.97</v>
      </c>
      <c r="BB19" s="35">
        <f t="shared" si="17"/>
        <v>0</v>
      </c>
      <c r="BC19" s="35">
        <f t="shared" si="18"/>
        <v>0</v>
      </c>
      <c r="BD19" s="35">
        <f t="shared" si="19"/>
        <v>12809.97</v>
      </c>
      <c r="BE19" s="35">
        <f t="shared" si="20"/>
        <v>0</v>
      </c>
      <c r="BF19" s="35">
        <f t="shared" si="21"/>
        <v>0</v>
      </c>
      <c r="BG19" s="35">
        <f t="shared" si="22"/>
        <v>0</v>
      </c>
      <c r="BH19" s="35">
        <f t="shared" si="23"/>
        <v>0</v>
      </c>
      <c r="BI19" s="35">
        <f t="shared" si="24"/>
        <v>0</v>
      </c>
      <c r="BJ19" s="35">
        <f t="shared" si="25"/>
        <v>0</v>
      </c>
      <c r="BK19" s="35">
        <f t="shared" si="26"/>
        <v>0</v>
      </c>
      <c r="BL19" s="35">
        <f t="shared" si="27"/>
        <v>857.68</v>
      </c>
      <c r="BM19" s="35">
        <f t="shared" si="28"/>
        <v>0</v>
      </c>
      <c r="BN19" s="35">
        <f t="shared" si="29"/>
        <v>0</v>
      </c>
      <c r="BO19" s="35">
        <f t="shared" si="30"/>
        <v>0</v>
      </c>
      <c r="BP19" s="35">
        <f t="shared" si="31"/>
        <v>0</v>
      </c>
      <c r="BQ19" s="35">
        <f t="shared" si="32"/>
        <v>0</v>
      </c>
      <c r="BR19" s="35">
        <f t="shared" si="33"/>
        <v>857.68</v>
      </c>
      <c r="BS19" s="35">
        <f t="shared" si="34"/>
        <v>0</v>
      </c>
      <c r="BT19" s="43">
        <f t="shared" si="35"/>
        <v>0</v>
      </c>
    </row>
    <row r="20" spans="1:72">
      <c r="A20" s="9"/>
      <c r="B20" s="34"/>
      <c r="C20" s="34" t="s">
        <v>3056</v>
      </c>
      <c r="D20" s="2215" t="s">
        <v>3043</v>
      </c>
      <c r="E20" s="35">
        <f t="shared" si="7"/>
        <v>1012.04</v>
      </c>
      <c r="F20" s="36"/>
      <c r="G20" s="37">
        <f t="shared" si="8"/>
        <v>1962.41</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1962.41</v>
      </c>
      <c r="AD20" s="40"/>
      <c r="AE20" s="40"/>
      <c r="AF20" s="40"/>
      <c r="AG20" s="40"/>
      <c r="AH20" s="40"/>
      <c r="AI20" s="40"/>
      <c r="AJ20" s="40"/>
      <c r="AK20" s="40"/>
      <c r="AL20" s="40">
        <v>1962.41</v>
      </c>
      <c r="AM20" s="40"/>
      <c r="AN20" s="40"/>
      <c r="AO20" s="40"/>
      <c r="AP20" s="40"/>
      <c r="AQ20" s="40"/>
      <c r="AR20" s="40"/>
      <c r="AS20" s="40"/>
      <c r="AT20" s="41"/>
      <c r="AU20" s="2216"/>
      <c r="AV20" s="1797">
        <f t="shared" si="11"/>
        <v>0</v>
      </c>
      <c r="AW20" s="1797">
        <f t="shared" si="12"/>
        <v>0</v>
      </c>
      <c r="AX20" s="1797" t="str">
        <f t="shared" si="13"/>
        <v>配建1#</v>
      </c>
      <c r="AY20" s="42">
        <f t="shared" si="14"/>
        <v>1012.04</v>
      </c>
      <c r="AZ20" s="35">
        <f t="shared" si="15"/>
        <v>1962.41</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1962.41</v>
      </c>
      <c r="BM20" s="35">
        <f t="shared" si="28"/>
        <v>0</v>
      </c>
      <c r="BN20" s="35">
        <f t="shared" si="29"/>
        <v>0</v>
      </c>
      <c r="BO20" s="35">
        <f t="shared" si="30"/>
        <v>0</v>
      </c>
      <c r="BP20" s="35">
        <f t="shared" si="31"/>
        <v>0</v>
      </c>
      <c r="BQ20" s="35">
        <f t="shared" si="32"/>
        <v>1962.41</v>
      </c>
      <c r="BR20" s="35">
        <f t="shared" si="33"/>
        <v>0</v>
      </c>
      <c r="BS20" s="35">
        <f t="shared" si="34"/>
        <v>0</v>
      </c>
      <c r="BT20" s="43">
        <f t="shared" si="35"/>
        <v>0</v>
      </c>
    </row>
    <row r="21" spans="1:72">
      <c r="A21" s="9"/>
      <c r="B21" s="34"/>
      <c r="C21" s="34" t="s">
        <v>3057</v>
      </c>
      <c r="D21" s="2215" t="s">
        <v>3043</v>
      </c>
      <c r="E21" s="35">
        <f t="shared" si="7"/>
        <v>1016.19</v>
      </c>
      <c r="F21" s="36"/>
      <c r="G21" s="37">
        <f t="shared" si="8"/>
        <v>1970.46</v>
      </c>
      <c r="H21" s="38">
        <f t="shared" si="9"/>
        <v>1970.46</v>
      </c>
      <c r="I21" s="39"/>
      <c r="J21" s="39"/>
      <c r="K21" s="39">
        <v>1970.46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34、35#</v>
      </c>
      <c r="AY21" s="42">
        <f t="shared" si="14"/>
        <v>1016.19</v>
      </c>
      <c r="AZ21" s="35">
        <f t="shared" si="15"/>
        <v>1970.46</v>
      </c>
      <c r="BA21" s="35">
        <f t="shared" si="16"/>
        <v>1970.46</v>
      </c>
      <c r="BB21" s="35">
        <f t="shared" si="17"/>
        <v>0</v>
      </c>
      <c r="BC21" s="35">
        <f t="shared" si="18"/>
        <v>1970.46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8" t="s">
        <v>3058</v>
      </c>
      <c r="D22" s="2215" t="s">
        <v>3043</v>
      </c>
      <c r="E22" s="35">
        <f t="shared" si="7"/>
        <v>7.45</v>
      </c>
      <c r="F22" s="36"/>
      <c r="G22" s="37">
        <f t="shared" si="8"/>
        <v>14.44</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14.44</v>
      </c>
      <c r="AD22" s="40"/>
      <c r="AE22" s="40"/>
      <c r="AF22" s="40"/>
      <c r="AG22" s="40"/>
      <c r="AH22" s="40"/>
      <c r="AI22" s="40"/>
      <c r="AJ22" s="40"/>
      <c r="AK22" s="40"/>
      <c r="AL22" s="40">
        <v>14.44</v>
      </c>
      <c r="AM22" s="40"/>
      <c r="AN22" s="40"/>
      <c r="AO22" s="40"/>
      <c r="AP22" s="40"/>
      <c r="AQ22" s="40"/>
      <c r="AR22" s="40"/>
      <c r="AS22" s="40"/>
      <c r="AT22" s="41"/>
      <c r="AU22" s="2216"/>
      <c r="AV22" s="1797">
        <f t="shared" si="11"/>
        <v>0</v>
      </c>
      <c r="AW22" s="1797">
        <f t="shared" si="12"/>
        <v>0</v>
      </c>
      <c r="AX22" s="1797" t="str">
        <f t="shared" si="13"/>
        <v>门卫</v>
      </c>
      <c r="AY22" s="42">
        <f t="shared" si="14"/>
        <v>7.45</v>
      </c>
      <c r="AZ22" s="35">
        <f t="shared" si="15"/>
        <v>14.44</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14.44</v>
      </c>
      <c r="BM22" s="35">
        <f t="shared" si="28"/>
        <v>0</v>
      </c>
      <c r="BN22" s="35">
        <f t="shared" si="29"/>
        <v>0</v>
      </c>
      <c r="BO22" s="35">
        <f t="shared" si="30"/>
        <v>0</v>
      </c>
      <c r="BP22" s="35">
        <f t="shared" si="31"/>
        <v>0</v>
      </c>
      <c r="BQ22" s="35">
        <f t="shared" si="32"/>
        <v>14.44</v>
      </c>
      <c r="BR22" s="35">
        <f t="shared" si="33"/>
        <v>0</v>
      </c>
      <c r="BS22" s="35">
        <f t="shared" si="34"/>
        <v>0</v>
      </c>
      <c r="BT22" s="43">
        <f t="shared" si="35"/>
        <v>0</v>
      </c>
    </row>
    <row r="23" spans="1:72">
      <c r="A23" s="9"/>
      <c r="B23" s="34"/>
      <c r="C23" s="34" t="s">
        <v>3059</v>
      </c>
      <c r="D23" s="2215" t="s">
        <v>3043</v>
      </c>
      <c r="E23" s="35">
        <f t="shared" si="7"/>
        <v>320.04000000000002</v>
      </c>
      <c r="F23" s="36"/>
      <c r="G23" s="37">
        <f t="shared" si="8"/>
        <v>620.57000000000005</v>
      </c>
      <c r="H23" s="38">
        <f t="shared" si="9"/>
        <v>620.57000000000005</v>
      </c>
      <c r="I23" s="39"/>
      <c r="J23" s="39"/>
      <c r="K23" s="39">
        <v>620.57000000000005</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37#</v>
      </c>
      <c r="AY23" s="42">
        <f t="shared" si="14"/>
        <v>320.04000000000002</v>
      </c>
      <c r="AZ23" s="35">
        <f t="shared" si="15"/>
        <v>620.57000000000005</v>
      </c>
      <c r="BA23" s="35">
        <f t="shared" si="16"/>
        <v>620.57000000000005</v>
      </c>
      <c r="BB23" s="35">
        <f t="shared" si="17"/>
        <v>0</v>
      </c>
      <c r="BC23" s="35">
        <f t="shared" si="18"/>
        <v>620.57000000000005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3060</v>
      </c>
      <c r="D24" s="2215" t="s">
        <v>3043</v>
      </c>
      <c r="E24" s="35">
        <f t="shared" si="7"/>
        <v>219.99</v>
      </c>
      <c r="F24" s="36"/>
      <c r="G24" s="37">
        <f t="shared" si="8"/>
        <v>426.57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426.57</v>
      </c>
      <c r="AD24" s="40"/>
      <c r="AE24" s="40"/>
      <c r="AF24" s="40"/>
      <c r="AG24" s="40"/>
      <c r="AH24" s="40"/>
      <c r="AI24" s="40"/>
      <c r="AJ24" s="40"/>
      <c r="AK24" s="40"/>
      <c r="AL24" s="40"/>
      <c r="AM24" s="40"/>
      <c r="AN24" s="40">
        <v>426.57</v>
      </c>
      <c r="AO24" s="40"/>
      <c r="AP24" s="40"/>
      <c r="AQ24" s="40"/>
      <c r="AR24" s="40"/>
      <c r="AS24" s="40"/>
      <c r="AT24" s="41"/>
      <c r="AU24" s="2216"/>
      <c r="AV24" s="1797">
        <f t="shared" si="11"/>
        <v>0</v>
      </c>
      <c r="AW24" s="1797">
        <f t="shared" si="12"/>
        <v>0</v>
      </c>
      <c r="AX24" s="1797" t="str">
        <f t="shared" si="13"/>
        <v>配建2#</v>
      </c>
      <c r="AY24" s="42">
        <f t="shared" si="14"/>
        <v>219.99</v>
      </c>
      <c r="AZ24" s="35">
        <f t="shared" si="15"/>
        <v>426.57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426.57</v>
      </c>
      <c r="BM24" s="35">
        <f t="shared" si="28"/>
        <v>0</v>
      </c>
      <c r="BN24" s="35">
        <f t="shared" si="29"/>
        <v>0</v>
      </c>
      <c r="BO24" s="35">
        <f t="shared" si="30"/>
        <v>0</v>
      </c>
      <c r="BP24" s="35">
        <f t="shared" si="31"/>
        <v>0</v>
      </c>
      <c r="BQ24" s="35">
        <f t="shared" si="32"/>
        <v>0</v>
      </c>
      <c r="BR24" s="35">
        <f t="shared" si="33"/>
        <v>426.57</v>
      </c>
      <c r="BS24" s="35">
        <f t="shared" si="34"/>
        <v>0</v>
      </c>
      <c r="BT24" s="43">
        <f t="shared" si="35"/>
        <v>0</v>
      </c>
    </row>
    <row r="25" spans="1:72">
      <c r="A25" s="9"/>
      <c r="B25" s="34"/>
      <c r="C25" s="34" t="s">
        <v>3061</v>
      </c>
      <c r="D25" s="2215" t="s">
        <v>3043</v>
      </c>
      <c r="E25" s="35">
        <f t="shared" si="7"/>
        <v>2427.11</v>
      </c>
      <c r="F25" s="36"/>
      <c r="G25" s="37">
        <f t="shared" si="8"/>
        <v>4706.33</v>
      </c>
      <c r="H25" s="38">
        <f t="shared" si="9"/>
        <v>4395.6899999999996</v>
      </c>
      <c r="I25" s="39">
        <v>4395.6899999999996</v>
      </c>
      <c r="J25" s="39"/>
      <c r="K25" s="39"/>
      <c r="L25" s="39"/>
      <c r="M25" s="39"/>
      <c r="N25" s="39"/>
      <c r="O25" s="39"/>
      <c r="P25" s="39"/>
      <c r="Q25" s="39"/>
      <c r="R25" s="39"/>
      <c r="S25" s="39"/>
      <c r="T25" s="39"/>
      <c r="U25" s="39"/>
      <c r="V25" s="39"/>
      <c r="W25" s="39"/>
      <c r="X25" s="39"/>
      <c r="Y25" s="39"/>
      <c r="Z25" s="39"/>
      <c r="AA25" s="39"/>
      <c r="AB25" s="39"/>
      <c r="AC25" s="35">
        <f t="shared" si="10"/>
        <v>310.64</v>
      </c>
      <c r="AD25" s="40"/>
      <c r="AE25" s="40"/>
      <c r="AF25" s="40"/>
      <c r="AG25" s="40"/>
      <c r="AH25" s="40"/>
      <c r="AI25" s="40"/>
      <c r="AJ25" s="40"/>
      <c r="AK25" s="40"/>
      <c r="AL25" s="40"/>
      <c r="AM25" s="40"/>
      <c r="AN25" s="40">
        <v>310.64</v>
      </c>
      <c r="AO25" s="40"/>
      <c r="AP25" s="40"/>
      <c r="AQ25" s="40"/>
      <c r="AR25" s="40"/>
      <c r="AS25" s="40"/>
      <c r="AT25" s="41"/>
      <c r="AU25" s="2216"/>
      <c r="AV25" s="1797">
        <f t="shared" si="11"/>
        <v>0</v>
      </c>
      <c r="AW25" s="1797">
        <f t="shared" si="12"/>
        <v>0</v>
      </c>
      <c r="AX25" s="1797" t="str">
        <f t="shared" si="13"/>
        <v>23#</v>
      </c>
      <c r="AY25" s="42">
        <f t="shared" si="14"/>
        <v>2427.11</v>
      </c>
      <c r="AZ25" s="35">
        <f t="shared" si="15"/>
        <v>4706.33</v>
      </c>
      <c r="BA25" s="35">
        <f t="shared" si="16"/>
        <v>4395.6899999999996</v>
      </c>
      <c r="BB25" s="35">
        <f t="shared" si="17"/>
        <v>4395.6899999999996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310.64</v>
      </c>
      <c r="BM25" s="35">
        <f t="shared" si="28"/>
        <v>0</v>
      </c>
      <c r="BN25" s="35">
        <f t="shared" si="29"/>
        <v>0</v>
      </c>
      <c r="BO25" s="35">
        <f t="shared" si="30"/>
        <v>0</v>
      </c>
      <c r="BP25" s="35">
        <f t="shared" si="31"/>
        <v>0</v>
      </c>
      <c r="BQ25" s="35">
        <f t="shared" si="32"/>
        <v>0</v>
      </c>
      <c r="BR25" s="35">
        <f t="shared" si="33"/>
        <v>310.64</v>
      </c>
      <c r="BS25" s="35">
        <f t="shared" si="34"/>
        <v>0</v>
      </c>
      <c r="BT25" s="43">
        <f t="shared" si="35"/>
        <v>0</v>
      </c>
    </row>
    <row r="26" spans="1:72">
      <c r="A26" s="9"/>
      <c r="B26" s="34"/>
      <c r="C26" s="34" t="s">
        <v>3062</v>
      </c>
      <c r="D26" s="2215" t="s">
        <v>3043</v>
      </c>
      <c r="E26" s="35">
        <f t="shared" si="7"/>
        <v>2845.12</v>
      </c>
      <c r="F26" s="36"/>
      <c r="G26" s="37">
        <f t="shared" si="8"/>
        <v>5516.8700000000008</v>
      </c>
      <c r="H26" s="38">
        <f t="shared" si="9"/>
        <v>5216.2700000000004</v>
      </c>
      <c r="I26" s="39"/>
      <c r="J26" s="39"/>
      <c r="K26" s="39"/>
      <c r="L26" s="39"/>
      <c r="M26" s="39">
        <v>5216.2700000000004</v>
      </c>
      <c r="N26" s="39"/>
      <c r="O26" s="39"/>
      <c r="P26" s="39"/>
      <c r="Q26" s="39"/>
      <c r="R26" s="39"/>
      <c r="S26" s="39"/>
      <c r="T26" s="39"/>
      <c r="U26" s="39"/>
      <c r="V26" s="39"/>
      <c r="W26" s="39"/>
      <c r="X26" s="39"/>
      <c r="Y26" s="39"/>
      <c r="Z26" s="39"/>
      <c r="AA26" s="39"/>
      <c r="AB26" s="39"/>
      <c r="AC26" s="35">
        <f t="shared" si="10"/>
        <v>300.60000000000002</v>
      </c>
      <c r="AD26" s="40"/>
      <c r="AE26" s="40"/>
      <c r="AF26" s="40"/>
      <c r="AG26" s="40"/>
      <c r="AH26" s="40"/>
      <c r="AI26" s="40"/>
      <c r="AJ26" s="40"/>
      <c r="AK26" s="40"/>
      <c r="AL26" s="40"/>
      <c r="AM26" s="40"/>
      <c r="AN26" s="40">
        <v>300.60000000000002</v>
      </c>
      <c r="AO26" s="40"/>
      <c r="AP26" s="40"/>
      <c r="AQ26" s="40"/>
      <c r="AR26" s="40"/>
      <c r="AS26" s="40"/>
      <c r="AT26" s="41"/>
      <c r="AU26" s="2216"/>
      <c r="AV26" s="1797">
        <f t="shared" si="11"/>
        <v>0</v>
      </c>
      <c r="AW26" s="1797">
        <f t="shared" si="12"/>
        <v>0</v>
      </c>
      <c r="AX26" s="1797" t="str">
        <f t="shared" si="13"/>
        <v>42#</v>
      </c>
      <c r="AY26" s="42">
        <f t="shared" si="14"/>
        <v>2845.12</v>
      </c>
      <c r="AZ26" s="35">
        <f t="shared" si="15"/>
        <v>5516.8700000000008</v>
      </c>
      <c r="BA26" s="35">
        <f t="shared" si="16"/>
        <v>5216.2700000000004</v>
      </c>
      <c r="BB26" s="35">
        <f t="shared" si="17"/>
        <v>0</v>
      </c>
      <c r="BC26" s="35">
        <f t="shared" si="18"/>
        <v>0</v>
      </c>
      <c r="BD26" s="35">
        <f t="shared" si="19"/>
        <v>5216.2700000000004</v>
      </c>
      <c r="BE26" s="35">
        <f t="shared" si="20"/>
        <v>0</v>
      </c>
      <c r="BF26" s="35">
        <f t="shared" si="21"/>
        <v>0</v>
      </c>
      <c r="BG26" s="35">
        <f t="shared" si="22"/>
        <v>0</v>
      </c>
      <c r="BH26" s="35">
        <f t="shared" si="23"/>
        <v>0</v>
      </c>
      <c r="BI26" s="35">
        <f t="shared" si="24"/>
        <v>0</v>
      </c>
      <c r="BJ26" s="35">
        <f t="shared" si="25"/>
        <v>0</v>
      </c>
      <c r="BK26" s="35">
        <f t="shared" si="26"/>
        <v>0</v>
      </c>
      <c r="BL26" s="35">
        <f t="shared" si="27"/>
        <v>300.60000000000002</v>
      </c>
      <c r="BM26" s="35">
        <f t="shared" si="28"/>
        <v>0</v>
      </c>
      <c r="BN26" s="35">
        <f t="shared" si="29"/>
        <v>0</v>
      </c>
      <c r="BO26" s="35">
        <f t="shared" si="30"/>
        <v>0</v>
      </c>
      <c r="BP26" s="35">
        <f t="shared" si="31"/>
        <v>0</v>
      </c>
      <c r="BQ26" s="35">
        <f t="shared" si="32"/>
        <v>0</v>
      </c>
      <c r="BR26" s="35">
        <f t="shared" si="33"/>
        <v>300.60000000000002</v>
      </c>
      <c r="BS26" s="35">
        <f t="shared" si="34"/>
        <v>0</v>
      </c>
      <c r="BT26" s="43">
        <f t="shared" si="35"/>
        <v>0</v>
      </c>
    </row>
    <row r="27" spans="1:72">
      <c r="A27" s="9"/>
      <c r="B27" s="34"/>
      <c r="C27" s="34" t="s">
        <v>3063</v>
      </c>
      <c r="D27" s="2215" t="s">
        <v>3043</v>
      </c>
      <c r="E27" s="35">
        <f t="shared" si="7"/>
        <v>2875.37</v>
      </c>
      <c r="F27" s="36"/>
      <c r="G27" s="37">
        <f t="shared" si="8"/>
        <v>5575.54</v>
      </c>
      <c r="H27" s="38">
        <f t="shared" si="9"/>
        <v>5274.94</v>
      </c>
      <c r="I27" s="39"/>
      <c r="J27" s="39"/>
      <c r="K27" s="39"/>
      <c r="L27" s="39"/>
      <c r="M27" s="39">
        <v>5274.94</v>
      </c>
      <c r="N27" s="39"/>
      <c r="O27" s="39"/>
      <c r="P27" s="39"/>
      <c r="Q27" s="39"/>
      <c r="R27" s="39"/>
      <c r="S27" s="39"/>
      <c r="T27" s="39"/>
      <c r="U27" s="39"/>
      <c r="V27" s="39"/>
      <c r="W27" s="39"/>
      <c r="X27" s="39"/>
      <c r="Y27" s="39"/>
      <c r="Z27" s="39"/>
      <c r="AA27" s="39"/>
      <c r="AB27" s="39"/>
      <c r="AC27" s="35">
        <f t="shared" si="10"/>
        <v>300.60000000000002</v>
      </c>
      <c r="AD27" s="40"/>
      <c r="AE27" s="40"/>
      <c r="AF27" s="40"/>
      <c r="AG27" s="40"/>
      <c r="AH27" s="40"/>
      <c r="AI27" s="40"/>
      <c r="AJ27" s="40"/>
      <c r="AK27" s="40"/>
      <c r="AL27" s="40"/>
      <c r="AM27" s="40"/>
      <c r="AN27" s="40">
        <v>300.60000000000002</v>
      </c>
      <c r="AO27" s="40"/>
      <c r="AP27" s="40"/>
      <c r="AQ27" s="40"/>
      <c r="AR27" s="40"/>
      <c r="AS27" s="40"/>
      <c r="AT27" s="41"/>
      <c r="AU27" s="2216"/>
      <c r="AV27" s="1797">
        <f t="shared" si="11"/>
        <v>0</v>
      </c>
      <c r="AW27" s="1797">
        <f t="shared" si="12"/>
        <v>0</v>
      </c>
      <c r="AX27" s="1797" t="str">
        <f t="shared" si="13"/>
        <v>43#</v>
      </c>
      <c r="AY27" s="42">
        <f t="shared" si="14"/>
        <v>2875.37</v>
      </c>
      <c r="AZ27" s="35">
        <f t="shared" si="15"/>
        <v>5575.54</v>
      </c>
      <c r="BA27" s="35">
        <f t="shared" si="16"/>
        <v>5274.94</v>
      </c>
      <c r="BB27" s="35">
        <f t="shared" si="17"/>
        <v>0</v>
      </c>
      <c r="BC27" s="35">
        <f t="shared" si="18"/>
        <v>0</v>
      </c>
      <c r="BD27" s="35">
        <f t="shared" si="19"/>
        <v>5274.94</v>
      </c>
      <c r="BE27" s="35">
        <f t="shared" si="20"/>
        <v>0</v>
      </c>
      <c r="BF27" s="35">
        <f t="shared" si="21"/>
        <v>0</v>
      </c>
      <c r="BG27" s="35">
        <f t="shared" si="22"/>
        <v>0</v>
      </c>
      <c r="BH27" s="35">
        <f t="shared" si="23"/>
        <v>0</v>
      </c>
      <c r="BI27" s="35">
        <f t="shared" si="24"/>
        <v>0</v>
      </c>
      <c r="BJ27" s="35">
        <f t="shared" si="25"/>
        <v>0</v>
      </c>
      <c r="BK27" s="35">
        <f t="shared" si="26"/>
        <v>0</v>
      </c>
      <c r="BL27" s="35">
        <f t="shared" si="27"/>
        <v>300.60000000000002</v>
      </c>
      <c r="BM27" s="35">
        <f t="shared" si="28"/>
        <v>0</v>
      </c>
      <c r="BN27" s="35">
        <f t="shared" si="29"/>
        <v>0</v>
      </c>
      <c r="BO27" s="35">
        <f t="shared" si="30"/>
        <v>0</v>
      </c>
      <c r="BP27" s="35">
        <f t="shared" si="31"/>
        <v>0</v>
      </c>
      <c r="BQ27" s="35">
        <f t="shared" si="32"/>
        <v>0</v>
      </c>
      <c r="BR27" s="35">
        <f t="shared" si="33"/>
        <v>300.60000000000002</v>
      </c>
      <c r="BS27" s="35">
        <f t="shared" si="34"/>
        <v>0</v>
      </c>
      <c r="BT27" s="43">
        <f t="shared" si="35"/>
        <v>0</v>
      </c>
    </row>
    <row r="28" spans="1:72">
      <c r="A28" s="9"/>
      <c r="B28" s="34"/>
      <c r="C28" s="34" t="s">
        <v>3064</v>
      </c>
      <c r="D28" s="2215" t="s">
        <v>3043</v>
      </c>
      <c r="E28" s="35">
        <f t="shared" si="7"/>
        <v>340.53</v>
      </c>
      <c r="F28" s="36"/>
      <c r="G28" s="37">
        <f t="shared" si="8"/>
        <v>660.31</v>
      </c>
      <c r="H28" s="38">
        <f t="shared" si="9"/>
        <v>660.31</v>
      </c>
      <c r="I28" s="39"/>
      <c r="J28" s="39"/>
      <c r="K28" s="39">
        <v>660.31</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36#</v>
      </c>
      <c r="AY28" s="42">
        <f t="shared" si="14"/>
        <v>340.53</v>
      </c>
      <c r="AZ28" s="35">
        <f t="shared" si="15"/>
        <v>660.31</v>
      </c>
      <c r="BA28" s="35">
        <f t="shared" si="16"/>
        <v>660.31</v>
      </c>
      <c r="BB28" s="35">
        <f t="shared" si="17"/>
        <v>0</v>
      </c>
      <c r="BC28" s="35">
        <f t="shared" si="18"/>
        <v>660.31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3065</v>
      </c>
      <c r="D29" s="2215" t="s">
        <v>3043</v>
      </c>
      <c r="E29" s="35">
        <f t="shared" si="7"/>
        <v>1056.3900000000001</v>
      </c>
      <c r="F29" s="36"/>
      <c r="G29" s="37">
        <f t="shared" si="8"/>
        <v>2048.4</v>
      </c>
      <c r="H29" s="38">
        <f t="shared" si="9"/>
        <v>2048.4</v>
      </c>
      <c r="I29" s="39"/>
      <c r="J29" s="39"/>
      <c r="K29" s="39">
        <v>2048.4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20、25、31#</v>
      </c>
      <c r="AY29" s="42">
        <f t="shared" si="14"/>
        <v>1056.3900000000001</v>
      </c>
      <c r="AZ29" s="35">
        <f t="shared" si="15"/>
        <v>2048.4</v>
      </c>
      <c r="BA29" s="35">
        <f t="shared" si="16"/>
        <v>2048.4</v>
      </c>
      <c r="BB29" s="35">
        <f t="shared" si="17"/>
        <v>0</v>
      </c>
      <c r="BC29" s="35">
        <f t="shared" si="18"/>
        <v>2048.4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3066</v>
      </c>
      <c r="D30" s="2215" t="s">
        <v>3043</v>
      </c>
      <c r="E30" s="35">
        <f t="shared" si="7"/>
        <v>911.34</v>
      </c>
      <c r="F30" s="36"/>
      <c r="G30" s="37">
        <f t="shared" si="8"/>
        <v>1767.15</v>
      </c>
      <c r="H30" s="38">
        <f t="shared" si="9"/>
        <v>1767.15</v>
      </c>
      <c r="I30" s="39"/>
      <c r="J30" s="39"/>
      <c r="K30" s="39">
        <v>1767.15</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6、10、11#</v>
      </c>
      <c r="AY30" s="42">
        <f t="shared" si="14"/>
        <v>911.34</v>
      </c>
      <c r="AZ30" s="35">
        <f t="shared" si="15"/>
        <v>1767.15</v>
      </c>
      <c r="BA30" s="35">
        <f t="shared" si="16"/>
        <v>1767.15</v>
      </c>
      <c r="BB30" s="35">
        <f t="shared" si="17"/>
        <v>0</v>
      </c>
      <c r="BC30" s="35">
        <f t="shared" si="18"/>
        <v>1767.15</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3067</v>
      </c>
      <c r="D31" s="2215" t="s">
        <v>3043</v>
      </c>
      <c r="E31" s="35">
        <f t="shared" si="7"/>
        <v>2263.0500000000002</v>
      </c>
      <c r="F31" s="36"/>
      <c r="G31" s="37">
        <f t="shared" si="8"/>
        <v>4388.2</v>
      </c>
      <c r="H31" s="38">
        <f t="shared" si="9"/>
        <v>4388.2</v>
      </c>
      <c r="I31" s="39"/>
      <c r="J31" s="39"/>
      <c r="K31" s="39">
        <v>4388.2</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t="str">
        <f t="shared" si="13"/>
        <v>7-9、12-13#</v>
      </c>
      <c r="AY31" s="42">
        <f t="shared" si="14"/>
        <v>2263.0500000000002</v>
      </c>
      <c r="AZ31" s="35">
        <f t="shared" si="15"/>
        <v>4388.2</v>
      </c>
      <c r="BA31" s="35">
        <f t="shared" si="16"/>
        <v>4388.2</v>
      </c>
      <c r="BB31" s="35">
        <f t="shared" si="17"/>
        <v>0</v>
      </c>
      <c r="BC31" s="35">
        <f t="shared" si="18"/>
        <v>4388.2</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3068</v>
      </c>
      <c r="D32" s="2215" t="s">
        <v>3043</v>
      </c>
      <c r="E32" s="35">
        <f t="shared" si="7"/>
        <v>1039.76</v>
      </c>
      <c r="F32" s="36"/>
      <c r="G32" s="37">
        <f t="shared" si="8"/>
        <v>2016.16</v>
      </c>
      <c r="H32" s="38">
        <f t="shared" si="9"/>
        <v>2016.16</v>
      </c>
      <c r="I32" s="39"/>
      <c r="J32" s="39"/>
      <c r="K32" s="39">
        <v>2016.16</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t="str">
        <f t="shared" si="13"/>
        <v>14、30#</v>
      </c>
      <c r="AY32" s="42">
        <f t="shared" si="14"/>
        <v>1039.76</v>
      </c>
      <c r="AZ32" s="35">
        <f t="shared" si="15"/>
        <v>2016.16</v>
      </c>
      <c r="BA32" s="35">
        <f t="shared" si="16"/>
        <v>2016.16</v>
      </c>
      <c r="BB32" s="35">
        <f t="shared" si="17"/>
        <v>0</v>
      </c>
      <c r="BC32" s="35">
        <f t="shared" si="18"/>
        <v>2016.16</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3069</v>
      </c>
      <c r="D33" s="2215" t="s">
        <v>3043</v>
      </c>
      <c r="E33" s="35">
        <f t="shared" si="7"/>
        <v>1362.12</v>
      </c>
      <c r="F33" s="36"/>
      <c r="G33" s="37">
        <f t="shared" si="8"/>
        <v>2641.24</v>
      </c>
      <c r="H33" s="38">
        <f t="shared" si="9"/>
        <v>2641.24</v>
      </c>
      <c r="I33" s="39"/>
      <c r="J33" s="39"/>
      <c r="K33" s="39">
        <v>2641.24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t="str">
        <f t="shared" si="13"/>
        <v>16、17、26、27#</v>
      </c>
      <c r="AY33" s="42">
        <f t="shared" si="14"/>
        <v>1362.12</v>
      </c>
      <c r="AZ33" s="35">
        <f t="shared" si="15"/>
        <v>2641.24</v>
      </c>
      <c r="BA33" s="35">
        <f t="shared" si="16"/>
        <v>2641.24</v>
      </c>
      <c r="BB33" s="35">
        <f t="shared" si="17"/>
        <v>0</v>
      </c>
      <c r="BC33" s="35">
        <f t="shared" si="18"/>
        <v>2641.24</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3070</v>
      </c>
      <c r="D34" s="2215" t="s">
        <v>3043</v>
      </c>
      <c r="E34" s="35">
        <f t="shared" si="7"/>
        <v>1056.3900000000001</v>
      </c>
      <c r="F34" s="36"/>
      <c r="G34" s="37">
        <f t="shared" si="8"/>
        <v>2048.4</v>
      </c>
      <c r="H34" s="38">
        <f t="shared" si="9"/>
        <v>2048.4</v>
      </c>
      <c r="I34" s="39"/>
      <c r="J34" s="39"/>
      <c r="K34" s="39">
        <v>2048.4</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t="str">
        <f t="shared" si="13"/>
        <v>18、19、21#</v>
      </c>
      <c r="AY34" s="42">
        <f t="shared" si="14"/>
        <v>1056.3900000000001</v>
      </c>
      <c r="AZ34" s="35">
        <f t="shared" si="15"/>
        <v>2048.4</v>
      </c>
      <c r="BA34" s="35">
        <f t="shared" si="16"/>
        <v>2048.4</v>
      </c>
      <c r="BB34" s="35">
        <f t="shared" si="17"/>
        <v>0</v>
      </c>
      <c r="BC34" s="35">
        <f t="shared" si="18"/>
        <v>2048.4</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3071</v>
      </c>
      <c r="D35" s="2215" t="s">
        <v>3043</v>
      </c>
      <c r="E35" s="35">
        <f t="shared" si="7"/>
        <v>728.05</v>
      </c>
      <c r="F35" s="36"/>
      <c r="G35" s="37">
        <f t="shared" si="8"/>
        <v>1411.74</v>
      </c>
      <c r="H35" s="38">
        <f t="shared" si="9"/>
        <v>1411.74</v>
      </c>
      <c r="I35" s="39"/>
      <c r="J35" s="39"/>
      <c r="K35" s="39">
        <v>1411.74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t="str">
        <f t="shared" si="13"/>
        <v>22、28#</v>
      </c>
      <c r="AY35" s="42">
        <f t="shared" si="14"/>
        <v>728.05</v>
      </c>
      <c r="AZ35" s="35">
        <f t="shared" si="15"/>
        <v>1411.74</v>
      </c>
      <c r="BA35" s="35">
        <f t="shared" si="16"/>
        <v>1411.74</v>
      </c>
      <c r="BB35" s="35">
        <f t="shared" si="17"/>
        <v>0</v>
      </c>
      <c r="BC35" s="35">
        <f t="shared" si="18"/>
        <v>1411.74</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3072</v>
      </c>
      <c r="D36" s="2215" t="s">
        <v>3043</v>
      </c>
      <c r="E36" s="35">
        <f t="shared" si="7"/>
        <v>519.88</v>
      </c>
      <c r="F36" s="36"/>
      <c r="G36" s="37">
        <f t="shared" si="8"/>
        <v>1008.08</v>
      </c>
      <c r="H36" s="38">
        <f t="shared" si="9"/>
        <v>1008.08</v>
      </c>
      <c r="I36" s="39"/>
      <c r="J36" s="39"/>
      <c r="K36" s="39">
        <v>1008.08</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t="str">
        <f t="shared" si="13"/>
        <v>29#</v>
      </c>
      <c r="AY36" s="42">
        <f t="shared" si="14"/>
        <v>519.88</v>
      </c>
      <c r="AZ36" s="35">
        <f t="shared" si="15"/>
        <v>1008.08</v>
      </c>
      <c r="BA36" s="35">
        <f t="shared" si="16"/>
        <v>1008.08</v>
      </c>
      <c r="BB36" s="35">
        <f t="shared" si="17"/>
        <v>0</v>
      </c>
      <c r="BC36" s="35">
        <f t="shared" si="18"/>
        <v>1008.08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3073</v>
      </c>
      <c r="D37" s="2215" t="s">
        <v>3043</v>
      </c>
      <c r="E37" s="35">
        <f t="shared" si="7"/>
        <v>508.1</v>
      </c>
      <c r="F37" s="36"/>
      <c r="G37" s="37">
        <f t="shared" si="8"/>
        <v>985.23</v>
      </c>
      <c r="H37" s="38">
        <f t="shared" si="9"/>
        <v>985.23</v>
      </c>
      <c r="I37" s="39"/>
      <c r="J37" s="39"/>
      <c r="K37" s="39">
        <v>985.23</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t="str">
        <f t="shared" si="13"/>
        <v>24#</v>
      </c>
      <c r="AY37" s="42">
        <f t="shared" si="14"/>
        <v>508.1</v>
      </c>
      <c r="AZ37" s="35">
        <f t="shared" si="15"/>
        <v>985.23</v>
      </c>
      <c r="BA37" s="35">
        <f t="shared" si="16"/>
        <v>985.23</v>
      </c>
      <c r="BB37" s="35">
        <f t="shared" si="17"/>
        <v>0</v>
      </c>
      <c r="BC37" s="35">
        <f t="shared" si="18"/>
        <v>985.23</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3074</v>
      </c>
      <c r="D38" s="2215" t="s">
        <v>3043</v>
      </c>
      <c r="E38" s="35">
        <f t="shared" si="7"/>
        <v>445.46</v>
      </c>
      <c r="F38" s="36"/>
      <c r="G38" s="37">
        <f t="shared" si="8"/>
        <v>863.78</v>
      </c>
      <c r="H38" s="38">
        <f t="shared" si="9"/>
        <v>863.78</v>
      </c>
      <c r="I38" s="39"/>
      <c r="J38" s="39"/>
      <c r="K38" s="39">
        <v>863.78</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t="str">
        <f t="shared" si="13"/>
        <v>32#</v>
      </c>
      <c r="AY38" s="42">
        <f t="shared" si="14"/>
        <v>445.46</v>
      </c>
      <c r="AZ38" s="35">
        <f t="shared" si="15"/>
        <v>863.78</v>
      </c>
      <c r="BA38" s="35">
        <f t="shared" si="16"/>
        <v>863.78</v>
      </c>
      <c r="BB38" s="35">
        <f t="shared" si="17"/>
        <v>0</v>
      </c>
      <c r="BC38" s="35">
        <f t="shared" si="18"/>
        <v>863.78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38" t="s">
        <v>3075</v>
      </c>
      <c r="D39" s="2215" t="s">
        <v>3043</v>
      </c>
      <c r="E39" s="35">
        <f t="shared" si="7"/>
        <v>22980.43</v>
      </c>
      <c r="F39" s="36"/>
      <c r="G39" s="37">
        <f t="shared" si="8"/>
        <v>44560.56</v>
      </c>
      <c r="H39" s="38">
        <f t="shared" si="9"/>
        <v>44560.56</v>
      </c>
      <c r="I39" s="39"/>
      <c r="J39" s="39"/>
      <c r="K39" s="39"/>
      <c r="L39" s="39"/>
      <c r="M39" s="39"/>
      <c r="N39" s="39"/>
      <c r="O39" s="39">
        <v>44560.56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t="str">
        <f t="shared" si="13"/>
        <v>地下车库</v>
      </c>
      <c r="AY39" s="42">
        <f t="shared" si="14"/>
        <v>22980.43</v>
      </c>
      <c r="AZ39" s="35">
        <f t="shared" si="15"/>
        <v>44560.56</v>
      </c>
      <c r="BA39" s="35">
        <f t="shared" si="16"/>
        <v>44560.56</v>
      </c>
      <c r="BB39" s="35">
        <f t="shared" si="17"/>
        <v>0</v>
      </c>
      <c r="BC39" s="35">
        <f t="shared" si="18"/>
        <v>0</v>
      </c>
      <c r="BD39" s="35">
        <f t="shared" si="19"/>
        <v>0</v>
      </c>
      <c r="BE39" s="35">
        <f t="shared" si="20"/>
        <v>44560.56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2" sqref="I22"/>
    </sheetView>
  </sheetViews>
  <sheetFormatPr defaultColWidth="9.125" defaultRowHeight="14.25"/>
  <cols>
    <col min="1" max="1" width="12.125" style="2223" customWidth="1"/>
    <col min="2" max="2" width="10.1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125" style="2223"/>
  </cols>
  <sheetData>
    <row r="1" spans="1:16" ht="18.75">
      <c r="A1" s="2222" t="s">
        <v>1932</v>
      </c>
      <c r="B1" s="1395"/>
      <c r="C1" s="1395"/>
      <c r="D1" s="1395"/>
      <c r="E1" s="1395"/>
      <c r="F1" s="1395"/>
      <c r="G1" s="1395"/>
      <c r="H1" s="1395"/>
      <c r="I1" s="1395"/>
      <c r="J1" s="1395"/>
      <c r="K1" s="1395"/>
      <c r="L1" s="1395"/>
      <c r="M1" s="1395"/>
      <c r="N1" s="1395"/>
      <c r="O1" s="1395"/>
      <c r="P1" s="1395"/>
    </row>
    <row r="2" spans="1:16" ht="15">
      <c r="A2" s="3056" t="s">
        <v>1933</v>
      </c>
      <c r="B2" s="3056"/>
      <c r="C2" s="3056"/>
      <c r="D2" s="970" t="s">
        <v>1909</v>
      </c>
      <c r="E2" s="2224" t="s">
        <v>1910</v>
      </c>
      <c r="F2" s="1395"/>
      <c r="G2" s="2225"/>
      <c r="H2" s="2226"/>
      <c r="I2" s="2227" t="s">
        <v>1934</v>
      </c>
      <c r="J2" s="1395"/>
      <c r="K2" s="1395"/>
      <c r="L2" s="1395"/>
      <c r="M2" s="1395"/>
      <c r="N2" s="1430"/>
      <c r="O2" s="1395"/>
      <c r="P2" s="1395"/>
    </row>
    <row r="3" spans="1:16" ht="15.75" thickBot="1">
      <c r="A3" s="3057" t="s">
        <v>1907</v>
      </c>
      <c r="B3" s="3057"/>
      <c r="C3" s="3057"/>
      <c r="D3" s="46">
        <f>'数据-基础表'!AY6</f>
        <v>64266.3</v>
      </c>
      <c r="E3" s="46">
        <f>'数据-基础表'!AZ5</f>
        <v>124616.56000000001</v>
      </c>
      <c r="F3" s="1395"/>
      <c r="G3" s="1402"/>
      <c r="H3" s="1250" t="s">
        <v>1908</v>
      </c>
      <c r="I3" s="55">
        <f>ROUND('数据-基础表'!B3/'数据-基础表'!A3,2)</f>
        <v>1.94</v>
      </c>
      <c r="J3" s="1395"/>
      <c r="K3" s="1395"/>
      <c r="L3" s="1395"/>
      <c r="M3" s="1395"/>
      <c r="N3" s="1430"/>
      <c r="O3" s="1395"/>
      <c r="P3" s="1395"/>
    </row>
    <row r="4" spans="1:16" ht="15">
      <c r="A4" s="3058"/>
      <c r="B4" s="3059"/>
      <c r="C4" s="3060"/>
      <c r="D4" s="2228" t="s">
        <v>1909</v>
      </c>
      <c r="E4" s="2229" t="s">
        <v>1910</v>
      </c>
      <c r="F4" s="1395"/>
      <c r="G4" s="2230" t="s">
        <v>1935</v>
      </c>
      <c r="H4" s="1250" t="s">
        <v>1915</v>
      </c>
      <c r="I4" s="55">
        <f>ROUND(SUMIF('数据-基础表'!I9:AS9,"地上",'数据-基础表'!I5:AS5)/'数据-基础表'!A3,2)</f>
        <v>1.19</v>
      </c>
      <c r="J4" s="1395"/>
      <c r="K4" s="1395"/>
      <c r="L4" s="1395"/>
      <c r="M4" s="1395"/>
      <c r="N4" s="1430"/>
      <c r="O4" s="1395"/>
      <c r="P4" s="1395"/>
    </row>
    <row r="5" spans="1:16">
      <c r="A5" s="47" t="s">
        <v>1911</v>
      </c>
      <c r="B5" s="3061" t="s">
        <v>1912</v>
      </c>
      <c r="C5" s="3061"/>
      <c r="D5" s="48">
        <f>ROUND($D$3*E5/$E$3,2)</f>
        <v>38530.49</v>
      </c>
      <c r="E5" s="49">
        <f>SUMIF('数据-基础表'!$11:$11,"住宅",'数据-基础表'!$5:$5)</f>
        <v>74713.14</v>
      </c>
      <c r="F5" s="1395"/>
      <c r="G5" s="1402"/>
      <c r="H5" s="1250" t="s">
        <v>1908</v>
      </c>
      <c r="I5" s="55">
        <f>ROUND(E31/D31,2)</f>
        <v>1.94</v>
      </c>
      <c r="J5" s="1395"/>
      <c r="K5" s="1395"/>
      <c r="L5" s="1395"/>
      <c r="M5" s="1395"/>
      <c r="N5" s="1395"/>
      <c r="O5" s="1395"/>
      <c r="P5" s="1395"/>
    </row>
    <row r="6" spans="1:16" ht="15" thickBot="1">
      <c r="A6" s="2231"/>
      <c r="B6" s="3061" t="s">
        <v>1913</v>
      </c>
      <c r="C6" s="3061"/>
      <c r="D6" s="48">
        <f>ROUND($D$3*E6/$E$3,2)</f>
        <v>25735.81</v>
      </c>
      <c r="E6" s="49">
        <f>E3-E5</f>
        <v>49903.420000000013</v>
      </c>
      <c r="F6" s="1395"/>
      <c r="G6" s="2232" t="s">
        <v>1914</v>
      </c>
      <c r="H6" s="1402" t="s">
        <v>1915</v>
      </c>
      <c r="I6" s="942">
        <f>ROUND(F31/D31,2)</f>
        <v>1.19</v>
      </c>
      <c r="J6" s="1395"/>
      <c r="K6" s="1395"/>
      <c r="L6" s="1395"/>
      <c r="M6" s="1395"/>
      <c r="N6" s="1395"/>
      <c r="O6" s="1395"/>
      <c r="P6" s="1395"/>
    </row>
    <row r="7" spans="1:16" ht="15">
      <c r="A7" s="3053"/>
      <c r="B7" s="3054"/>
      <c r="C7" s="3055"/>
      <c r="D7" s="2228" t="s">
        <v>1909</v>
      </c>
      <c r="E7" s="2233" t="s">
        <v>1916</v>
      </c>
      <c r="F7" s="1395"/>
      <c r="G7" s="2225" t="s">
        <v>1917</v>
      </c>
      <c r="H7" s="64"/>
      <c r="I7" s="420"/>
      <c r="J7" s="1395"/>
      <c r="K7" s="1395"/>
      <c r="L7" s="1395"/>
      <c r="M7" s="1395"/>
      <c r="N7" s="1395"/>
      <c r="O7" s="1395"/>
      <c r="P7" s="1395"/>
    </row>
    <row r="8" spans="1:16">
      <c r="A8" s="47" t="s">
        <v>1918</v>
      </c>
      <c r="B8" s="50" t="s">
        <v>1919</v>
      </c>
      <c r="C8" s="48" t="s">
        <v>1920</v>
      </c>
      <c r="D8" s="48">
        <f t="shared" ref="D8:D15" si="0">ROUND($D$3*E8/$E$3,2)</f>
        <v>38530.49</v>
      </c>
      <c r="E8" s="51">
        <f>SUMIF('数据-基础表'!BB10:BK10,"地上",'数据-基础表'!BB5:BK5)</f>
        <v>74713.14</v>
      </c>
      <c r="F8" s="1395"/>
      <c r="G8" s="2234"/>
      <c r="H8" s="2234"/>
      <c r="I8" s="1395"/>
      <c r="J8" s="1395"/>
      <c r="K8" s="1395"/>
      <c r="L8" s="1395"/>
      <c r="M8" s="1395"/>
      <c r="N8" s="1395"/>
      <c r="O8" s="1395"/>
      <c r="P8" s="1395"/>
    </row>
    <row r="9" spans="1:16">
      <c r="A9" s="2235"/>
      <c r="B9" s="2236"/>
      <c r="C9" s="48" t="s">
        <v>1921</v>
      </c>
      <c r="D9" s="48">
        <f t="shared" si="0"/>
        <v>0</v>
      </c>
      <c r="E9" s="52">
        <v>0</v>
      </c>
      <c r="F9" s="1395"/>
      <c r="G9" s="2234"/>
      <c r="H9" s="2234"/>
      <c r="I9" s="1395"/>
      <c r="J9" s="1395"/>
      <c r="K9" s="1395"/>
      <c r="L9" s="1395"/>
      <c r="M9" s="1395"/>
      <c r="N9" s="1395"/>
      <c r="O9" s="1395"/>
      <c r="P9" s="1395"/>
    </row>
    <row r="10" spans="1:16">
      <c r="A10" s="2235"/>
      <c r="B10" s="2236"/>
      <c r="C10" s="48" t="s">
        <v>1930</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1922</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1923</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1924</v>
      </c>
      <c r="D13" s="48">
        <f t="shared" si="0"/>
        <v>22980.43</v>
      </c>
      <c r="E13" s="51">
        <f>SUMPRODUCT(('数据-基础表'!BB10:BK10="地下")*('数据-基础表'!BB11:BK11="车库")*('数据-基础表'!BB5:BK5))</f>
        <v>44560.56</v>
      </c>
      <c r="F13" s="1395"/>
      <c r="G13" s="2234"/>
      <c r="H13" s="2234"/>
      <c r="I13" s="1395"/>
      <c r="J13" s="1395"/>
      <c r="K13" s="1395"/>
      <c r="L13" s="1395"/>
      <c r="M13" s="1395"/>
      <c r="N13" s="1395"/>
      <c r="O13" s="1395"/>
      <c r="P13" s="1395"/>
    </row>
    <row r="14" spans="1:16">
      <c r="A14" s="2235"/>
      <c r="B14" s="2236"/>
      <c r="C14" s="48" t="s">
        <v>1936</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1931</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1925</v>
      </c>
      <c r="D16" s="50">
        <f>SUM(D8:D15)</f>
        <v>61510.92</v>
      </c>
      <c r="E16" s="53">
        <f>SUM(E8:E15)</f>
        <v>119273.7</v>
      </c>
      <c r="F16" s="1395"/>
      <c r="G16" s="2234"/>
      <c r="H16" s="2237" t="s">
        <v>1937</v>
      </c>
      <c r="I16" s="2238"/>
      <c r="J16" s="1395"/>
      <c r="K16" s="3050" t="s">
        <v>1937</v>
      </c>
      <c r="L16" s="3051"/>
      <c r="M16" s="3051"/>
      <c r="N16" s="3051"/>
      <c r="O16" s="3051"/>
      <c r="P16" s="3052"/>
    </row>
    <row r="17" spans="1:19" ht="15">
      <c r="A17" s="2239" t="s">
        <v>1938</v>
      </c>
      <c r="B17" s="2240" t="s">
        <v>1939</v>
      </c>
      <c r="C17" s="2241" t="s">
        <v>1940</v>
      </c>
      <c r="D17" s="2242" t="s">
        <v>1928</v>
      </c>
      <c r="E17" s="2243" t="s">
        <v>1929</v>
      </c>
      <c r="F17" s="2244"/>
      <c r="G17" s="2245"/>
      <c r="H17" s="2246" t="s">
        <v>1941</v>
      </c>
      <c r="I17" s="2247" t="s">
        <v>1926</v>
      </c>
      <c r="J17" s="1395"/>
      <c r="K17" s="3047" t="s">
        <v>1942</v>
      </c>
      <c r="L17" s="3048"/>
      <c r="M17" s="3049"/>
      <c r="N17" s="3047" t="s">
        <v>1943</v>
      </c>
      <c r="O17" s="3048"/>
      <c r="P17" s="3049"/>
      <c r="R17" s="2225" t="s">
        <v>1944</v>
      </c>
      <c r="S17" s="64"/>
    </row>
    <row r="18" spans="1:19" ht="15">
      <c r="A18" s="2235"/>
      <c r="B18" s="2248"/>
      <c r="C18" s="2249"/>
      <c r="D18" s="2250"/>
      <c r="E18" s="2251" t="s">
        <v>1945</v>
      </c>
      <c r="F18" s="2252" t="s">
        <v>1946</v>
      </c>
      <c r="G18" s="2253" t="s">
        <v>1947</v>
      </c>
      <c r="H18" s="1265" t="s">
        <v>1948</v>
      </c>
      <c r="I18" s="2254" t="s">
        <v>1949</v>
      </c>
      <c r="J18" s="1395"/>
      <c r="K18" s="1265" t="s">
        <v>1950</v>
      </c>
      <c r="L18" s="2255" t="s">
        <v>1951</v>
      </c>
      <c r="M18" s="1049" t="s">
        <v>1952</v>
      </c>
      <c r="N18" s="1265" t="s">
        <v>1950</v>
      </c>
      <c r="O18" s="2255" t="s">
        <v>1951</v>
      </c>
      <c r="P18" s="1049" t="s">
        <v>1952</v>
      </c>
      <c r="R18" s="1250" t="s">
        <v>1953</v>
      </c>
      <c r="S18" s="1250" t="s">
        <v>1954</v>
      </c>
    </row>
    <row r="19" spans="1:19">
      <c r="A19" s="2256"/>
      <c r="B19" s="50" t="s">
        <v>1927</v>
      </c>
      <c r="C19" s="2939" t="s">
        <v>3078</v>
      </c>
      <c r="D19" s="48">
        <f>ROUND($D$3*E19/$E$3,2)</f>
        <v>13589.7</v>
      </c>
      <c r="E19" s="56">
        <f t="shared" ref="E19:E26" si="1">SUM(F19:G19)</f>
        <v>26351.31</v>
      </c>
      <c r="F19" s="57">
        <f>'数据-基础表'!I5</f>
        <v>26351.31</v>
      </c>
      <c r="G19" s="58"/>
      <c r="H19" s="723">
        <f>ROUND($D$3*I19/$E$3,2)</f>
        <v>608.75</v>
      </c>
      <c r="I19" s="51">
        <f t="shared" ref="I19:I26" si="2">IF($I$17="自定义",P19,M19)</f>
        <v>1180.4100000000001</v>
      </c>
      <c r="J19" s="1395"/>
      <c r="K19" s="1394">
        <f t="shared" ref="K19:K26" si="3">ROUND(E$28*E19/E$27,2)</f>
        <v>1180.4100000000001</v>
      </c>
      <c r="L19" s="1250">
        <f t="shared" ref="L19:L26" si="4">ROUND(IF(COUNTIF(C19,"*住宅*")&gt;0,E$29*E19/E$32,0),2)</f>
        <v>0</v>
      </c>
      <c r="M19" s="1406">
        <f>K19+L19</f>
        <v>1180.4100000000001</v>
      </c>
      <c r="N19" s="2257"/>
      <c r="O19" s="2258"/>
      <c r="P19" s="1406">
        <f>N19+O19</f>
        <v>0</v>
      </c>
      <c r="R19" s="1250">
        <f t="shared" ref="R19:S26" si="5">D19+H19</f>
        <v>14198.45</v>
      </c>
      <c r="S19" s="1251">
        <f t="shared" si="5"/>
        <v>27531.72</v>
      </c>
    </row>
    <row r="20" spans="1:19">
      <c r="A20" s="2259"/>
      <c r="B20" s="50" t="s">
        <v>1955</v>
      </c>
      <c r="C20" s="2939" t="s">
        <v>3079</v>
      </c>
      <c r="D20" s="48">
        <f t="shared" ref="D20:D26" si="6">ROUND($D$3*E20/$E$3,2)</f>
        <v>12924.09</v>
      </c>
      <c r="E20" s="56">
        <f t="shared" si="1"/>
        <v>25060.65</v>
      </c>
      <c r="F20" s="57">
        <f>'数据-基础表'!K5</f>
        <v>25060.65</v>
      </c>
      <c r="G20" s="58"/>
      <c r="H20" s="723">
        <f t="shared" ref="H20:H26" si="7">ROUND($D$3*I20/$E$3,2)</f>
        <v>578.92999999999995</v>
      </c>
      <c r="I20" s="51">
        <f t="shared" si="2"/>
        <v>1122.5899999999999</v>
      </c>
      <c r="J20" s="1395"/>
      <c r="K20" s="1394">
        <f t="shared" si="3"/>
        <v>1122.5899999999999</v>
      </c>
      <c r="L20" s="1250">
        <f t="shared" si="4"/>
        <v>0</v>
      </c>
      <c r="M20" s="1406">
        <f t="shared" ref="M20:M26" si="8">K20+L20</f>
        <v>1122.5899999999999</v>
      </c>
      <c r="N20" s="2257"/>
      <c r="O20" s="2258"/>
      <c r="P20" s="1406">
        <f t="shared" ref="P20:P26" si="9">N20+O20</f>
        <v>0</v>
      </c>
      <c r="R20" s="1250">
        <f t="shared" si="5"/>
        <v>13503.02</v>
      </c>
      <c r="S20" s="1251">
        <f t="shared" si="5"/>
        <v>26183.24</v>
      </c>
    </row>
    <row r="21" spans="1:19">
      <c r="A21" s="2259"/>
      <c r="B21" s="50" t="s">
        <v>1955</v>
      </c>
      <c r="C21" s="2939" t="s">
        <v>3250</v>
      </c>
      <c r="D21" s="48">
        <f t="shared" si="6"/>
        <v>12016.71</v>
      </c>
      <c r="E21" s="56">
        <f t="shared" si="1"/>
        <v>23301.179999999997</v>
      </c>
      <c r="F21" s="57">
        <f>'数据-基础表'!M5</f>
        <v>23301.179999999997</v>
      </c>
      <c r="G21" s="58"/>
      <c r="H21" s="723">
        <f t="shared" si="7"/>
        <v>538.29</v>
      </c>
      <c r="I21" s="51">
        <f t="shared" si="2"/>
        <v>1043.78</v>
      </c>
      <c r="J21" s="1395"/>
      <c r="K21" s="1394">
        <f t="shared" si="3"/>
        <v>1043.78</v>
      </c>
      <c r="L21" s="1250">
        <f t="shared" si="4"/>
        <v>0</v>
      </c>
      <c r="M21" s="1406">
        <f t="shared" si="8"/>
        <v>1043.78</v>
      </c>
      <c r="N21" s="2257"/>
      <c r="O21" s="2258"/>
      <c r="P21" s="1406">
        <f t="shared" si="9"/>
        <v>0</v>
      </c>
      <c r="R21" s="1250">
        <f t="shared" si="5"/>
        <v>12555</v>
      </c>
      <c r="S21" s="1251">
        <f t="shared" si="5"/>
        <v>24344.959999999995</v>
      </c>
    </row>
    <row r="22" spans="1:19">
      <c r="A22" s="2259"/>
      <c r="B22" s="50" t="s">
        <v>1955</v>
      </c>
      <c r="C22" s="2940" t="s">
        <v>3081</v>
      </c>
      <c r="D22" s="48">
        <f t="shared" si="6"/>
        <v>22980.43</v>
      </c>
      <c r="E22" s="56">
        <f t="shared" si="1"/>
        <v>44560.56</v>
      </c>
      <c r="F22" s="61"/>
      <c r="G22" s="62">
        <f>'数据-基础表'!O5</f>
        <v>44560.56</v>
      </c>
      <c r="H22" s="723">
        <f t="shared" si="7"/>
        <v>1029.4100000000001</v>
      </c>
      <c r="I22" s="51">
        <f t="shared" si="2"/>
        <v>1996.09</v>
      </c>
      <c r="J22" s="1395"/>
      <c r="K22" s="1394">
        <f t="shared" si="3"/>
        <v>1996.09</v>
      </c>
      <c r="L22" s="1250">
        <f t="shared" si="4"/>
        <v>0</v>
      </c>
      <c r="M22" s="1406">
        <f t="shared" si="8"/>
        <v>1996.09</v>
      </c>
      <c r="N22" s="2257"/>
      <c r="O22" s="2258"/>
      <c r="P22" s="1406">
        <f t="shared" si="9"/>
        <v>0</v>
      </c>
      <c r="R22" s="1250">
        <f t="shared" si="5"/>
        <v>24009.84</v>
      </c>
      <c r="S22" s="1251">
        <f t="shared" si="5"/>
        <v>46556.649999999994</v>
      </c>
    </row>
    <row r="23" spans="1:19">
      <c r="A23" s="2259"/>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29.25" thickBot="1">
      <c r="A27" s="2259"/>
      <c r="B27" s="48"/>
      <c r="C27" s="2262" t="s">
        <v>1956</v>
      </c>
      <c r="D27" s="1396">
        <f>SUM(D19:D26)</f>
        <v>61510.93</v>
      </c>
      <c r="E27" s="1397">
        <f>IF(SUM(E19:E26)='数据-基础表'!BA5,SUM(E19:E26),IF(F27="地上面积有误","面积有误","地下面积有误"))</f>
        <v>119273.7</v>
      </c>
      <c r="F27" s="1396">
        <f>IF(SUM(F19:F26)=E8,SUM(F19:F26),"地上面积有误")</f>
        <v>74713.14</v>
      </c>
      <c r="G27" s="1398">
        <f>SUM(G19:G26)</f>
        <v>44560.56</v>
      </c>
      <c r="H27" s="1399">
        <f>SUM(H19:H26)</f>
        <v>2755.38</v>
      </c>
      <c r="I27" s="1400">
        <f>SUM(I19:I26)</f>
        <v>5342.87</v>
      </c>
      <c r="J27" s="1395"/>
      <c r="K27" s="1403">
        <f>SUM(K19:K26)</f>
        <v>5342.87</v>
      </c>
      <c r="L27" s="1404">
        <f>SUM(L19:L26)</f>
        <v>0</v>
      </c>
      <c r="M27" s="1407">
        <f>SUM(M19:M26)</f>
        <v>5342.87</v>
      </c>
      <c r="N27" s="1403">
        <f t="shared" ref="N27:O27" si="10">SUM(N19:N26)</f>
        <v>0</v>
      </c>
      <c r="O27" s="1404">
        <f t="shared" si="10"/>
        <v>0</v>
      </c>
      <c r="P27" s="1405">
        <f>SUM(P19:P26)</f>
        <v>0</v>
      </c>
      <c r="R27" s="1252" t="str">
        <f>IF(SUM(R19:R26)=$D$3,SUM(R19:R26),SUM(R19:R26)&amp;"误差"&amp;ROUND(SUM(R19:R26)-$D$3,2))</f>
        <v>64266.31误差0.01</v>
      </c>
      <c r="S27" s="1250" t="str">
        <f>IF(SUM(S19:S26)=$E$3,SUM(S19:S26),SUM(S19:S26)&amp;"误差"&amp;ROUND(SUM(S19:S26)-E3,2))</f>
        <v>124616.57误差0.01</v>
      </c>
    </row>
    <row r="28" spans="1:19">
      <c r="A28" s="2259"/>
      <c r="B28" s="50" t="s">
        <v>1957</v>
      </c>
      <c r="C28" s="1262" t="s">
        <v>1958</v>
      </c>
      <c r="D28" s="48">
        <f>ROUND($D$3*E28/$E$3,2)</f>
        <v>2755.38</v>
      </c>
      <c r="E28" s="56">
        <f>SUM(F28:G28)</f>
        <v>5342.86</v>
      </c>
      <c r="F28" s="64">
        <f>'数据-基础表'!BQ5+'数据-基础表'!BS5</f>
        <v>1976.8500000000001</v>
      </c>
      <c r="G28" s="65">
        <f>'数据-基础表'!BR5+'数据-基础表'!BT5</f>
        <v>3366.0099999999998</v>
      </c>
      <c r="H28" s="1395"/>
      <c r="I28" s="1395"/>
      <c r="J28" s="1395"/>
      <c r="K28" s="1395"/>
      <c r="L28" s="1395"/>
      <c r="M28" s="1395"/>
      <c r="N28" s="1395"/>
      <c r="O28" s="1395"/>
      <c r="P28" s="1395"/>
    </row>
    <row r="29" spans="1:19">
      <c r="A29" s="2259"/>
      <c r="B29" s="50" t="s">
        <v>1957</v>
      </c>
      <c r="C29" s="2263"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1956</v>
      </c>
      <c r="D30" s="1396">
        <f>SUM(D28:D29)</f>
        <v>2755.38</v>
      </c>
      <c r="E30" s="1396">
        <f>SUM(E28:E29)</f>
        <v>5342.86</v>
      </c>
      <c r="F30" s="1396">
        <f>SUM(F28:F29)</f>
        <v>1976.8500000000001</v>
      </c>
      <c r="G30" s="1398">
        <f>SUM(G28:G29)</f>
        <v>3366.0099999999998</v>
      </c>
      <c r="H30" s="1395"/>
      <c r="I30" s="1395"/>
      <c r="J30" s="1395"/>
      <c r="K30" s="1395"/>
      <c r="L30" s="1395"/>
      <c r="M30" s="1395"/>
      <c r="N30" s="1395"/>
      <c r="O30" s="1395"/>
      <c r="P30" s="1395"/>
    </row>
    <row r="31" spans="1:19" ht="15.75" thickBot="1">
      <c r="A31" s="2265"/>
      <c r="B31" s="2266"/>
      <c r="C31" s="1010" t="s">
        <v>1960</v>
      </c>
      <c r="D31" s="729">
        <f>D27+D30</f>
        <v>64266.31</v>
      </c>
      <c r="E31" s="729">
        <f>E27+E30</f>
        <v>124616.56</v>
      </c>
      <c r="F31" s="730">
        <f>F27+F30</f>
        <v>76689.990000000005</v>
      </c>
      <c r="G31" s="731">
        <f>G27+G30</f>
        <v>47926.57</v>
      </c>
      <c r="H31" s="1395"/>
      <c r="I31" s="1395"/>
      <c r="J31" s="1395"/>
      <c r="K31" s="1395"/>
      <c r="L31" s="1395"/>
      <c r="M31" s="1395"/>
      <c r="N31" s="1395"/>
      <c r="O31" s="1395"/>
      <c r="P31" s="1395"/>
    </row>
    <row r="32" spans="1:19">
      <c r="A32" s="2230"/>
      <c r="B32" s="2230" t="s">
        <v>1961</v>
      </c>
      <c r="C32" s="2230"/>
      <c r="D32" s="2230"/>
      <c r="E32" s="1277">
        <f>SUMIF(C19:C26,"*住宅*",E19:E26)</f>
        <v>23301.179999999997</v>
      </c>
      <c r="F32" s="2230"/>
      <c r="G32" s="2230"/>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14" sqref="K14"/>
    </sheetView>
  </sheetViews>
  <sheetFormatPr defaultColWidth="13.625" defaultRowHeight="12.75"/>
  <cols>
    <col min="1" max="1" width="20.875" style="2341" customWidth="1"/>
    <col min="2" max="2" width="12" style="2271" customWidth="1"/>
    <col min="3" max="3" width="10.62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625" style="2271" customWidth="1"/>
    <col min="31" max="31" width="8" style="2271" customWidth="1"/>
    <col min="32" max="34" width="7.125" style="2271" customWidth="1"/>
    <col min="35" max="39" width="8" style="2271" customWidth="1"/>
    <col min="40" max="40" width="13.625" style="2270"/>
    <col min="41" max="41" width="11.625" style="2270" customWidth="1"/>
    <col min="42" max="42" width="9.625" style="2270" customWidth="1"/>
    <col min="43" max="67" width="13.625" style="2270"/>
    <col min="68" max="16384" width="13.625" style="2271"/>
  </cols>
  <sheetData>
    <row r="1" spans="1:67" ht="19.5" thickBot="1">
      <c r="A1" s="2268" t="s">
        <v>1962</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1963</v>
      </c>
      <c r="B2" s="1269">
        <f>项目基本情况!D3</f>
        <v>43357</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1970</v>
      </c>
      <c r="B5" s="2286" t="s">
        <v>1971</v>
      </c>
      <c r="C5" s="2287" t="s">
        <v>1972</v>
      </c>
      <c r="D5" s="2288" t="s">
        <v>1973</v>
      </c>
      <c r="E5" s="1271" t="s">
        <v>1974</v>
      </c>
      <c r="F5" s="2289" t="s">
        <v>1975</v>
      </c>
      <c r="G5" s="1271" t="s">
        <v>1976</v>
      </c>
      <c r="H5" s="1271" t="s">
        <v>1977</v>
      </c>
      <c r="I5" s="1271" t="s">
        <v>1978</v>
      </c>
      <c r="J5" s="2290" t="s">
        <v>1979</v>
      </c>
      <c r="K5" s="2291" t="s">
        <v>1980</v>
      </c>
      <c r="L5" s="2292" t="s">
        <v>1981</v>
      </c>
      <c r="M5" s="2293" t="s">
        <v>1982</v>
      </c>
      <c r="N5" s="2294" t="s">
        <v>1983</v>
      </c>
      <c r="O5" s="2292" t="s">
        <v>1984</v>
      </c>
      <c r="P5" s="2295" t="s">
        <v>1985</v>
      </c>
      <c r="Q5" s="69" t="s">
        <v>1986</v>
      </c>
      <c r="R5" s="2296" t="s">
        <v>1987</v>
      </c>
      <c r="S5" s="2297" t="s">
        <v>1988</v>
      </c>
      <c r="T5" s="2298" t="s">
        <v>1989</v>
      </c>
      <c r="U5" s="1270" t="s">
        <v>1990</v>
      </c>
      <c r="V5" s="1271" t="s">
        <v>1991</v>
      </c>
      <c r="W5" s="1271" t="s">
        <v>1992</v>
      </c>
      <c r="X5" s="71"/>
      <c r="Y5" s="70" t="s">
        <v>1993</v>
      </c>
      <c r="Z5" s="2299" t="s">
        <v>1990</v>
      </c>
      <c r="AA5" s="1271" t="s">
        <v>1991</v>
      </c>
      <c r="AB5" s="1271" t="s">
        <v>1992</v>
      </c>
      <c r="AC5" s="71"/>
      <c r="AD5" s="71" t="s">
        <v>1993</v>
      </c>
      <c r="AE5" s="1270" t="s">
        <v>1994</v>
      </c>
      <c r="AF5" s="1271" t="s">
        <v>1995</v>
      </c>
      <c r="AG5" s="70" t="s">
        <v>1996</v>
      </c>
      <c r="AH5" s="1270" t="s">
        <v>1997</v>
      </c>
      <c r="AI5" s="2299" t="s">
        <v>1998</v>
      </c>
      <c r="AJ5" s="2299" t="s">
        <v>1999</v>
      </c>
      <c r="AK5" s="1271" t="s">
        <v>2000</v>
      </c>
      <c r="AL5" s="1271" t="s">
        <v>2001</v>
      </c>
      <c r="AM5" s="70" t="s">
        <v>2002</v>
      </c>
      <c r="AN5" s="2300" t="s">
        <v>2003</v>
      </c>
      <c r="AO5" s="2071" t="s">
        <v>2004</v>
      </c>
      <c r="AP5" s="1252" t="s">
        <v>2005</v>
      </c>
      <c r="AQ5" s="2301" t="s">
        <v>2006</v>
      </c>
      <c r="AR5" s="2301"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洋房</v>
      </c>
      <c r="B6" s="2303" t="str">
        <f>IF(A6=0,"","经营性")</f>
        <v>经营性</v>
      </c>
      <c r="C6" s="2304" t="s">
        <v>3045</v>
      </c>
      <c r="D6" s="1054">
        <f>SUMIF(项目基本情况!D$12:I$12,C6,项目基本情况!D$14:I$14)</f>
        <v>70</v>
      </c>
      <c r="E6" s="1051">
        <f>IF(B6="","",SUMIF(项目基本情况!D$12:I$12,C6,项目基本情况!D$13:I$13))</f>
        <v>68531</v>
      </c>
      <c r="F6" s="72">
        <f>SUMIF(项目基本情况!D$12:I$12,C6,项目基本情况!D$15:I$15)</f>
        <v>68.959999999999994</v>
      </c>
      <c r="G6" s="73">
        <f>IF(ISERROR(ROUND(POWER(1+H6,D6-F6)*(POWER(1+H6,F6)-1)/(POWER(1+H6,D6)-1),3)),0,ROUND(POWER(1+H6,D6-F6)*(POWER(1+H6,F6)-1)/(POWER(1+H6,D6)-1),3))</f>
        <v>0.997</v>
      </c>
      <c r="H6" s="802">
        <v>0.04</v>
      </c>
      <c r="I6" s="802">
        <v>4.4999999999999998E-2</v>
      </c>
      <c r="J6" s="74">
        <v>8.5000000000000006E-2</v>
      </c>
      <c r="K6" s="1254">
        <f>SUMIF('数据-汇总表'!C$19:C$33,A6,'数据-汇总表'!E$19:E$33)</f>
        <v>26351.31</v>
      </c>
      <c r="L6" s="803">
        <v>1800</v>
      </c>
      <c r="M6" s="75">
        <f t="shared" ref="M6:M14" si="0">ROUND(K6*L6/10000,0)</f>
        <v>4743</v>
      </c>
      <c r="N6" s="801">
        <v>0.3</v>
      </c>
      <c r="O6" s="75">
        <f>IF($N$5="成新度","——",ROUND(M6*N6,0))</f>
        <v>1423</v>
      </c>
      <c r="P6" s="76">
        <f>IF($N$5="成新度","——",M6-O6)</f>
        <v>3320</v>
      </c>
      <c r="Q6" s="804">
        <v>0.05</v>
      </c>
      <c r="R6" s="77">
        <f ca="1">SUMIF('数据-汇总表'!C$19:C$33,A6,'数据-汇总表'!R$19:R$27)</f>
        <v>14198.45</v>
      </c>
      <c r="S6" s="54">
        <f>IF('数据-汇总表'!$I$17="按面积比例",SUMIF('数据-汇总表'!C$19:C$33,A6,'数据-汇总表'!K$19:K$33),SUMIF('数据-汇总表'!C$19:C$33,A6,'数据-汇总表'!N$19:N$33))</f>
        <v>1180.4100000000001</v>
      </c>
      <c r="T6" s="1446">
        <f>ROUND($L$14*S6/10000,0)</f>
        <v>236</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5"/>
      <c r="AO6" s="55" t="e">
        <f ca="1">SUMIF(INDIRECT("'"&amp;AN6&amp;"'"&amp;"!A:A"),"总价",INDIRECT("'"&amp;AN6&amp;"'"&amp;"!B:B"))</f>
        <v>#REF!</v>
      </c>
      <c r="AP6" s="2306">
        <f>IF(C6="住宅",K6*L6,0)</f>
        <v>47432358</v>
      </c>
      <c r="AQ6" s="55">
        <f>ROUND($L$14*$N$14*S6/10000,0)</f>
        <v>47</v>
      </c>
      <c r="AR6" s="55">
        <f>ROUND($L$14*(1-$N$14)*S6/10000,0)</f>
        <v>189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联排</v>
      </c>
      <c r="B7" s="2303" t="str">
        <f t="shared" ref="B7:B13" si="1">IF(A7=0,"","经营性")</f>
        <v>经营性</v>
      </c>
      <c r="C7" s="2304" t="s">
        <v>3045</v>
      </c>
      <c r="D7" s="1054">
        <f>SUMIF(项目基本情况!D$12:I$12,C7,项目基本情况!D$14:I$14)</f>
        <v>70</v>
      </c>
      <c r="E7" s="1051">
        <f>IF(B7="","",SUMIF(项目基本情况!D$12:I$12,C7,项目基本情况!D$13:I$13))</f>
        <v>68531</v>
      </c>
      <c r="F7" s="72">
        <f>SUMIF(项目基本情况!D$12:I$12,C7,项目基本情况!D$15:I$15)</f>
        <v>68.959999999999994</v>
      </c>
      <c r="G7" s="73">
        <f t="shared" ref="G7:G11" si="2">IF(ISERROR(ROUND(POWER(1+H7,D7-F7)*(POWER(1+H7,F7)-1)/(POWER(1+H7,D7)-1),3)),0,ROUND(POWER(1+H7,D7-F7)*(POWER(1+H7,F7)-1)/(POWER(1+H7,D7)-1),3))</f>
        <v>0.997</v>
      </c>
      <c r="H7" s="802">
        <v>0.04</v>
      </c>
      <c r="I7" s="802">
        <v>4.4999999999999998E-2</v>
      </c>
      <c r="J7" s="74">
        <v>8.5000000000000006E-2</v>
      </c>
      <c r="K7" s="1254">
        <f>SUMIF('数据-汇总表'!C$19:C$33,A7,'数据-汇总表'!E$19:E$33)</f>
        <v>25060.65</v>
      </c>
      <c r="L7" s="803">
        <v>1800</v>
      </c>
      <c r="M7" s="75">
        <f t="shared" si="0"/>
        <v>4511</v>
      </c>
      <c r="N7" s="801">
        <v>0.3</v>
      </c>
      <c r="O7" s="75">
        <f t="shared" ref="O7:O14" si="3">IF($N$5="成新度","——",ROUND(M7*N7,0))</f>
        <v>1353</v>
      </c>
      <c r="P7" s="76">
        <f t="shared" ref="P7:P14" si="4">IF($N$5="成新度","——",M7-O7)</f>
        <v>3158</v>
      </c>
      <c r="Q7" s="804">
        <v>0.1</v>
      </c>
      <c r="R7" s="77">
        <f ca="1">SUMIF('数据-汇总表'!C$19:C$33,A7,'数据-汇总表'!R$19:R$27)</f>
        <v>13503.02</v>
      </c>
      <c r="S7" s="54">
        <f>IF('数据-汇总表'!$I$17="按面积比例",SUMIF('数据-汇总表'!C$19:C$33,A7,'数据-汇总表'!K$19:K$33),SUMIF('数据-汇总表'!C$19:C$33,A7,'数据-汇总表'!N$19:N$33))</f>
        <v>1122.5899999999999</v>
      </c>
      <c r="T7" s="1446">
        <f t="shared" ref="T7:T13" si="5">ROUND($L$14*S7/10000,0)</f>
        <v>225</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45109170</v>
      </c>
      <c r="AQ7" s="55">
        <f t="shared" ref="AQ7:AQ13" si="10">ROUND($L$14*$N$14*S7/10000,0)</f>
        <v>45</v>
      </c>
      <c r="AR7" s="55">
        <f t="shared" ref="AR7:AR13" si="11">ROUND($L$14*(1-$N$14)*S7/10000,0)</f>
        <v>180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住宅</v>
      </c>
      <c r="B8" s="2303" t="str">
        <f t="shared" si="1"/>
        <v>经营性</v>
      </c>
      <c r="C8" s="2304" t="s">
        <v>3045</v>
      </c>
      <c r="D8" s="1054">
        <f>SUMIF(项目基本情况!D$12:I$12,C8,项目基本情况!D$14:I$14)</f>
        <v>70</v>
      </c>
      <c r="E8" s="1051">
        <f>IF(B8="","",SUMIF(项目基本情况!D$12:I$12,C8,项目基本情况!D$13:I$13))</f>
        <v>68531</v>
      </c>
      <c r="F8" s="72">
        <f>SUMIF(项目基本情况!D$12:I$12,C8,项目基本情况!D$15:I$15)</f>
        <v>68.959999999999994</v>
      </c>
      <c r="G8" s="73">
        <f t="shared" si="2"/>
        <v>0.997</v>
      </c>
      <c r="H8" s="802">
        <v>0.04</v>
      </c>
      <c r="I8" s="802">
        <v>4.4999999999999998E-2</v>
      </c>
      <c r="J8" s="74">
        <v>8.5000000000000006E-2</v>
      </c>
      <c r="K8" s="1254">
        <f>SUMIF('数据-汇总表'!C$19:C$33,A8,'数据-汇总表'!E$19:E$33)</f>
        <v>23301.179999999997</v>
      </c>
      <c r="L8" s="803">
        <v>2000</v>
      </c>
      <c r="M8" s="75">
        <f>ROUND(K8*L8/10000,0)</f>
        <v>4660</v>
      </c>
      <c r="N8" s="801">
        <v>0.2</v>
      </c>
      <c r="O8" s="75">
        <f t="shared" si="3"/>
        <v>932</v>
      </c>
      <c r="P8" s="76">
        <f t="shared" si="4"/>
        <v>3728</v>
      </c>
      <c r="Q8" s="804">
        <v>0.01</v>
      </c>
      <c r="R8" s="77">
        <f ca="1">SUMIF('数据-汇总表'!C$19:C$33,A8,'数据-汇总表'!R$19:R$27)</f>
        <v>12555</v>
      </c>
      <c r="S8" s="54">
        <f>IF('数据-汇总表'!$I$17="按面积比例",SUMIF('数据-汇总表'!C$19:C$33,A8,'数据-汇总表'!K$19:K$33),SUMIF('数据-汇总表'!C$19:C$33,A8,'数据-汇总表'!N$19:N$33))</f>
        <v>1043.78</v>
      </c>
      <c r="T8" s="1446">
        <f t="shared" si="5"/>
        <v>209</v>
      </c>
      <c r="U8" s="805">
        <v>1</v>
      </c>
      <c r="V8" s="806">
        <v>0.03</v>
      </c>
      <c r="W8" s="806">
        <v>0.05</v>
      </c>
      <c r="X8" s="1264"/>
      <c r="Y8" s="807">
        <v>1</v>
      </c>
      <c r="Z8" s="81"/>
      <c r="AA8" s="74"/>
      <c r="AB8" s="74"/>
      <c r="AC8" s="1264"/>
      <c r="AD8" s="82"/>
      <c r="AE8" s="1265">
        <f t="shared" ca="1" si="6"/>
        <v>67.959999999999994</v>
      </c>
      <c r="AF8" s="1806"/>
      <c r="AG8" s="147">
        <f t="shared" si="7"/>
        <v>0</v>
      </c>
      <c r="AH8" s="808"/>
      <c r="AI8" s="85">
        <v>365</v>
      </c>
      <c r="AJ8" s="86"/>
      <c r="AK8" s="809">
        <v>1.4999999999999999E-2</v>
      </c>
      <c r="AL8" s="810">
        <v>1.5E-3</v>
      </c>
      <c r="AM8" s="811">
        <v>0.01</v>
      </c>
      <c r="AN8" s="2305" t="s">
        <v>3248</v>
      </c>
      <c r="AO8" s="55">
        <f t="shared" ca="1" si="8"/>
        <v>22857</v>
      </c>
      <c r="AP8" s="2306">
        <f t="shared" si="9"/>
        <v>46602359.999999993</v>
      </c>
      <c r="AQ8" s="55">
        <f t="shared" si="10"/>
        <v>42</v>
      </c>
      <c r="AR8" s="55">
        <f t="shared" si="11"/>
        <v>167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t="str">
        <f>'数据-汇总表'!C22</f>
        <v>地下车库</v>
      </c>
      <c r="B9" s="2303" t="str">
        <f t="shared" si="1"/>
        <v>经营性</v>
      </c>
      <c r="C9" s="2304" t="s">
        <v>3077</v>
      </c>
      <c r="D9" s="1054">
        <f>SUMIF(项目基本情况!D$12:I$12,C9,项目基本情况!D$14:I$14)</f>
        <v>50</v>
      </c>
      <c r="E9" s="1051">
        <f>IF(B9="","",SUMIF(项目基本情况!D$12:I$12,C9,项目基本情况!D$13:I$13))</f>
        <v>61226</v>
      </c>
      <c r="F9" s="72">
        <f>SUMIF(项目基本情况!D$12:I$12,C9,项目基本情况!D$15:I$15)</f>
        <v>48.95</v>
      </c>
      <c r="G9" s="73">
        <f t="shared" si="2"/>
        <v>0.99299999999999999</v>
      </c>
      <c r="H9" s="74">
        <v>0.04</v>
      </c>
      <c r="I9" s="74">
        <v>4.4999999999999998E-2</v>
      </c>
      <c r="J9" s="74">
        <v>8.5000000000000006E-2</v>
      </c>
      <c r="K9" s="1254">
        <f>SUMIF('数据-汇总表'!C$19:C$33,A9,'数据-汇总表'!E$19:E$33)</f>
        <v>44560.56</v>
      </c>
      <c r="L9" s="803">
        <v>2000</v>
      </c>
      <c r="M9" s="75">
        <f t="shared" si="0"/>
        <v>8912</v>
      </c>
      <c r="N9" s="801">
        <v>0.3</v>
      </c>
      <c r="O9" s="75">
        <f t="shared" si="3"/>
        <v>2674</v>
      </c>
      <c r="P9" s="76">
        <f t="shared" si="4"/>
        <v>6238</v>
      </c>
      <c r="Q9" s="90">
        <v>0.03</v>
      </c>
      <c r="R9" s="77">
        <f ca="1">SUMIF('数据-汇总表'!C$19:C$33,A9,'数据-汇总表'!R$19:R$27)</f>
        <v>24009.84</v>
      </c>
      <c r="S9" s="54">
        <f>IF('数据-汇总表'!$I$17="按面积比例",SUMIF('数据-汇总表'!C$19:C$33,A9,'数据-汇总表'!K$19:K$33),SUMIF('数据-汇总表'!C$19:C$33,A9,'数据-汇总表'!N$19:N$33))</f>
        <v>1996.09</v>
      </c>
      <c r="T9" s="1446">
        <f t="shared" si="5"/>
        <v>399</v>
      </c>
      <c r="U9" s="78">
        <v>0.5</v>
      </c>
      <c r="V9" s="79">
        <v>0.03</v>
      </c>
      <c r="W9" s="79">
        <v>0.1</v>
      </c>
      <c r="X9" s="1264"/>
      <c r="Y9" s="80">
        <v>1</v>
      </c>
      <c r="Z9" s="81"/>
      <c r="AA9" s="74"/>
      <c r="AB9" s="74"/>
      <c r="AC9" s="1264"/>
      <c r="AD9" s="82"/>
      <c r="AE9" s="1265">
        <f t="shared" ca="1" si="6"/>
        <v>47.95</v>
      </c>
      <c r="AF9" s="1806"/>
      <c r="AG9" s="147">
        <f t="shared" si="7"/>
        <v>0</v>
      </c>
      <c r="AH9" s="83"/>
      <c r="AI9" s="85">
        <v>365</v>
      </c>
      <c r="AJ9" s="86"/>
      <c r="AK9" s="87">
        <v>1.4999999999999999E-2</v>
      </c>
      <c r="AL9" s="88">
        <v>1.5E-3</v>
      </c>
      <c r="AM9" s="89">
        <v>0.01</v>
      </c>
      <c r="AN9" s="2305" t="s">
        <v>3140</v>
      </c>
      <c r="AO9" s="55">
        <f t="shared" ca="1" si="8"/>
        <v>12701</v>
      </c>
      <c r="AP9" s="2306">
        <f t="shared" si="9"/>
        <v>0</v>
      </c>
      <c r="AQ9" s="55">
        <f t="shared" si="10"/>
        <v>80</v>
      </c>
      <c r="AR9" s="55">
        <f t="shared" si="11"/>
        <v>319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4"/>
      <c r="E14" s="1051"/>
      <c r="F14" s="72"/>
      <c r="G14" s="73"/>
      <c r="H14" s="1253"/>
      <c r="I14" s="1253"/>
      <c r="J14" s="1253"/>
      <c r="K14" s="1254">
        <f>SUMIF('数据-汇总表'!C$19:C$33,A14,'数据-汇总表'!E$19:E$33)</f>
        <v>5342.86</v>
      </c>
      <c r="L14" s="91">
        <v>2000</v>
      </c>
      <c r="M14" s="75">
        <f t="shared" si="0"/>
        <v>1069</v>
      </c>
      <c r="N14" s="92">
        <v>0.2</v>
      </c>
      <c r="O14" s="75">
        <f t="shared" si="3"/>
        <v>214</v>
      </c>
      <c r="P14" s="76">
        <f t="shared" si="4"/>
        <v>855</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0.996</v>
      </c>
      <c r="H16" s="99">
        <f>ROUND(SUMPRODUCT(H6:H13,K6:K13)/SUMPRODUCT((H6:H13&gt;0)*(K6:K13)),3)</f>
        <v>0.04</v>
      </c>
      <c r="I16" s="100"/>
      <c r="J16" s="100"/>
      <c r="K16" s="101">
        <f>SUM(K6:K15)</f>
        <v>124616.56</v>
      </c>
      <c r="L16" s="102">
        <f>ROUND(M16*10000/SUM(K6:K14),0)</f>
        <v>1917</v>
      </c>
      <c r="M16" s="102">
        <f>SUM(M6:M14)</f>
        <v>23895</v>
      </c>
      <c r="N16" s="103">
        <f>ROUND(SUMPRODUCT(M6:M14,N6:N14)/M16,3)</f>
        <v>0.27600000000000002</v>
      </c>
      <c r="O16" s="102">
        <f>SUM(O6:O14)</f>
        <v>6596</v>
      </c>
      <c r="P16" s="102">
        <f>SUM(P6:P14)</f>
        <v>17299</v>
      </c>
      <c r="Q16" s="104">
        <f>ROUND(SUMPRODUCT(Q6:Q13,K6:K13)/SUMPRODUCT((Q6:Q13&gt;0)*(K6:K13)),2)</f>
        <v>0.05</v>
      </c>
      <c r="R16" s="1258">
        <f ca="1">SUM(R6:R13)</f>
        <v>64266.31</v>
      </c>
      <c r="S16" s="105">
        <f>SUM(S6:S13)</f>
        <v>5342.87</v>
      </c>
      <c r="T16" s="106">
        <f>IF(SUMIF(T6:T13,"&lt;9E307")=M14,SUMIF(T6:T13,"&lt;9E307"),"有误，请检查")</f>
        <v>1069</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1.5</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0.5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1.5</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0.5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1</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165</v>
      </c>
      <c r="C27" s="1766" t="s">
        <v>2026</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v>0</v>
      </c>
      <c r="C29" s="1766" t="s">
        <v>2029</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0.03</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0.02</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2.5000000000000001E-2</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0.01</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3">
        <f ca="1">存贷款利率!G1</f>
        <v>4.7500000000000001E-2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5.5500000000000008E-2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5.5000000000000014E-3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5.0000000000000001E-4</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5</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332" t="s">
        <v>523</v>
      </c>
      <c r="C53" s="1430" t="s">
        <v>2067</v>
      </c>
      <c r="D53" s="2333"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2069</v>
      </c>
      <c r="B54" s="84"/>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2070</v>
      </c>
      <c r="B55" s="84"/>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2071</v>
      </c>
      <c r="B56" s="84"/>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2072</v>
      </c>
      <c r="B57" s="84"/>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2073</v>
      </c>
      <c r="B58" s="84">
        <v>5</v>
      </c>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2074</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9" style="2364"/>
    <col min="30" max="16384" width="9" style="2365"/>
  </cols>
  <sheetData>
    <row r="1" spans="1:29" s="2358" customFormat="1" ht="19.5" thickBot="1">
      <c r="A1" s="3062" t="s">
        <v>2079</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67.5">
      <c r="A3" s="415" t="s">
        <v>2082</v>
      </c>
      <c r="B3" s="1271" t="s">
        <v>2083</v>
      </c>
      <c r="C3" s="2951" t="s">
        <v>3181</v>
      </c>
      <c r="D3" s="2366"/>
      <c r="E3" s="431" t="s">
        <v>2082</v>
      </c>
      <c r="F3" s="2367" t="s">
        <v>2084</v>
      </c>
      <c r="G3" s="2368" t="s">
        <v>2085</v>
      </c>
      <c r="H3" s="2364"/>
      <c r="I3" s="2364"/>
      <c r="J3" s="2364"/>
      <c r="K3" s="2364"/>
      <c r="L3" s="2364"/>
      <c r="M3" s="2364"/>
      <c r="N3" s="2364"/>
      <c r="O3" s="2364"/>
      <c r="P3" s="2364"/>
      <c r="Q3" s="2364"/>
      <c r="R3" s="2364"/>
    </row>
    <row r="4" spans="1:29" ht="40.5">
      <c r="A4" s="431"/>
      <c r="B4" s="1797" t="s">
        <v>2086</v>
      </c>
      <c r="C4" s="2952" t="s">
        <v>3182</v>
      </c>
      <c r="D4" s="2366"/>
      <c r="E4" s="2369"/>
      <c r="F4" s="42" t="s">
        <v>2087</v>
      </c>
      <c r="G4" s="2370" t="s">
        <v>2088</v>
      </c>
      <c r="H4" s="2364"/>
      <c r="I4" s="2364"/>
      <c r="J4" s="2364"/>
      <c r="K4" s="2364"/>
      <c r="L4" s="2364"/>
      <c r="M4" s="2364"/>
      <c r="N4" s="2364"/>
      <c r="O4" s="2364"/>
      <c r="P4" s="2364"/>
      <c r="Q4" s="2364"/>
      <c r="R4" s="2364"/>
    </row>
    <row r="5" spans="1:29" ht="27">
      <c r="A5" s="431"/>
      <c r="B5" s="1797" t="s">
        <v>2089</v>
      </c>
      <c r="C5" s="2952" t="s">
        <v>3182</v>
      </c>
      <c r="D5" s="2366"/>
      <c r="E5" s="2369"/>
      <c r="F5" s="1797" t="s">
        <v>2090</v>
      </c>
      <c r="G5" s="2370" t="s">
        <v>2091</v>
      </c>
      <c r="H5" s="2364"/>
      <c r="I5" s="2364"/>
      <c r="J5" s="2364"/>
      <c r="K5" s="2364"/>
      <c r="L5" s="2364"/>
      <c r="M5" s="2364"/>
      <c r="N5" s="2364"/>
      <c r="O5" s="2364"/>
      <c r="P5" s="2364"/>
      <c r="Q5" s="2364"/>
      <c r="R5" s="2364"/>
    </row>
    <row r="6" spans="1:29" ht="67.5">
      <c r="A6" s="431"/>
      <c r="B6" s="1797" t="s">
        <v>2092</v>
      </c>
      <c r="C6" s="2953" t="s">
        <v>3183</v>
      </c>
      <c r="D6" s="2366"/>
      <c r="E6" s="2369"/>
      <c r="F6" s="1797" t="s">
        <v>2093</v>
      </c>
      <c r="G6" s="2370" t="s">
        <v>2094</v>
      </c>
      <c r="H6" s="2364"/>
      <c r="I6" s="2364"/>
      <c r="J6" s="2364"/>
      <c r="K6" s="2364"/>
      <c r="L6" s="2364"/>
      <c r="M6" s="2364"/>
      <c r="N6" s="2364"/>
      <c r="O6" s="2364"/>
      <c r="P6" s="2364"/>
      <c r="Q6" s="2364"/>
      <c r="R6" s="2364"/>
    </row>
    <row r="7" spans="1:29" ht="41.25" thickBot="1">
      <c r="A7" s="431"/>
      <c r="B7" s="1797" t="s">
        <v>2090</v>
      </c>
      <c r="C7" s="2953" t="s">
        <v>3184</v>
      </c>
      <c r="D7" s="2371"/>
      <c r="E7" s="2372"/>
      <c r="F7" s="2373" t="s">
        <v>2095</v>
      </c>
      <c r="G7" s="2374" t="s">
        <v>2096</v>
      </c>
      <c r="H7" s="2364"/>
      <c r="I7" s="2364"/>
      <c r="J7" s="2364"/>
      <c r="K7" s="2364"/>
      <c r="L7" s="2364"/>
      <c r="M7" s="2364"/>
      <c r="N7" s="2364"/>
      <c r="O7" s="2364"/>
      <c r="P7" s="2364"/>
      <c r="Q7" s="2364"/>
      <c r="R7" s="2364"/>
    </row>
    <row r="8" spans="1:29" ht="27">
      <c r="A8" s="431"/>
      <c r="B8" s="1797" t="s">
        <v>2093</v>
      </c>
      <c r="C8" s="2953" t="s">
        <v>3185</v>
      </c>
      <c r="D8" s="2371"/>
      <c r="E8" s="2371"/>
      <c r="F8" s="1136"/>
      <c r="G8" s="1136"/>
      <c r="H8" s="2364"/>
      <c r="I8" s="2364"/>
      <c r="J8" s="2364"/>
      <c r="K8" s="2364"/>
      <c r="L8" s="2364"/>
      <c r="M8" s="2364"/>
      <c r="N8" s="2364"/>
      <c r="O8" s="2364"/>
      <c r="P8" s="2364"/>
      <c r="Q8" s="2364"/>
      <c r="R8" s="2364"/>
    </row>
    <row r="9" spans="1:29" ht="67.5">
      <c r="A9" s="431"/>
      <c r="B9" s="1797" t="s">
        <v>2097</v>
      </c>
      <c r="C9" s="2952" t="s">
        <v>3186</v>
      </c>
      <c r="D9" s="2366"/>
      <c r="E9" s="2371"/>
      <c r="F9" s="1136"/>
      <c r="G9" s="1136"/>
      <c r="H9" s="2364"/>
      <c r="I9" s="2364"/>
      <c r="J9" s="2364"/>
      <c r="K9" s="2364"/>
      <c r="L9" s="2364"/>
      <c r="M9" s="2364"/>
      <c r="N9" s="2364"/>
      <c r="O9" s="2364"/>
      <c r="P9" s="2364"/>
      <c r="Q9" s="2364"/>
      <c r="R9" s="2364"/>
    </row>
    <row r="10" spans="1:29" s="117" customFormat="1" ht="15.75" thickBot="1">
      <c r="A10" s="2375"/>
      <c r="B10" s="2376" t="s">
        <v>2098</v>
      </c>
      <c r="C10" s="2954" t="s">
        <v>3187</v>
      </c>
      <c r="D10" s="2366"/>
      <c r="E10" s="2366"/>
      <c r="F10" s="1136"/>
      <c r="G10" s="1136"/>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4"/>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2099</v>
      </c>
      <c r="B13" s="2381"/>
      <c r="C13" s="2381"/>
      <c r="D13" s="2388"/>
      <c r="E13" s="2381"/>
      <c r="F13" s="2381"/>
      <c r="G13" s="2381"/>
    </row>
    <row r="14" spans="1:29" ht="15.75" thickBot="1">
      <c r="A14" s="2392"/>
      <c r="B14" s="2393"/>
      <c r="C14" s="2394" t="s">
        <v>2100</v>
      </c>
      <c r="D14" s="2366"/>
      <c r="E14" s="2395"/>
      <c r="F14" s="2395"/>
      <c r="G14" s="2361" t="s">
        <v>2101</v>
      </c>
    </row>
    <row r="15" spans="1:29" ht="71.25">
      <c r="A15" s="68" t="s">
        <v>2102</v>
      </c>
      <c r="B15" s="1270" t="s">
        <v>2083</v>
      </c>
      <c r="C15" s="2396" t="str">
        <f>C3</f>
        <v>估价对象周边有钱隆学府、宣惠园社区等住宅项目，规模一般，入住率一般，分布密集程度一般，综合评价居住社区成熟度一般。</v>
      </c>
      <c r="D15" s="2366"/>
      <c r="E15" s="2397" t="s">
        <v>2103</v>
      </c>
      <c r="F15" s="1270" t="s">
        <v>2104</v>
      </c>
      <c r="G15" s="135" t="str">
        <f>G3</f>
        <v>估价对象位于XX开发区，园区建设成熟度XX，产业集聚程度XX</v>
      </c>
    </row>
    <row r="16" spans="1:29" ht="42.75">
      <c r="A16" s="645"/>
      <c r="B16" s="2398" t="s">
        <v>2086</v>
      </c>
      <c r="C16" s="2399" t="str">
        <f>C4</f>
        <v>——</v>
      </c>
      <c r="D16" s="2366"/>
      <c r="E16" s="2400"/>
      <c r="F16" s="2401" t="s">
        <v>2087</v>
      </c>
      <c r="G16" s="136" t="str">
        <f>G4</f>
        <v>估价对象周边道路状况、公共交通通达情况、停车便捷程度，综合评价交通便捷度较好</v>
      </c>
    </row>
    <row r="17" spans="1:18" ht="15">
      <c r="A17" s="645"/>
      <c r="B17" s="2398" t="s">
        <v>2089</v>
      </c>
      <c r="C17" s="2399" t="str">
        <f>C5</f>
        <v>——</v>
      </c>
      <c r="D17" s="2371"/>
      <c r="E17" s="2400"/>
      <c r="F17" s="2401" t="s">
        <v>2105</v>
      </c>
      <c r="G17" s="1571"/>
    </row>
    <row r="18" spans="1:18" ht="71.25">
      <c r="A18" s="645"/>
      <c r="B18" s="2401" t="s">
        <v>2092</v>
      </c>
      <c r="C18" s="136" t="str">
        <f>C6</f>
        <v>估价对象周边有152路、208路等公交线路，周边路网密集程度一般，停车便捷程度一般，综合评价交通便捷度一般。</v>
      </c>
      <c r="D18" s="2371"/>
      <c r="E18" s="2400"/>
      <c r="F18" s="2401" t="s">
        <v>2095</v>
      </c>
      <c r="G18" s="136" t="str">
        <f>G7</f>
        <v>该园区内是否有污染型企业，绿化情况，卫生条件，整体环境状况判断</v>
      </c>
    </row>
    <row r="19" spans="1:18" ht="28.5">
      <c r="A19" s="645"/>
      <c r="B19" s="2401" t="s">
        <v>2106</v>
      </c>
      <c r="C19" s="1571"/>
      <c r="D19" s="2366"/>
      <c r="E19" s="2400"/>
      <c r="F19" s="1797" t="s">
        <v>2090</v>
      </c>
      <c r="G19" s="136" t="str">
        <f>G5</f>
        <v>估价对象所在区域公共配套设施齐备情况</v>
      </c>
    </row>
    <row r="20" spans="1:18" ht="71.25">
      <c r="A20" s="645"/>
      <c r="B20" s="2401" t="s">
        <v>2107</v>
      </c>
      <c r="C20" s="2399" t="str">
        <f>C9</f>
        <v>估价对象所在区域有月牙河公园，自然状况一般；所在区域无人文设施，人文环境较差；综合评价环境状况较差。</v>
      </c>
      <c r="D20" s="2371"/>
      <c r="E20" s="2400"/>
      <c r="F20" s="1797" t="s">
        <v>2108</v>
      </c>
      <c r="G20" s="136" t="str">
        <f>G6</f>
        <v>估价对象所在区域基础设施水平</v>
      </c>
    </row>
    <row r="21" spans="1:18" ht="28.5">
      <c r="A21" s="645"/>
      <c r="B21" s="1797" t="s">
        <v>2090</v>
      </c>
      <c r="C21" s="136" t="str">
        <f>C7</f>
        <v>估价对象所在区域公共配套设施齐备情况较好。</v>
      </c>
      <c r="D21" s="2366"/>
      <c r="E21" s="2400"/>
      <c r="F21" s="2401" t="s">
        <v>2109</v>
      </c>
      <c r="G21" s="2402"/>
    </row>
    <row r="22" spans="1:18" ht="13.5" customHeight="1">
      <c r="A22" s="645"/>
      <c r="B22" s="1797" t="s">
        <v>2093</v>
      </c>
      <c r="C22" s="136" t="str">
        <f>C8</f>
        <v>估价对象所在区域基础设施水平达“七通”。</v>
      </c>
      <c r="D22" s="2366"/>
      <c r="E22" s="2400"/>
      <c r="F22" s="2401" t="s">
        <v>2098</v>
      </c>
      <c r="G22" s="1571"/>
    </row>
    <row r="23" spans="1:18" s="2364" customFormat="1" ht="15.75" thickBot="1">
      <c r="A23" s="645"/>
      <c r="B23" s="2401" t="s">
        <v>2109</v>
      </c>
      <c r="C23" s="2402" t="s">
        <v>3188</v>
      </c>
      <c r="D23" s="2389"/>
      <c r="E23" s="2403"/>
      <c r="F23" s="2404" t="s">
        <v>2110</v>
      </c>
      <c r="G23" s="2405"/>
      <c r="H23" s="2389"/>
      <c r="I23" s="2390"/>
      <c r="J23" s="2389"/>
      <c r="K23" s="2389"/>
      <c r="L23" s="2390"/>
      <c r="M23" s="2389"/>
      <c r="N23" s="2389"/>
      <c r="O23" s="2390"/>
      <c r="P23" s="2389"/>
      <c r="Q23" s="2389"/>
      <c r="R23" s="2391"/>
    </row>
    <row r="24" spans="1:18" s="2364" customFormat="1" ht="15.75" thickBot="1">
      <c r="A24" s="2406"/>
      <c r="B24" s="2404" t="s">
        <v>2111</v>
      </c>
      <c r="C24" s="137" t="str">
        <f>C10</f>
        <v>城市支路—泽惠道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ColWidth="9" defaultRowHeight="13.5"/>
  <cols>
    <col min="1" max="1" width="23.375" style="1740" customWidth="1"/>
    <col min="2" max="9" width="15.625" style="1740" customWidth="1"/>
    <col min="10" max="16384" width="9" style="1740"/>
  </cols>
  <sheetData>
    <row r="1" spans="1:10" ht="16.5">
      <c r="A1" s="1745" t="s">
        <v>1365</v>
      </c>
      <c r="B1" s="1745">
        <f>SUM(B14:B23)</f>
        <v>124616.56000000001</v>
      </c>
      <c r="C1" s="1744"/>
      <c r="D1" s="1744"/>
      <c r="E1" s="1744"/>
      <c r="F1" s="1744"/>
      <c r="G1" s="1742"/>
    </row>
    <row r="2" spans="1:10" ht="16.5">
      <c r="A2" s="1745" t="s">
        <v>1353</v>
      </c>
      <c r="B2" s="1745">
        <f>SUM(C14:C23)</f>
        <v>64266.3</v>
      </c>
      <c r="C2" s="1744"/>
      <c r="D2" s="1744"/>
      <c r="E2" s="1744"/>
      <c r="F2" s="1744"/>
      <c r="G2" s="1742"/>
    </row>
    <row r="3" spans="1:10" ht="16.5">
      <c r="A3" s="1745" t="s">
        <v>1362</v>
      </c>
      <c r="B3" s="1746">
        <f>项目基本情况!D3</f>
        <v>43357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92399</v>
      </c>
      <c r="C5" s="1745">
        <f ca="1">ROUND(B5*10000/$B$1,0)</f>
        <v>7415</v>
      </c>
      <c r="D5" s="1745">
        <f ca="1">ROUND(B5*10000/$B$2,0)</f>
        <v>14378</v>
      </c>
      <c r="E5" s="1744"/>
      <c r="F5" s="1742"/>
      <c r="G5" s="1742"/>
    </row>
    <row r="6" spans="1:10" ht="16.5">
      <c r="A6" s="1745" t="s">
        <v>1356</v>
      </c>
      <c r="B6" s="1745">
        <f ca="1">SUM(G14:G23)</f>
        <v>92399</v>
      </c>
      <c r="C6" s="1745">
        <f ca="1">ROUND(B6*10000/$B$1,0)</f>
        <v>7415</v>
      </c>
      <c r="D6" s="1745">
        <f ca="1">ROUND(B6*10000/$B$2,0)</f>
        <v>14378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124616.56000000001</v>
      </c>
      <c r="C14" s="1743">
        <f>结果表!C118</f>
        <v>64266.3</v>
      </c>
      <c r="D14" s="1743">
        <f ca="1">结果表!H118</f>
        <v>92399</v>
      </c>
      <c r="E14" s="1743">
        <f ca="1">ROUND(D14*10000/B14,0)</f>
        <v>7415</v>
      </c>
      <c r="F14" s="1743">
        <f ca="1">ROUND(D14*10000/C14,0)</f>
        <v>14378</v>
      </c>
      <c r="G14" s="1743">
        <f ca="1">结果表!D122</f>
        <v>92399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8" sqref="H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2" t="s">
        <v>2112</v>
      </c>
      <c r="B1" s="2412"/>
      <c r="C1" s="2413"/>
      <c r="D1" s="2412"/>
      <c r="E1" s="2412"/>
      <c r="F1" s="2414" t="s">
        <v>2113</v>
      </c>
      <c r="G1" s="2068" t="s">
        <v>2114</v>
      </c>
      <c r="H1" s="2415" t="str">
        <f>IF(G1="现房","——","估价对象范围")</f>
        <v>估价对象范围</v>
      </c>
      <c r="I1" s="2416"/>
    </row>
    <row r="2" spans="1:12" ht="21.75" customHeight="1" thickBot="1">
      <c r="A2" s="3097" t="str">
        <f>项目基本情况!S2</f>
        <v>天津市津南区北闸口镇出让国有建设用地使用权及在建建筑物房地产</v>
      </c>
      <c r="B2" s="3098"/>
      <c r="C2" s="3098"/>
      <c r="D2" s="3098"/>
      <c r="E2" s="3098"/>
      <c r="F2" s="3098"/>
      <c r="G2" s="3098"/>
      <c r="H2" s="3098"/>
      <c r="I2" s="3099"/>
    </row>
    <row r="3" spans="1:12" ht="12.75">
      <c r="A3" s="3101" t="s">
        <v>2115</v>
      </c>
      <c r="B3" s="3102"/>
      <c r="C3" s="3102"/>
      <c r="D3" s="3102"/>
      <c r="E3" s="3102"/>
      <c r="F3" s="3102"/>
      <c r="G3" s="3102"/>
      <c r="H3" s="3102"/>
      <c r="I3" s="3102"/>
    </row>
    <row r="4" spans="1:12" ht="14.25">
      <c r="A4" s="2419" t="s">
        <v>2116</v>
      </c>
      <c r="B4" s="2420" t="s">
        <v>2117</v>
      </c>
      <c r="C4" s="2421" t="s">
        <v>3146</v>
      </c>
      <c r="D4" s="2421" t="s">
        <v>3147</v>
      </c>
      <c r="E4" s="3094" t="s">
        <v>2118</v>
      </c>
      <c r="F4" s="3095"/>
      <c r="G4" s="3095"/>
      <c r="H4" s="3095"/>
      <c r="I4" s="310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7" t="s">
        <v>2119</v>
      </c>
      <c r="B5" s="3015">
        <v>25</v>
      </c>
      <c r="C5" s="3080"/>
      <c r="D5" s="3100"/>
      <c r="E5" s="140" t="s">
        <v>2120</v>
      </c>
      <c r="F5" s="2423"/>
      <c r="G5" s="2423"/>
      <c r="H5" s="2423"/>
      <c r="I5" s="1833"/>
    </row>
    <row r="6" spans="1:12" ht="12.75">
      <c r="A6" s="3077"/>
      <c r="B6" s="3015"/>
      <c r="C6" s="3081"/>
      <c r="D6" s="3100"/>
      <c r="E6" s="140" t="s">
        <v>2121</v>
      </c>
      <c r="F6" s="2423"/>
      <c r="G6" s="2423"/>
      <c r="H6" s="2423"/>
      <c r="I6" s="1833"/>
    </row>
    <row r="7" spans="1:12" ht="12.75">
      <c r="A7" s="3077"/>
      <c r="B7" s="3015"/>
      <c r="C7" s="3082"/>
      <c r="D7" s="3100"/>
      <c r="E7" s="140" t="s">
        <v>2122</v>
      </c>
      <c r="F7" s="2423"/>
      <c r="G7" s="2423"/>
      <c r="H7" s="2423"/>
      <c r="I7" s="1833"/>
    </row>
    <row r="8" spans="1:12" ht="12.75">
      <c r="A8" s="3077" t="s">
        <v>2123</v>
      </c>
      <c r="B8" s="3015">
        <v>15</v>
      </c>
      <c r="C8" s="3080"/>
      <c r="D8" s="3100"/>
      <c r="E8" s="140" t="s">
        <v>2124</v>
      </c>
      <c r="F8" s="2423"/>
      <c r="G8" s="2423"/>
      <c r="H8" s="2423"/>
      <c r="I8" s="1833"/>
    </row>
    <row r="9" spans="1:12" ht="12.75">
      <c r="A9" s="3077"/>
      <c r="B9" s="3015"/>
      <c r="C9" s="3082"/>
      <c r="D9" s="3100"/>
      <c r="E9" s="140" t="s">
        <v>2125</v>
      </c>
      <c r="F9" s="2423"/>
      <c r="G9" s="2423"/>
      <c r="H9" s="2423"/>
      <c r="I9" s="1833"/>
    </row>
    <row r="10" spans="1:12" ht="12.75">
      <c r="A10" s="3077" t="s">
        <v>2126</v>
      </c>
      <c r="B10" s="3015">
        <v>15</v>
      </c>
      <c r="C10" s="3080"/>
      <c r="D10" s="3100"/>
      <c r="E10" s="140" t="s">
        <v>2127</v>
      </c>
      <c r="F10" s="2423"/>
      <c r="G10" s="2423"/>
      <c r="H10" s="2423"/>
      <c r="I10" s="1833"/>
    </row>
    <row r="11" spans="1:12" ht="12.75">
      <c r="A11" s="3077"/>
      <c r="B11" s="3015"/>
      <c r="C11" s="3082"/>
      <c r="D11" s="3100"/>
      <c r="E11" s="140" t="s">
        <v>2128</v>
      </c>
      <c r="F11" s="2423"/>
      <c r="G11" s="2423"/>
      <c r="H11" s="2423"/>
      <c r="I11" s="1833"/>
    </row>
    <row r="12" spans="1:12" ht="12.75">
      <c r="A12" s="3077" t="s">
        <v>2129</v>
      </c>
      <c r="B12" s="3015">
        <v>15</v>
      </c>
      <c r="C12" s="3080"/>
      <c r="D12" s="3100"/>
      <c r="E12" s="140" t="s">
        <v>2130</v>
      </c>
      <c r="F12" s="2423"/>
      <c r="G12" s="2423"/>
      <c r="H12" s="2423"/>
      <c r="I12" s="1833"/>
    </row>
    <row r="13" spans="1:12" ht="12.75">
      <c r="A13" s="3077"/>
      <c r="B13" s="3015"/>
      <c r="C13" s="3082"/>
      <c r="D13" s="3100"/>
      <c r="E13" s="140" t="s">
        <v>2131</v>
      </c>
      <c r="F13" s="2423"/>
      <c r="G13" s="2423"/>
      <c r="H13" s="2423"/>
      <c r="I13" s="1833"/>
    </row>
    <row r="14" spans="1:12" ht="12.75">
      <c r="A14" s="3077" t="s">
        <v>2132</v>
      </c>
      <c r="B14" s="3015">
        <v>30</v>
      </c>
      <c r="C14" s="3080">
        <v>5</v>
      </c>
      <c r="D14" s="3100">
        <v>5</v>
      </c>
      <c r="E14" s="140" t="s">
        <v>2133</v>
      </c>
      <c r="F14" s="2423"/>
      <c r="G14" s="2423"/>
      <c r="H14" s="2423"/>
      <c r="I14" s="1833"/>
    </row>
    <row r="15" spans="1:12" ht="12.75">
      <c r="A15" s="3077"/>
      <c r="B15" s="3015"/>
      <c r="C15" s="3081"/>
      <c r="D15" s="3100"/>
      <c r="E15" s="140" t="s">
        <v>2134</v>
      </c>
      <c r="F15" s="2423"/>
      <c r="G15" s="2423"/>
      <c r="H15" s="2423"/>
      <c r="I15" s="1833"/>
    </row>
    <row r="16" spans="1:12" ht="12.75">
      <c r="A16" s="3077"/>
      <c r="B16" s="3015"/>
      <c r="C16" s="3082"/>
      <c r="D16" s="3100"/>
      <c r="E16" s="140" t="s">
        <v>2135</v>
      </c>
      <c r="F16" s="2423"/>
      <c r="G16" s="2423"/>
      <c r="H16" s="2423"/>
      <c r="I16" s="1833"/>
    </row>
    <row r="17" spans="1:35" ht="15">
      <c r="A17" s="2424" t="s">
        <v>2136</v>
      </c>
      <c r="B17" s="64"/>
      <c r="C17" s="141">
        <f>SUM(C5:C16)</f>
        <v>5</v>
      </c>
      <c r="D17" s="141">
        <f>SUM(D5:D16)</f>
        <v>5</v>
      </c>
      <c r="E17" s="138"/>
      <c r="F17" s="138"/>
      <c r="G17" s="138"/>
      <c r="H17" s="138"/>
      <c r="I17" s="138"/>
      <c r="K17" s="2422"/>
      <c r="L17" s="2425" t="s">
        <v>2137</v>
      </c>
      <c r="M17" s="2425" t="s">
        <v>2138</v>
      </c>
    </row>
    <row r="18" spans="1:35" ht="15.75" thickBot="1">
      <c r="A18" s="2426" t="s">
        <v>2139</v>
      </c>
      <c r="B18" s="2427"/>
      <c r="C18" s="142">
        <f>ROUND(C17/SUM(C17:D17),2)</f>
        <v>0.5</v>
      </c>
      <c r="D18" s="142">
        <f>1-C18</f>
        <v>0.5</v>
      </c>
      <c r="E18" s="138"/>
      <c r="F18" s="138"/>
      <c r="G18" s="138"/>
      <c r="H18" s="138"/>
      <c r="I18" s="138"/>
      <c r="K18" s="2422" t="s">
        <v>2140</v>
      </c>
      <c r="L18" s="2422">
        <f>IF(C1="",'数据-汇总表'!E3,SUMIF(项目类型,C1,'数据-汇总表'!E17:E26)+SUMIF(项目类型,C1,'数据-汇总表'!I17:I26))</f>
        <v>124616.56000000001</v>
      </c>
      <c r="M18" s="2422">
        <f>IF(C1="",'数据-汇总表'!E3,SUMIF(项目类型,C1,'数据-汇总表'!E17:E26))</f>
        <v>124616.56000000001</v>
      </c>
    </row>
    <row r="19" spans="1:35" ht="15">
      <c r="A19" s="2428" t="s">
        <v>2141</v>
      </c>
      <c r="B19" s="2429" t="s">
        <v>2142</v>
      </c>
      <c r="C19" s="143">
        <f ca="1">SUMIF(INDIRECT("'"&amp;C4&amp;"'"&amp;"!A:A"),结果表!B19,INDIRECT("'"&amp;C4&amp;"'"&amp;"!B:B"))</f>
        <v>99129</v>
      </c>
      <c r="D19" s="144">
        <f ca="1">SUMIF(INDIRECT("'"&amp;D4&amp;"'"&amp;"!A:A"),结果表!B19,INDIRECT("'"&amp;D4&amp;"'"&amp;"!B:B"))</f>
        <v>85669</v>
      </c>
      <c r="E19" s="2428" t="s">
        <v>2143</v>
      </c>
      <c r="F19" s="2429" t="s">
        <v>2142</v>
      </c>
      <c r="G19" s="145">
        <f ca="1">ROUND(C19*$C$18+D19*$D$18,0)</f>
        <v>92399</v>
      </c>
      <c r="H19" s="2430" t="s">
        <v>2144</v>
      </c>
      <c r="I19" s="138"/>
      <c r="K19" s="2422" t="s">
        <v>2145</v>
      </c>
      <c r="L19" s="2422">
        <f>IF(C1="",'数据-汇总表'!D3,SUMIF(项目类型,C1,'数据-汇总表'!D17:D26)+SUMIF(项目类型,C1,'数据-汇总表'!H17:H27))</f>
        <v>64266.3</v>
      </c>
      <c r="M19" s="2422">
        <f>IF(C1="",'数据-汇总表'!D3,SUMIF(项目类型,C1,'数据-汇总表'!D17:D26))</f>
        <v>64266.3</v>
      </c>
    </row>
    <row r="20" spans="1:35" ht="15">
      <c r="A20" s="2431"/>
      <c r="B20" s="1250" t="s">
        <v>2146</v>
      </c>
      <c r="C20" s="146">
        <f ca="1">SUMIF(INDIRECT("'"&amp;C4&amp;"'"&amp;"!A:A"),结果表!B20,INDIRECT("'"&amp;C4&amp;"'"&amp;"!B:B"))</f>
        <v>7955</v>
      </c>
      <c r="D20" s="147">
        <f ca="1">SUMIF(INDIRECT("'"&amp;D4&amp;"'"&amp;"!A:A"),结果表!B20,INDIRECT("'"&amp;D4&amp;"'"&amp;"!B:B"))</f>
        <v>6875</v>
      </c>
      <c r="E20" s="2431"/>
      <c r="F20" s="1250" t="s">
        <v>2146</v>
      </c>
      <c r="G20" s="148">
        <f ca="1">ROUND(C20*$C$18+D20*$D$18,0)</f>
        <v>7415</v>
      </c>
      <c r="H20" s="983" t="s">
        <v>2147</v>
      </c>
      <c r="I20" s="138"/>
    </row>
    <row r="21" spans="1:35" ht="15" customHeight="1" thickBot="1">
      <c r="A21" s="1003"/>
      <c r="B21" s="2432" t="s">
        <v>2148</v>
      </c>
      <c r="C21" s="789">
        <f ca="1">ROUND(C19*10000/L19,0)</f>
        <v>15425</v>
      </c>
      <c r="D21" s="790">
        <f ca="1">ROUND(D19*10000/L19,0)</f>
        <v>13330</v>
      </c>
      <c r="E21" s="1003"/>
      <c r="F21" s="2432" t="s">
        <v>2148</v>
      </c>
      <c r="G21" s="149">
        <f ca="1">ROUND(G19*10000/L19,0)</f>
        <v>14378</v>
      </c>
      <c r="H21" s="2433" t="s">
        <v>2147</v>
      </c>
      <c r="I21" s="138"/>
    </row>
    <row r="22" spans="1:35" ht="15" thickBot="1">
      <c r="A22" s="2277" t="s">
        <v>2149</v>
      </c>
      <c r="B22" s="2434"/>
      <c r="C22" s="2435"/>
      <c r="D22" s="791">
        <f ca="1">IF(C19&lt;D19,D19/C19-1,C19/D19-1)</f>
        <v>0.15711634313462275</v>
      </c>
      <c r="E22" s="138"/>
      <c r="F22" s="138"/>
      <c r="G22" s="138"/>
      <c r="H22" s="138"/>
      <c r="I22" s="138"/>
    </row>
    <row r="23" spans="1:35" ht="13.5" thickBot="1">
      <c r="A23" s="2412"/>
      <c r="B23" s="2412"/>
      <c r="C23" s="2412"/>
      <c r="D23" s="2412"/>
      <c r="E23" s="138"/>
      <c r="F23" s="138"/>
      <c r="G23" s="138"/>
      <c r="H23" s="138"/>
      <c r="I23" s="138"/>
    </row>
    <row r="24" spans="1:35" ht="14.25">
      <c r="A24" s="3071" t="s">
        <v>2150</v>
      </c>
      <c r="B24" s="2429" t="s">
        <v>2142</v>
      </c>
      <c r="C24" s="145">
        <f>IF(B30=0,0,D30)</f>
        <v>0</v>
      </c>
      <c r="D24" s="2436"/>
      <c r="E24" s="138"/>
      <c r="F24" s="138"/>
      <c r="G24" s="138"/>
      <c r="H24" s="138"/>
      <c r="I24" s="138"/>
    </row>
    <row r="25" spans="1:35" ht="14.25">
      <c r="A25" s="3072"/>
      <c r="B25" s="1250"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2155</v>
      </c>
      <c r="B30" s="151"/>
      <c r="C30" s="151"/>
      <c r="D30" s="151"/>
      <c r="E30" s="292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2156</v>
      </c>
      <c r="B32" s="2442"/>
      <c r="C32" s="153">
        <f ca="1">IF(D32="总价",G19-C24,G20-C25)</f>
        <v>92399</v>
      </c>
      <c r="D32" s="2443" t="s">
        <v>2157</v>
      </c>
      <c r="E32" s="138"/>
      <c r="F32" s="138"/>
      <c r="G32" s="138"/>
      <c r="H32" s="138"/>
      <c r="I32" s="138"/>
    </row>
    <row r="33" spans="1:15" ht="15">
      <c r="A33" s="960" t="s">
        <v>2158</v>
      </c>
      <c r="B33" s="2444"/>
      <c r="C33" s="2445" t="s">
        <v>3244</v>
      </c>
      <c r="D33" s="2446" t="s">
        <v>3146</v>
      </c>
      <c r="E33" s="2447" t="s">
        <v>2159</v>
      </c>
      <c r="F33" s="2448" t="str">
        <f>IF(D32="楼面单价","取值（单价）","取值（总价）")</f>
        <v>取值（总价）</v>
      </c>
      <c r="G33" s="138"/>
      <c r="H33" s="138"/>
      <c r="I33" s="138"/>
    </row>
    <row r="34" spans="1:15" ht="15">
      <c r="A34" s="2449"/>
      <c r="B34" s="2450" t="s">
        <v>2160</v>
      </c>
      <c r="C34" s="157">
        <f ca="1">IF(C33="自定义",F34,C32-C35)</f>
        <v>84083</v>
      </c>
      <c r="D34" s="1058">
        <f ca="1">IF(C33="自定义",ROUND(C34/C32,3),IF(C33="收益比率",SUMIF(INDIRECT("'"&amp;D33&amp;"'"&amp;"!b:b"),"土地收益比率",INDIRECT("'"&amp;D33&amp;"'"&amp;"!c:c")),SUMIF(INDIRECT("'"&amp;D33&amp;"'"&amp;"!b:b"),"土地成本比率",INDIRECT("'"&amp;D33&amp;"'"&amp;"!c:c"))))</f>
        <v>0.91</v>
      </c>
      <c r="E34" s="2451" t="s">
        <v>2161</v>
      </c>
      <c r="F34" s="1738"/>
      <c r="G34" s="138"/>
      <c r="H34" s="138"/>
      <c r="I34" s="138"/>
    </row>
    <row r="35" spans="1:15" ht="15.75" thickBot="1">
      <c r="A35" s="2452"/>
      <c r="B35" s="2453" t="s">
        <v>2162</v>
      </c>
      <c r="C35" s="1444">
        <f ca="1">IF(C33="自定义",F35,ROUND(C32*D35,0))</f>
        <v>8316</v>
      </c>
      <c r="D35" s="1445">
        <f ca="1">IF(C33="自定义",ROUND(C35/C32,3),IF(C33="收益比率",SUMIF(INDIRECT("'"&amp;D33&amp;"'"&amp;"!b:b"),"建筑物收益比率",INDIRECT("'"&amp;D33&amp;"'"&amp;"!c:c")),SUMIF(INDIRECT("'"&amp;D33&amp;"'"&amp;"!b:b"),"建筑物成本比率",INDIRECT("'"&amp;D33&amp;"'"&amp;"!c:c"))))</f>
        <v>0.09</v>
      </c>
      <c r="E35" s="2454" t="s">
        <v>2163</v>
      </c>
      <c r="F35" s="163"/>
      <c r="G35" s="138"/>
      <c r="H35" s="138"/>
      <c r="I35" s="138"/>
    </row>
    <row r="36" spans="1:15" ht="15.75" thickBot="1">
      <c r="A36" s="3089" t="s">
        <v>2164</v>
      </c>
      <c r="B36" s="2455" t="s">
        <v>2165</v>
      </c>
      <c r="C36" s="154"/>
      <c r="D36" s="2456"/>
      <c r="E36" s="2457"/>
      <c r="F36" s="2458"/>
      <c r="G36" s="138"/>
      <c r="H36" s="138"/>
      <c r="I36" s="138"/>
    </row>
    <row r="37" spans="1:15" ht="15.75" thickBot="1">
      <c r="A37" s="3090"/>
      <c r="B37" s="2263" t="s">
        <v>2166</v>
      </c>
      <c r="C37" s="156"/>
      <c r="D37" s="1395"/>
      <c r="E37" s="1395"/>
      <c r="F37" s="2458"/>
      <c r="G37" s="138"/>
      <c r="H37" s="138"/>
      <c r="I37" s="138"/>
    </row>
    <row r="38" spans="1:15" ht="15.75" thickBot="1">
      <c r="A38" s="3091"/>
      <c r="B38" s="2459" t="s">
        <v>2167</v>
      </c>
      <c r="C38" s="727"/>
      <c r="D38" s="2460" t="s">
        <v>2168</v>
      </c>
      <c r="E38" s="1395"/>
      <c r="F38" s="2458"/>
      <c r="G38" s="138"/>
      <c r="H38" s="138"/>
      <c r="I38" s="138"/>
    </row>
    <row r="39" spans="1:15" ht="15">
      <c r="A39" s="2431" t="s">
        <v>2169</v>
      </c>
      <c r="B39" s="2461" t="s">
        <v>2170</v>
      </c>
      <c r="C39" s="2462" t="s">
        <v>2171</v>
      </c>
      <c r="D39" s="2462" t="s">
        <v>2172</v>
      </c>
      <c r="E39" s="2463" t="s">
        <v>2173</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customHeight="1" thickBot="1">
      <c r="A45" s="3068" t="s">
        <v>2178</v>
      </c>
      <c r="B45" s="3069"/>
      <c r="C45" s="3070"/>
      <c r="D45" s="164">
        <f ca="1">ROUND(H101*F45,0)</f>
        <v>92399</v>
      </c>
      <c r="E45" s="165" t="s">
        <v>2179</v>
      </c>
      <c r="F45" s="166">
        <v>1</v>
      </c>
      <c r="G45" s="167" t="s">
        <v>2180</v>
      </c>
      <c r="H45" s="138"/>
      <c r="I45" s="138"/>
      <c r="J45" s="3128" t="s">
        <v>2181</v>
      </c>
      <c r="K45" s="3128"/>
      <c r="L45" s="3128"/>
      <c r="M45" s="3128"/>
      <c r="N45" s="3128"/>
      <c r="O45" s="3128"/>
    </row>
    <row r="46" spans="1:15" ht="14.25" customHeight="1">
      <c r="A46" s="3065" t="s">
        <v>2182</v>
      </c>
      <c r="B46" s="3066"/>
      <c r="C46" s="3066"/>
      <c r="D46" s="3066"/>
      <c r="E46" s="3066"/>
      <c r="F46" s="3066"/>
      <c r="G46" s="3067"/>
      <c r="H46" s="2474"/>
      <c r="I46" s="168"/>
      <c r="J46" s="1811">
        <v>1</v>
      </c>
      <c r="K46" s="3128" t="s">
        <v>2183</v>
      </c>
      <c r="L46" s="3128"/>
      <c r="M46" s="3148"/>
      <c r="N46" s="3148"/>
      <c r="O46" s="3148"/>
    </row>
    <row r="47" spans="1:15" ht="12" customHeight="1">
      <c r="A47" s="169" t="s">
        <v>2184</v>
      </c>
      <c r="B47" s="170"/>
      <c r="C47" s="171"/>
      <c r="D47" s="172" t="s">
        <v>2185</v>
      </c>
      <c r="E47" s="24" t="s">
        <v>2186</v>
      </c>
      <c r="F47" s="173" t="s">
        <v>2187</v>
      </c>
      <c r="G47" s="174" t="s">
        <v>2188</v>
      </c>
      <c r="H47" s="2474"/>
      <c r="I47" s="168"/>
      <c r="J47" s="1811">
        <v>2</v>
      </c>
      <c r="K47" s="3128" t="s">
        <v>2189</v>
      </c>
      <c r="L47" s="3128"/>
      <c r="M47" s="3149">
        <f>'数据-取费表'!B2</f>
        <v>43357</v>
      </c>
      <c r="N47" s="3149"/>
      <c r="O47" s="3149"/>
    </row>
    <row r="48" spans="1:15" ht="25.5">
      <c r="A48" s="3096" t="s">
        <v>2190</v>
      </c>
      <c r="B48" s="3079"/>
      <c r="C48" s="3079"/>
      <c r="D48" s="140">
        <f>IF(H48="情况1",0,IF(H48="情况2",D52,IF(H48="情况3",D53,IF(H48="情况4",D54))))</f>
        <v>0</v>
      </c>
      <c r="E48" s="1800" t="str">
        <f>IF(H48="情况4","(销售额-原购置价)×税（费）率","销售额×税（费）率")</f>
        <v>销售额×税（费）率</v>
      </c>
      <c r="F48" s="175" t="str">
        <f>IF(H48="情况1","免征",'数据-取费表'!B41)</f>
        <v>免征</v>
      </c>
      <c r="G48" s="2475" t="s">
        <v>2191</v>
      </c>
      <c r="H48" s="2476" t="s">
        <v>2192</v>
      </c>
      <c r="I48" s="2474"/>
      <c r="J48" s="1811">
        <v>3</v>
      </c>
      <c r="K48" s="3128" t="s">
        <v>2193</v>
      </c>
      <c r="L48" s="3128"/>
      <c r="M48" s="3150">
        <f ca="1">H101</f>
        <v>92399</v>
      </c>
      <c r="N48" s="3150"/>
      <c r="O48" s="3150"/>
    </row>
    <row r="49" spans="1:35" ht="25.5" customHeight="1">
      <c r="A49" s="176" t="s">
        <v>2194</v>
      </c>
      <c r="B49" s="3064" t="s">
        <v>2195</v>
      </c>
      <c r="C49" s="3064"/>
      <c r="D49" s="177">
        <v>0</v>
      </c>
      <c r="E49" s="23" t="s">
        <v>2196</v>
      </c>
      <c r="F49" s="28" t="s">
        <v>34</v>
      </c>
      <c r="G49" s="3134"/>
      <c r="H49" s="138"/>
      <c r="I49" s="2477"/>
      <c r="J49" s="1811">
        <v>4</v>
      </c>
      <c r="K49" s="3128" t="str">
        <f>IF(项目基本情况!E8="房地产抵押价值","房地产抵押价值","抵押担保权已注销时的房地产抵押价值")</f>
        <v>房地产抵押价值</v>
      </c>
      <c r="L49" s="3128"/>
      <c r="M49" s="3150">
        <f ca="1">IF(项目基本情况!E8="房地产抵押价值",H107,H109)</f>
        <v>92399</v>
      </c>
      <c r="N49" s="3150"/>
      <c r="O49" s="3150"/>
    </row>
    <row r="50" spans="1:35" ht="25.5" customHeight="1">
      <c r="A50" s="178"/>
      <c r="B50" s="3064" t="s">
        <v>2197</v>
      </c>
      <c r="C50" s="3064"/>
      <c r="D50" s="179"/>
      <c r="E50" s="31"/>
      <c r="F50" s="180"/>
      <c r="G50" s="3135"/>
      <c r="H50" s="138"/>
      <c r="I50" s="2477"/>
      <c r="J50" s="3128" t="s">
        <v>2198</v>
      </c>
      <c r="K50" s="3128"/>
      <c r="L50" s="3128"/>
      <c r="M50" s="3128"/>
      <c r="N50" s="3128"/>
      <c r="O50" s="3128"/>
    </row>
    <row r="51" spans="1:35" ht="12" customHeight="1">
      <c r="A51" s="181"/>
      <c r="B51" s="3064" t="s">
        <v>2199</v>
      </c>
      <c r="C51" s="3064"/>
      <c r="D51" s="182"/>
      <c r="E51" s="30"/>
      <c r="F51" s="180"/>
      <c r="G51" s="3136"/>
      <c r="H51" s="138"/>
      <c r="I51" s="2477"/>
      <c r="J51" s="2478" t="s">
        <v>2200</v>
      </c>
      <c r="K51" s="3128" t="s">
        <v>2201</v>
      </c>
      <c r="L51" s="3128"/>
      <c r="M51" s="2478" t="s">
        <v>2202</v>
      </c>
      <c r="N51" s="2478" t="s">
        <v>2203</v>
      </c>
      <c r="O51" s="2478" t="s">
        <v>2204</v>
      </c>
    </row>
    <row r="52" spans="1:35" ht="24" customHeight="1">
      <c r="A52" s="183" t="s">
        <v>2205</v>
      </c>
      <c r="B52" s="3064" t="s">
        <v>2206</v>
      </c>
      <c r="C52" s="3064"/>
      <c r="D52" s="182">
        <f ca="1">ROUND(D45*'数据-取费表'!B41/(1+'数据-取费表'!C42),0)</f>
        <v>4884</v>
      </c>
      <c r="E52" s="11" t="s">
        <v>2207</v>
      </c>
      <c r="F52" s="184">
        <f>'数据-取费表'!B41</f>
        <v>5.5500000000000008E-2</v>
      </c>
      <c r="G52" s="2479"/>
      <c r="H52" s="138"/>
      <c r="I52" s="2477"/>
      <c r="J52" s="1811">
        <v>1</v>
      </c>
      <c r="K52" s="3129" t="s">
        <v>2208</v>
      </c>
      <c r="L52" s="3129"/>
      <c r="M52" s="1753">
        <f>D48</f>
        <v>0</v>
      </c>
      <c r="N52" s="1811" t="str">
        <f>E48</f>
        <v>销售额×税（费）率</v>
      </c>
      <c r="O52" s="1754" t="str">
        <f>F48</f>
        <v>免征</v>
      </c>
    </row>
    <row r="53" spans="1:35" ht="12" customHeight="1">
      <c r="A53" s="183" t="s">
        <v>2209</v>
      </c>
      <c r="B53" s="3087" t="s">
        <v>2210</v>
      </c>
      <c r="C53" s="3088"/>
      <c r="D53" s="182">
        <f ca="1">ROUND(D45*'数据-取费表'!B41/(1+'数据-取费表'!C42),0)</f>
        <v>4884</v>
      </c>
      <c r="E53" s="11" t="s">
        <v>2207</v>
      </c>
      <c r="F53" s="184">
        <f>'数据-取费表'!B41</f>
        <v>5.5500000000000008E-2</v>
      </c>
      <c r="G53" s="2479"/>
      <c r="H53" s="138"/>
      <c r="I53" s="2477"/>
      <c r="J53" s="1811">
        <v>2</v>
      </c>
      <c r="K53" s="3129" t="s">
        <v>2211</v>
      </c>
      <c r="L53" s="3129"/>
      <c r="M53" s="1753">
        <f t="shared" ref="M53:O54" ca="1" si="0">D55</f>
        <v>46</v>
      </c>
      <c r="N53" s="1811" t="str">
        <f t="shared" si="0"/>
        <v>销售额×税（费）率</v>
      </c>
      <c r="O53" s="1754">
        <f t="shared" si="0"/>
        <v>5.0000000000000001E-4</v>
      </c>
    </row>
    <row r="54" spans="1:35" ht="12" customHeight="1">
      <c r="A54" s="183" t="s">
        <v>2212</v>
      </c>
      <c r="B54" s="3087" t="s">
        <v>2213</v>
      </c>
      <c r="C54" s="3088"/>
      <c r="D54" s="182">
        <f ca="1">C68</f>
        <v>4884</v>
      </c>
      <c r="E54" s="30" t="s">
        <v>2214</v>
      </c>
      <c r="F54" s="184">
        <f>'数据-取费表'!B41</f>
        <v>5.5500000000000008E-2</v>
      </c>
      <c r="G54" s="2479"/>
      <c r="H54" s="2480"/>
      <c r="I54" s="2477"/>
      <c r="J54" s="1811">
        <v>3</v>
      </c>
      <c r="K54" s="3129" t="s">
        <v>2215</v>
      </c>
      <c r="L54" s="3129"/>
      <c r="M54" s="1753">
        <f t="shared" ca="1" si="0"/>
        <v>52340</v>
      </c>
      <c r="N54" s="1811" t="str">
        <f t="shared" si="0"/>
        <v>增值额×税（费）率</v>
      </c>
      <c r="O54" s="1755" t="str">
        <f t="shared" si="0"/>
        <v>——</v>
      </c>
    </row>
    <row r="55" spans="1:35" ht="24" customHeight="1">
      <c r="A55" s="3078" t="s">
        <v>2216</v>
      </c>
      <c r="B55" s="3079"/>
      <c r="C55" s="3079"/>
      <c r="D55" s="185">
        <f ca="1">IF(H55="个人住宅",0,ROUND(D45*I55,0))</f>
        <v>46</v>
      </c>
      <c r="E55" s="11" t="s">
        <v>2217</v>
      </c>
      <c r="F55" s="184">
        <f>IF(H55="正常",I55,"免征")</f>
        <v>5.0000000000000001E-4</v>
      </c>
      <c r="G55" s="2479"/>
      <c r="H55" s="2476" t="s">
        <v>2218</v>
      </c>
      <c r="I55" s="186">
        <f>'数据-取费表'!B49</f>
        <v>5.0000000000000001E-4</v>
      </c>
      <c r="J55" s="1811" t="str">
        <f>IF(H59="非个人房产","",4)</f>
        <v/>
      </c>
      <c r="K55" s="3129" t="str">
        <f>IF(H59="非个人房产","——","个人所得税")</f>
        <v>——</v>
      </c>
      <c r="L55" s="3129"/>
      <c r="M55" s="1756" t="str">
        <f>D59</f>
        <v>——</v>
      </c>
      <c r="N55" s="1809" t="str">
        <f>E59</f>
        <v>——</v>
      </c>
      <c r="O55" s="1757" t="str">
        <f>F59</f>
        <v>——</v>
      </c>
    </row>
    <row r="56" spans="1:35" ht="24.75">
      <c r="A56" s="3078" t="s">
        <v>2219</v>
      </c>
      <c r="B56" s="3079"/>
      <c r="C56" s="3079"/>
      <c r="D56" s="185">
        <f ca="1">IF(H56="个人住宅",D57,D58)</f>
        <v>52340</v>
      </c>
      <c r="E56" s="11" t="s">
        <v>2220</v>
      </c>
      <c r="F56" s="184" t="str">
        <f>IF(H56="正常",F58,"免征")</f>
        <v>——</v>
      </c>
      <c r="G56" s="2481" t="s">
        <v>2221</v>
      </c>
      <c r="H56" s="2482" t="s">
        <v>2218</v>
      </c>
      <c r="I56" s="2483"/>
      <c r="J56" s="1811" t="str">
        <f>IF(项目基本情况!K6="上海银行",IF(J55="",4,J55+1),"")</f>
        <v/>
      </c>
      <c r="K56" s="3152" t="str">
        <f>IF(项目基本情况!K6="上海银行","其他处置费用","")</f>
        <v/>
      </c>
      <c r="L56" s="3153"/>
      <c r="M56" s="1753" t="str">
        <f>IF(项目基本情况!K6="上海银行",M69,"")</f>
        <v/>
      </c>
      <c r="N56" s="3155" t="str">
        <f>IF(项目基本情况!K6="上海银行","包含处置中涉及的律师、诉讼、拍卖、评估等费用","")</f>
        <v/>
      </c>
      <c r="O56" s="3156"/>
    </row>
    <row r="57" spans="1:35" ht="12.75">
      <c r="A57" s="183" t="s">
        <v>2194</v>
      </c>
      <c r="B57" s="3094" t="s">
        <v>2222</v>
      </c>
      <c r="C57" s="3103"/>
      <c r="D57" s="187">
        <v>0</v>
      </c>
      <c r="E57" s="23" t="s">
        <v>2196</v>
      </c>
      <c r="F57" s="155"/>
      <c r="G57" s="2479"/>
      <c r="H57" s="2483"/>
      <c r="I57" s="2483"/>
      <c r="J57" s="3129">
        <f>IF(AND(J55="",J56=""),4,IF(项目基本情况!K6="上海银行",结果表!J56+1,结果表!J55+1))</f>
        <v>4</v>
      </c>
      <c r="K57" s="3129" t="s">
        <v>2223</v>
      </c>
      <c r="L57" s="2484" t="s">
        <v>2224</v>
      </c>
      <c r="M57" s="1758"/>
      <c r="N57" s="1759">
        <f ca="1">SUMIF(M52:M56,"&lt;9e307")</f>
        <v>52386</v>
      </c>
      <c r="O57" s="2485"/>
      <c r="P57" s="1752">
        <f ca="1">N57/M49</f>
        <v>0.56695418781588547</v>
      </c>
    </row>
    <row r="58" spans="1:35" ht="24.75">
      <c r="A58" s="183" t="s">
        <v>2205</v>
      </c>
      <c r="B58" s="3094" t="s">
        <v>2225</v>
      </c>
      <c r="C58" s="3095"/>
      <c r="D58" s="185">
        <f ca="1">IF(H58="转让取得",C81,C97)</f>
        <v>52340</v>
      </c>
      <c r="E58" s="11" t="s">
        <v>2220</v>
      </c>
      <c r="F58" s="24" t="s">
        <v>34</v>
      </c>
      <c r="G58" s="2479"/>
      <c r="H58" s="2482" t="s">
        <v>2226</v>
      </c>
      <c r="I58" s="2483"/>
      <c r="J58" s="3129"/>
      <c r="K58" s="3129"/>
      <c r="L58" s="2484" t="s">
        <v>2227</v>
      </c>
      <c r="M58" s="1760"/>
      <c r="N58" s="2486" t="str">
        <f ca="1">NUMBERSTRING(INT(N57*10000),2)&amp;"元整"</f>
        <v>伍亿贰仟叁佰捌拾陆万元整</v>
      </c>
      <c r="O58" s="2487"/>
    </row>
    <row r="59" spans="1:35" ht="24.75" thickBot="1">
      <c r="A59" s="3132" t="s">
        <v>2228</v>
      </c>
      <c r="B59" s="3133"/>
      <c r="C59" s="3133"/>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30">
        <f>J57+1</f>
        <v>5</v>
      </c>
      <c r="K59" s="3129" t="s">
        <v>2230</v>
      </c>
      <c r="L59" s="1811" t="s">
        <v>2224</v>
      </c>
      <c r="M59" s="1761"/>
      <c r="N59" s="1762">
        <f ca="1">M49-N57</f>
        <v>40013</v>
      </c>
      <c r="O59" s="2489"/>
    </row>
    <row r="60" spans="1:35" ht="12" customHeight="1">
      <c r="A60" s="2490"/>
      <c r="B60" s="2412"/>
      <c r="C60" s="2412"/>
      <c r="D60" s="2412"/>
      <c r="E60" s="2163"/>
      <c r="F60" s="2483"/>
      <c r="G60" s="2483"/>
      <c r="H60" s="2491"/>
      <c r="I60" s="138"/>
      <c r="J60" s="3131"/>
      <c r="K60" s="3129"/>
      <c r="L60" s="2484" t="s">
        <v>2227</v>
      </c>
      <c r="M60" s="1760"/>
      <c r="N60" s="2486" t="str">
        <f ca="1">NUMBERSTRING(INT(N59*10000),2)&amp;"元整"</f>
        <v>肆亿零壹拾叁万元整</v>
      </c>
      <c r="O60" s="2487"/>
    </row>
    <row r="61" spans="1:35" ht="13.5" thickBot="1">
      <c r="A61" s="3076" t="s">
        <v>2231</v>
      </c>
      <c r="B61" s="3076"/>
      <c r="C61" s="3076"/>
      <c r="D61" s="3076"/>
      <c r="E61" s="3076"/>
      <c r="F61" s="2483"/>
      <c r="G61" s="2483"/>
      <c r="H61" s="2491"/>
      <c r="I61" s="138"/>
      <c r="J61" s="1811">
        <f>J59+1</f>
        <v>6</v>
      </c>
      <c r="K61" s="3129" t="s">
        <v>2232</v>
      </c>
      <c r="L61" s="3129"/>
      <c r="M61" s="1763"/>
      <c r="N61" s="1764">
        <f ca="1">ROUND(N59*10000/'数据-汇总表'!E3,0)</f>
        <v>3211</v>
      </c>
      <c r="O61" s="2492"/>
    </row>
    <row r="62" spans="1:35" ht="12.75">
      <c r="A62" s="3092" t="s">
        <v>2233</v>
      </c>
      <c r="B62" s="3093"/>
      <c r="C62" s="1803"/>
      <c r="D62" s="1803" t="s">
        <v>2234</v>
      </c>
      <c r="E62" s="192" t="s">
        <v>2235</v>
      </c>
      <c r="F62" s="2483"/>
      <c r="G62" s="2483"/>
      <c r="H62" s="2491"/>
      <c r="I62" s="138"/>
    </row>
    <row r="63" spans="1:35" ht="12.75">
      <c r="A63" s="203" t="s">
        <v>775</v>
      </c>
      <c r="B63" s="193" t="s">
        <v>2236</v>
      </c>
      <c r="C63" s="194">
        <f ca="1">ROUND((C64+C65)/(1+'数据-取费表'!C42),0)</f>
        <v>87999</v>
      </c>
      <c r="D63" s="195"/>
      <c r="E63" s="196"/>
      <c r="F63" s="2483"/>
      <c r="G63" s="2483"/>
      <c r="H63" s="2491"/>
      <c r="I63" s="138"/>
      <c r="J63" s="3154" t="s">
        <v>2237</v>
      </c>
      <c r="K63" s="2493" t="s">
        <v>2238</v>
      </c>
      <c r="L63" s="1751">
        <f ca="1">IF(M49&gt;10000,M49*0.5%,IF(AND(M49&gt;1000,M49&lt;=10000),M49*1%,IF(AND(M49&gt;100,M49&lt;=1000),M49*3%,IF(AND(M49&gt;10,M49&lt;=100),M49*5%,M49*8%))))</f>
        <v>461.995</v>
      </c>
      <c r="M63" s="24">
        <f ca="1">ROUND(L63,1)</f>
        <v>462</v>
      </c>
      <c r="Z63" s="2417"/>
      <c r="AI63" s="2418"/>
    </row>
    <row r="64" spans="1:35" ht="14.25" customHeight="1">
      <c r="A64" s="197" t="s">
        <v>770</v>
      </c>
      <c r="B64" s="198" t="s">
        <v>2239</v>
      </c>
      <c r="C64" s="199">
        <f ca="1">D45</f>
        <v>92399</v>
      </c>
      <c r="D64" s="200" t="s">
        <v>32</v>
      </c>
      <c r="E64" s="201"/>
      <c r="F64" s="2483"/>
      <c r="G64" s="2483"/>
      <c r="H64" s="2491"/>
      <c r="I64" s="138"/>
      <c r="J64" s="3154"/>
      <c r="K64" s="2493" t="s">
        <v>2240</v>
      </c>
      <c r="L64" s="1751">
        <f ca="1">IF(M49&gt;2000,M49*0.5%,IF(AND(M49&gt;1000,M49&lt;=2000),M49*0.6%,IF(AND(M49&gt;500,M49&lt;=1000),M49*0.7%,IF(AND(M49&gt;200,M49&lt;=500),M49*0.8%,IF(AND(M49&gt;100,M49&lt;=200),M49*0.9%,IF(AND(M49&gt;50,M49&lt;=100),M49*1%,IF(AND(M49&gt;20,M49&lt;=50),M49*1.5%,IF(AND(M49&gt;10,M49&lt;=20),M49*2%,IF(AND(M49&gt;1,M49&lt;=10),M49*2.5%)))))))))</f>
        <v>461.995</v>
      </c>
      <c r="M64" s="24">
        <f t="shared" ref="M64:M65" ca="1" si="1">ROUND(L64,1)</f>
        <v>462</v>
      </c>
      <c r="N64" s="138" t="s">
        <v>2241</v>
      </c>
      <c r="Z64" s="2417"/>
      <c r="AI64" s="2418"/>
    </row>
    <row r="65" spans="1:35" ht="14.25" customHeight="1">
      <c r="A65" s="197" t="s">
        <v>771</v>
      </c>
      <c r="B65" s="198" t="s">
        <v>2242</v>
      </c>
      <c r="C65" s="202"/>
      <c r="D65" s="200"/>
      <c r="E65" s="201"/>
      <c r="F65" s="2483"/>
      <c r="G65" s="2483"/>
      <c r="H65" s="2491"/>
      <c r="I65" s="138"/>
      <c r="J65" s="3154"/>
      <c r="K65" s="2493" t="s">
        <v>2243</v>
      </c>
      <c r="L65" s="1751">
        <f ca="1">IF(M49&gt;1000,M49*0.1%,IF(AND(M49&gt;500,M49&lt;=1000),M49*0.5%,IF(AND(M49&gt;50,M49&lt;=500),M49*1%,IF(AND(M49&gt;1,M49&lt;=50),M49*1.5%))))</f>
        <v>92.399000000000001</v>
      </c>
      <c r="M65" s="24">
        <f t="shared" ca="1" si="1"/>
        <v>92.4</v>
      </c>
      <c r="N65" s="138" t="s">
        <v>2241</v>
      </c>
      <c r="Z65" s="2417"/>
      <c r="AI65" s="2418"/>
    </row>
    <row r="66" spans="1:35" ht="14.25" customHeight="1">
      <c r="A66" s="203" t="s">
        <v>772</v>
      </c>
      <c r="B66" s="204" t="s">
        <v>2244</v>
      </c>
      <c r="C66" s="205"/>
      <c r="D66" s="206" t="s">
        <v>32</v>
      </c>
      <c r="E66" s="1775" t="s">
        <v>1371</v>
      </c>
      <c r="F66" s="2483"/>
      <c r="G66" s="2483"/>
      <c r="H66" s="2491"/>
      <c r="I66" s="138"/>
      <c r="J66" s="3154"/>
      <c r="K66" s="2493" t="s">
        <v>2245</v>
      </c>
      <c r="L66" s="1751">
        <f ca="1">M49*0.5%</f>
        <v>461.995</v>
      </c>
      <c r="M66" s="24">
        <f ca="1">IF(L66&gt;0.5,0.5,ROUND(L66,0))</f>
        <v>0.5</v>
      </c>
      <c r="N66" s="138" t="s">
        <v>2246</v>
      </c>
      <c r="Z66" s="2417"/>
      <c r="AI66" s="2418"/>
    </row>
    <row r="67" spans="1:35" ht="14.25" customHeight="1">
      <c r="A67" s="203" t="s">
        <v>773</v>
      </c>
      <c r="B67" s="204" t="s">
        <v>2247</v>
      </c>
      <c r="C67" s="207">
        <f ca="1">C63-C66</f>
        <v>87999</v>
      </c>
      <c r="D67" s="200" t="s">
        <v>32</v>
      </c>
      <c r="E67" s="201"/>
      <c r="F67" s="2483"/>
      <c r="G67" s="2483"/>
      <c r="H67" s="2491"/>
      <c r="I67" s="138"/>
      <c r="J67" s="3154"/>
      <c r="K67" s="2493" t="s">
        <v>2248</v>
      </c>
      <c r="L67" s="1751">
        <f ca="1">IF(M49&gt;=10000,(8.25+(M49-10000)*0.01%),IF(AND(M49&gt;=8000,M49&lt;10000),(7.85+(M49-8000)*0.02%),IF(AND(M49&gt;=5000,M49&lt;8000),(6.65+(M49-5000)*0.04%),IF(AND(M49&gt;=2000,M49&lt;5000),(4.25+(PM49-2000)*0.08%),IF(AND(M49&gt;=1000,M49&lt;2000),(2.75+(M49-1000)*0.15%),IF(AND(M49&gt;=100,M49&lt;1000),(0.5+(M49-100)*0.25%),IF(AND(M49&gt;0,M49&lt;100),M49*0.5%)))))))</f>
        <v>16.489899999999999</v>
      </c>
      <c r="M67" s="24">
        <f ca="1">ROUND(L67*0.9,1)</f>
        <v>14.8</v>
      </c>
      <c r="Z67" s="2417"/>
      <c r="AI67" s="2418"/>
    </row>
    <row r="68" spans="1:35" ht="14.25" customHeight="1" thickBot="1">
      <c r="A68" s="208" t="s">
        <v>774</v>
      </c>
      <c r="B68" s="209" t="s">
        <v>2249</v>
      </c>
      <c r="C68" s="210">
        <f ca="1">IF(C67&lt;=0,0,ROUND(C67*D68,0))</f>
        <v>4884</v>
      </c>
      <c r="D68" s="211">
        <f>'数据-取费表'!B41</f>
        <v>5.5500000000000008E-2</v>
      </c>
      <c r="E68" s="212"/>
      <c r="F68" s="2483"/>
      <c r="G68" s="2483"/>
      <c r="H68" s="2491"/>
      <c r="I68" s="138"/>
      <c r="J68" s="3154"/>
      <c r="K68" s="2493" t="s">
        <v>2250</v>
      </c>
      <c r="L68" s="1751">
        <f ca="1">IF(M49&gt;10000,M49*0.5%,IF(AND(M49&gt;5000,M49&lt;=10000),M49*1%,IF(AND(M49&gt;1000,M49&lt;=5000),M49*2%,IF(AND(M49&gt;200,M49&lt;=1000),M49*3%,M49*5%))))</f>
        <v>461.995</v>
      </c>
      <c r="M68" s="24">
        <f ca="1">ROUND(L68,1)</f>
        <v>462</v>
      </c>
      <c r="Z68" s="2417"/>
      <c r="AI68" s="2418"/>
    </row>
    <row r="69" spans="1:35" s="2440" customFormat="1" ht="16.5" customHeight="1">
      <c r="A69" s="2494"/>
      <c r="B69" s="2495"/>
      <c r="C69" s="2496"/>
      <c r="D69" s="2497"/>
      <c r="E69" s="2498"/>
      <c r="F69" s="2163"/>
      <c r="G69" s="2163"/>
      <c r="H69" s="2162"/>
      <c r="I69" s="2412"/>
      <c r="J69" s="3154"/>
      <c r="K69" s="2493" t="s">
        <v>2251</v>
      </c>
      <c r="L69" s="2499"/>
      <c r="M69" s="24">
        <f ca="1">ROUND(SUM(M63:M68),0)</f>
        <v>1494</v>
      </c>
      <c r="N69" s="1752">
        <f ca="1">M69/M49</f>
        <v>1.6169006158075303E-2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3" t="s">
        <v>2252</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2" t="s">
        <v>2233</v>
      </c>
      <c r="B71" s="3093"/>
      <c r="C71" s="1803"/>
      <c r="D71" s="1803"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2253</v>
      </c>
      <c r="C72" s="207">
        <f ca="1">ROUND(D45/(1+'数据-取费表'!C42),0)</f>
        <v>87999</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2254</v>
      </c>
      <c r="C73" s="207">
        <f ca="1">C74+C78</f>
        <v>484</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2255</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2260</v>
      </c>
      <c r="C76" s="200">
        <f>IF(F75="购房发票",ROUND(C75*H75*D76,0),0)</f>
        <v>0</v>
      </c>
      <c r="D76" s="222">
        <v>0.05</v>
      </c>
      <c r="E76" s="3087" t="s">
        <v>2261</v>
      </c>
      <c r="F76" s="3064"/>
      <c r="G76" s="3064"/>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2265</v>
      </c>
      <c r="C78" s="225">
        <f ca="1">ROUND(D45*D78/(1+'数据-取费表'!C42),0)</f>
        <v>484</v>
      </c>
      <c r="D78" s="226">
        <f>'数据-取费表'!B43</f>
        <v>5.5000000000000014E-3</v>
      </c>
      <c r="E78" s="3073" t="s">
        <v>2266</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2267</v>
      </c>
      <c r="C79" s="207">
        <f ca="1">C72-C73</f>
        <v>87515</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2268</v>
      </c>
      <c r="C80" s="227">
        <f ca="1">IF(C79&lt;=0,0,C79/C73)</f>
        <v>180.81611570247935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2269</v>
      </c>
      <c r="C81" s="228">
        <f ca="1">ROUND(IF(C79&lt;=0,0,IF(C80&gt;=200%,C79*60%-C73*35%,IF(C80&gt;=100%,C79*50%-C73*15%,IF(C80&gt;=50%,C79*40%-C73*5%,IF(C80&lt;50%,C79*30%,0))))),0)</f>
        <v>52340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2270</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2" t="s">
        <v>2233</v>
      </c>
      <c r="B84" s="3093"/>
      <c r="C84" s="1803"/>
      <c r="D84" s="1803"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2253</v>
      </c>
      <c r="C85" s="207">
        <f ca="1">ROUND(D45/(1+'数据-取费表'!C42),0)</f>
        <v>87999</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2254</v>
      </c>
      <c r="C86" s="207">
        <f ca="1">IF(H88="仅含出让金",C87+C90+C91+C92+C93+C94,C87+C91+C92+C93+C94)</f>
        <v>484</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2271</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2272</v>
      </c>
      <c r="C88" s="236"/>
      <c r="D88" s="226"/>
      <c r="E88" s="237" t="s">
        <v>2273</v>
      </c>
      <c r="F88" s="1799"/>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2262</v>
      </c>
      <c r="C89" s="225">
        <f>ROUND(C88*D89,0)</f>
        <v>0</v>
      </c>
      <c r="D89" s="226">
        <f>'数据-取费表'!B48+'数据-取费表'!B49</f>
        <v>3.0499999999999999E-2</v>
      </c>
      <c r="E89" s="237" t="s">
        <v>2275</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2276</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2277</v>
      </c>
      <c r="B91" s="198" t="s">
        <v>2278</v>
      </c>
      <c r="C91" s="225">
        <f>IF(H91="——",成本法!C33,I91)</f>
        <v>0</v>
      </c>
      <c r="D91" s="226"/>
      <c r="E91" s="3073" t="s">
        <v>2279</v>
      </c>
      <c r="F91" s="3074"/>
      <c r="G91" s="3074"/>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2281</v>
      </c>
      <c r="B92" s="198" t="s">
        <v>2282</v>
      </c>
      <c r="C92" s="225">
        <f>ROUND((C87+C90+C91)*D92,0)</f>
        <v>0</v>
      </c>
      <c r="D92" s="226">
        <v>0.1</v>
      </c>
      <c r="E92" s="3073" t="s">
        <v>2283</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2284</v>
      </c>
      <c r="B93" s="198" t="s">
        <v>2265</v>
      </c>
      <c r="C93" s="225">
        <f ca="1">ROUND(D45*D93/(1+'数据-取费表'!C42),0)</f>
        <v>484</v>
      </c>
      <c r="D93" s="226">
        <f>'数据-取费表'!B43</f>
        <v>5.5000000000000014E-3</v>
      </c>
      <c r="E93" s="3073" t="s">
        <v>2266</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2285</v>
      </c>
      <c r="B94" s="198" t="s">
        <v>2286</v>
      </c>
      <c r="C94" s="236">
        <f>ROUND((C87+C90+C91)*D94,0)</f>
        <v>0</v>
      </c>
      <c r="D94" s="226">
        <v>0.2</v>
      </c>
      <c r="E94" s="3084" t="s">
        <v>2287</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2267</v>
      </c>
      <c r="C95" s="207">
        <f ca="1">ROUND(C85-C86,0)</f>
        <v>87515</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2268</v>
      </c>
      <c r="C96" s="227">
        <f ca="1">IF(C95&lt;=0,0,C95/C86)</f>
        <v>180.81611570247935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2269</v>
      </c>
      <c r="C97" s="228">
        <f ca="1">ROUND(IF(C95&lt;=0,0,IF(C96&gt;=200%,C95*60%-C86*35%,IF(C96&gt;=100%,C95*50%-C86*15%,IF(C96&gt;=50%,C95*40%-C86*5%,IF(C96&lt;50%,C95*30%,0))))),0)</f>
        <v>52340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58" t="s">
        <v>2289</v>
      </c>
      <c r="B100" s="3059"/>
      <c r="C100" s="3059"/>
      <c r="D100" s="3075"/>
      <c r="E100" s="3059" t="s">
        <v>2290</v>
      </c>
      <c r="F100" s="3059"/>
      <c r="G100" s="3059"/>
      <c r="H100" s="3075"/>
      <c r="I100" s="138"/>
    </row>
    <row r="101" spans="1:35" ht="18.75" customHeight="1">
      <c r="A101" s="3137" t="s">
        <v>2291</v>
      </c>
      <c r="B101" s="3138"/>
      <c r="C101" s="736" t="str">
        <f>C4</f>
        <v>成本法</v>
      </c>
      <c r="D101" s="737" t="str">
        <f>D4</f>
        <v>假设开发法</v>
      </c>
      <c r="E101" s="3151" t="s">
        <v>2292</v>
      </c>
      <c r="F101" s="3105"/>
      <c r="G101" s="2514" t="s">
        <v>2293</v>
      </c>
      <c r="H101" s="1048">
        <f ca="1">H118</f>
        <v>92399</v>
      </c>
      <c r="I101" s="138"/>
    </row>
    <row r="102" spans="1:35" ht="18.75" customHeight="1">
      <c r="A102" s="3107" t="s">
        <v>2294</v>
      </c>
      <c r="B102" s="2514" t="s">
        <v>2293</v>
      </c>
      <c r="C102" s="736">
        <f ca="1">C19</f>
        <v>99129</v>
      </c>
      <c r="D102" s="737">
        <f ca="1">D19</f>
        <v>85669</v>
      </c>
      <c r="E102" s="3151"/>
      <c r="F102" s="3105"/>
      <c r="G102" s="2514" t="s">
        <v>2295</v>
      </c>
      <c r="H102" s="371">
        <f ca="1">I118</f>
        <v>7415</v>
      </c>
      <c r="I102" s="138"/>
    </row>
    <row r="103" spans="1:35" ht="42.75" customHeight="1">
      <c r="A103" s="3107"/>
      <c r="B103" s="2514" t="s">
        <v>2295</v>
      </c>
      <c r="C103" s="738">
        <f ca="1">C20</f>
        <v>7955</v>
      </c>
      <c r="D103" s="739">
        <f ca="1">D20</f>
        <v>6875</v>
      </c>
      <c r="E103" s="3146" t="s">
        <v>2296</v>
      </c>
      <c r="F103" s="3147"/>
      <c r="G103" s="2515" t="s">
        <v>2297</v>
      </c>
      <c r="H103" s="1048">
        <f>IF(D36="正常操作",H104+H105+H106,H105+H106)</f>
        <v>0</v>
      </c>
      <c r="I103" s="138"/>
    </row>
    <row r="104" spans="1:35" ht="18.75" customHeight="1">
      <c r="A104" s="3107" t="s">
        <v>2298</v>
      </c>
      <c r="B104" s="2516" t="s">
        <v>2293</v>
      </c>
      <c r="C104" s="740">
        <f ca="1">H118</f>
        <v>92399</v>
      </c>
      <c r="D104" s="741"/>
      <c r="E104" s="2263" t="s">
        <v>2299</v>
      </c>
      <c r="F104" s="2255"/>
      <c r="G104" s="2515" t="s">
        <v>2297</v>
      </c>
      <c r="H104" s="1049">
        <f>IF(D36="同一抵押权人同一抵押物续贷",C36&amp;"（未扣减，详见特别提示）",C36)</f>
        <v>0</v>
      </c>
      <c r="I104" s="138"/>
    </row>
    <row r="105" spans="1:35" ht="18.75" customHeight="1" thickBot="1">
      <c r="A105" s="3108"/>
      <c r="B105" s="2517" t="s">
        <v>2295</v>
      </c>
      <c r="C105" s="742">
        <f ca="1">I118</f>
        <v>7415</v>
      </c>
      <c r="D105" s="743"/>
      <c r="E105" s="2263" t="s">
        <v>2300</v>
      </c>
      <c r="F105" s="2255"/>
      <c r="G105" s="2515" t="s">
        <v>2297</v>
      </c>
      <c r="H105" s="1049">
        <f>C37</f>
        <v>0</v>
      </c>
      <c r="I105" s="138"/>
    </row>
    <row r="106" spans="1:35" ht="18.75" customHeight="1">
      <c r="A106" s="2412" t="s">
        <v>2301</v>
      </c>
      <c r="B106" s="2412"/>
      <c r="C106" s="2412"/>
      <c r="D106" s="2412"/>
      <c r="E106" s="2518" t="s">
        <v>2302</v>
      </c>
      <c r="F106" s="2255"/>
      <c r="G106" s="2515" t="s">
        <v>2297</v>
      </c>
      <c r="H106" s="1049">
        <f>C38</f>
        <v>0</v>
      </c>
      <c r="I106" s="138"/>
    </row>
    <row r="107" spans="1:35" ht="18.75" customHeight="1">
      <c r="A107" s="138"/>
      <c r="B107" s="138"/>
      <c r="C107" s="138"/>
      <c r="D107" s="138"/>
      <c r="E107" s="3104" t="str">
        <f>IF(项目基本情况!E8="已注销","——","3.房地产抵押价值")</f>
        <v>3.房地产抵押价值</v>
      </c>
      <c r="F107" s="3105"/>
      <c r="G107" s="2514" t="s">
        <v>2293</v>
      </c>
      <c r="H107" s="1048">
        <f ca="1">IF(E107="——","——",H101-H103)</f>
        <v>92399</v>
      </c>
      <c r="I107" s="138"/>
    </row>
    <row r="108" spans="1:35" ht="18.75" customHeight="1">
      <c r="A108" s="138"/>
      <c r="B108" s="138"/>
      <c r="C108" s="138"/>
      <c r="D108" s="138"/>
      <c r="E108" s="3104"/>
      <c r="F108" s="3105"/>
      <c r="G108" s="2514" t="s">
        <v>2295</v>
      </c>
      <c r="H108" s="371">
        <f ca="1">ROUND(H107*10000/'数据-汇总表'!E3,0)</f>
        <v>7415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4" t="s">
        <v>2293</v>
      </c>
      <c r="H109" s="348" t="str">
        <f>IF(E109="——","——",H101-H105-H106)</f>
        <v>——</v>
      </c>
      <c r="I109" s="138"/>
    </row>
    <row r="110" spans="1:35" ht="18.75" customHeight="1">
      <c r="A110" s="138"/>
      <c r="B110" s="138"/>
      <c r="C110" s="138"/>
      <c r="D110" s="138"/>
      <c r="E110" s="3104"/>
      <c r="F110" s="3105"/>
      <c r="G110" s="2514" t="s">
        <v>2295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4" t="s">
        <v>2293</v>
      </c>
      <c r="H111" s="1048" t="str">
        <f>IF(E111="——","——",N59)</f>
        <v>——</v>
      </c>
      <c r="I111" s="138"/>
    </row>
    <row r="112" spans="1:35" ht="18.75" customHeight="1" thickBot="1">
      <c r="A112" s="138"/>
      <c r="B112" s="138"/>
      <c r="C112" s="138"/>
      <c r="D112" s="138"/>
      <c r="E112" s="3141"/>
      <c r="F112" s="3142"/>
      <c r="G112" s="2519" t="s">
        <v>2295</v>
      </c>
      <c r="H112" s="790" t="str">
        <f>IF(E111="——","——",N61)</f>
        <v>——</v>
      </c>
      <c r="I112" s="138"/>
    </row>
    <row r="113" spans="1:11" ht="18.75" customHeight="1">
      <c r="A113" s="138"/>
      <c r="B113" s="138"/>
      <c r="C113" s="138"/>
      <c r="D113" s="138"/>
      <c r="E113" s="3109" t="s">
        <v>2301</v>
      </c>
      <c r="F113" s="3109"/>
      <c r="G113" s="3109"/>
      <c r="H113" s="3109"/>
      <c r="I113" s="138"/>
    </row>
    <row r="114" spans="1:11" ht="3.75" customHeight="1">
      <c r="A114" s="2412"/>
      <c r="B114" s="2412"/>
      <c r="C114" s="2412"/>
      <c r="D114" s="2412"/>
      <c r="E114" s="2490"/>
      <c r="F114" s="2490"/>
      <c r="G114" s="2490"/>
      <c r="H114" s="2490"/>
      <c r="I114" s="2412"/>
    </row>
    <row r="115" spans="1:11" ht="18.75" customHeight="1">
      <c r="A115" s="3122" t="s">
        <v>2303</v>
      </c>
      <c r="B115" s="3123"/>
      <c r="C115" s="3123"/>
      <c r="D115" s="3123"/>
      <c r="E115" s="3123"/>
      <c r="F115" s="3123"/>
      <c r="G115" s="3123"/>
      <c r="H115" s="3123"/>
      <c r="I115" s="3124"/>
    </row>
    <row r="116" spans="1:11" ht="27" customHeight="1">
      <c r="A116" s="3015" t="s">
        <v>2304</v>
      </c>
      <c r="B116" s="3110" t="s">
        <v>2305</v>
      </c>
      <c r="C116" s="3110" t="s">
        <v>2306</v>
      </c>
      <c r="D116" s="3126" t="s">
        <v>2307</v>
      </c>
      <c r="E116" s="3127"/>
      <c r="F116" s="3118" t="s">
        <v>2308</v>
      </c>
      <c r="G116" s="3118"/>
      <c r="H116" s="3015" t="s">
        <v>2309</v>
      </c>
      <c r="I116" s="3015"/>
    </row>
    <row r="117" spans="1:11" ht="18.75" customHeight="1">
      <c r="A117" s="3015"/>
      <c r="B117" s="3111"/>
      <c r="C117" s="3111"/>
      <c r="D117" s="1797" t="s">
        <v>2310</v>
      </c>
      <c r="E117" s="1797" t="s">
        <v>2311</v>
      </c>
      <c r="F117" s="1797" t="s">
        <v>2310</v>
      </c>
      <c r="G117" s="1797" t="s">
        <v>2312</v>
      </c>
      <c r="H117" s="1797" t="s">
        <v>2310</v>
      </c>
      <c r="I117" s="1797" t="s">
        <v>2312</v>
      </c>
    </row>
    <row r="118" spans="1:11" ht="24.75" customHeight="1">
      <c r="A118" s="2520" t="str">
        <f>项目基本情况!S2</f>
        <v>天津市津南区北闸口镇出让国有建设用地使用权及在建建筑物房地产</v>
      </c>
      <c r="B118" s="1797">
        <f>M18</f>
        <v>124616.56000000001</v>
      </c>
      <c r="C118" s="1797">
        <f>M19</f>
        <v>64266.3</v>
      </c>
      <c r="D118" s="1797">
        <f ca="1">ROUND(IF(D32="总价",C34,E118*B118/10000),0)</f>
        <v>84083</v>
      </c>
      <c r="E118" s="1797">
        <f ca="1">ROUND(IF(C33="自定义",IF(D32="楼面单价",C34,D118*10000/B118),I118-G118),0)</f>
        <v>6748</v>
      </c>
      <c r="F118" s="1797">
        <f ca="1">ROUND(IF(D32="总价",C35,G118*B118/10000),0)</f>
        <v>8316</v>
      </c>
      <c r="G118" s="1797">
        <f ca="1">ROUND(IF(D32="楼面单价",C35,F118*10000/B118),0)</f>
        <v>667</v>
      </c>
      <c r="H118" s="1797">
        <f ca="1">ROUND(IF(D32="总价",C32,I118*B118/10000),0)</f>
        <v>92399</v>
      </c>
      <c r="I118" s="1797">
        <f ca="1">ROUND(IF(D32="楼面单价",C32,H118*10000/B118),0)</f>
        <v>7415</v>
      </c>
    </row>
    <row r="119" spans="1:11" ht="18.75" customHeight="1">
      <c r="A119" s="3015" t="s">
        <v>2313</v>
      </c>
      <c r="B119" s="3015"/>
      <c r="C119" s="3015"/>
      <c r="D119" s="3115" t="str">
        <f ca="1">NUMBERSTRING(INT(D118*10000),2)&amp;"元整"</f>
        <v>捌亿肆仟零捌拾叁万元整</v>
      </c>
      <c r="E119" s="3117"/>
      <c r="F119" s="3115" t="str">
        <f ca="1">NUMBERSTRING(INT(F118*10000),2)&amp;"元整"</f>
        <v>捌仟叁佰壹拾陆万元整</v>
      </c>
      <c r="G119" s="3117"/>
      <c r="H119" s="3115" t="str">
        <f ca="1">NUMBERSTRING(INT(H118*10000),2)&amp;"元整"</f>
        <v>玖亿贰仟叁佰玖拾玖万元整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7" t="str">
        <f>IF(D120=0,"故，本次评估不存在"&amp;A120,"故，本次评估"&amp;A120&amp;"为人民币"&amp;D120&amp;"万元整。")</f>
        <v>故，本次评估不存在估价师知悉的法定优先受偿款</v>
      </c>
    </row>
    <row r="121" spans="1:11" ht="18.75" customHeight="1">
      <c r="A121" s="3119" t="s">
        <v>2313</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92399</v>
      </c>
      <c r="E122" s="3144"/>
      <c r="F122" s="3144"/>
      <c r="G122" s="3144"/>
      <c r="H122" s="3144"/>
      <c r="I122" s="3145"/>
    </row>
    <row r="123" spans="1:11" ht="18.75" customHeight="1">
      <c r="A123" s="3015" t="s">
        <v>2313</v>
      </c>
      <c r="B123" s="3015"/>
      <c r="C123" s="3015"/>
      <c r="D123" s="3115" t="str">
        <f ca="1">NUMBERSTRING(INT(D122*10000),2)&amp;"元整"</f>
        <v>玖亿贰仟叁佰玖拾玖万元整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2313</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2313</v>
      </c>
      <c r="B127" s="3015"/>
      <c r="C127" s="3015"/>
      <c r="D127" s="3115" t="e">
        <f>NUMBERSTRING(INT(D126*10000),2)&amp;"元整"</f>
        <v>#VALUE!</v>
      </c>
      <c r="E127" s="3116"/>
      <c r="F127" s="3116"/>
      <c r="G127" s="3116"/>
      <c r="H127" s="3116"/>
      <c r="I127" s="3117"/>
    </row>
    <row r="128" spans="1:11" ht="21.75" customHeight="1">
      <c r="A128" s="3125" t="s">
        <v>2314</v>
      </c>
      <c r="B128" s="3125"/>
      <c r="C128" s="3125"/>
      <c r="D128" s="3125"/>
      <c r="E128" s="3125"/>
      <c r="F128" s="3125"/>
      <c r="G128" s="3125"/>
      <c r="H128" s="3125"/>
      <c r="I128" s="3125"/>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E58" sqref="E58"/>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9"/>
      <c r="C1" s="242"/>
      <c r="D1" s="242"/>
      <c r="E1" s="242"/>
      <c r="F1" s="242"/>
      <c r="G1" s="1382">
        <f>MATCH(B1,'数据-取费表'!A6:A16,0)+5</f>
        <v>10</v>
      </c>
    </row>
    <row r="2" spans="1:9" s="244" customFormat="1" ht="18" customHeight="1">
      <c r="A2" s="245" t="s">
        <v>2323</v>
      </c>
      <c r="B2" s="246">
        <f ca="1">IF(D2="——",C52,C52-E2)</f>
        <v>99129</v>
      </c>
      <c r="C2" s="243" t="s">
        <v>2324</v>
      </c>
      <c r="D2" s="2543" t="s">
        <v>70</v>
      </c>
      <c r="E2" s="1443"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7955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79309</v>
      </c>
      <c r="D5" s="255" t="s">
        <v>2330</v>
      </c>
      <c r="E5" s="256" t="s">
        <v>2331</v>
      </c>
      <c r="F5" s="256" t="s">
        <v>2332</v>
      </c>
      <c r="G5" s="257"/>
    </row>
    <row r="6" spans="1:9" s="258" customFormat="1" ht="13.5" customHeight="1">
      <c r="A6" s="952" t="s">
        <v>2333</v>
      </c>
      <c r="B6" s="259" t="s">
        <v>2334</v>
      </c>
      <c r="C6" s="260">
        <f>'土地比较法-住宅、综合'!B2</f>
        <v>76962</v>
      </c>
      <c r="D6" s="261"/>
      <c r="E6" s="262"/>
      <c r="F6" s="262"/>
      <c r="G6" s="263"/>
    </row>
    <row r="7" spans="1:9" s="258" customFormat="1" ht="13.5" customHeight="1">
      <c r="A7" s="952" t="s">
        <v>2335</v>
      </c>
      <c r="B7" s="259" t="s">
        <v>2336</v>
      </c>
      <c r="C7" s="264">
        <f>ROUND(C6*F7,0)</f>
        <v>2347</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0</v>
      </c>
      <c r="D8" s="266"/>
      <c r="E8" s="264"/>
      <c r="F8" s="265"/>
      <c r="G8" s="2546" t="s">
        <v>3138</v>
      </c>
    </row>
    <row r="9" spans="1:9" s="258" customFormat="1" ht="13.5" customHeight="1">
      <c r="A9" s="953" t="s">
        <v>800</v>
      </c>
      <c r="B9" s="268" t="s">
        <v>2339</v>
      </c>
      <c r="C9" s="269">
        <f ca="1">ROUND(D9*E9/10000,0)</f>
        <v>1233</v>
      </c>
      <c r="D9" s="1035">
        <f ca="1">IF(B1="",'数据-汇总表'!E5,IF(INDIRECT("'数据-取费表'!c"&amp;$G$1)="住宅",INDIRECT("'数据-取费表'!k"&amp;$G$1),0))</f>
        <v>74713.14</v>
      </c>
      <c r="E9" s="269">
        <f>'数据-取费表'!B27</f>
        <v>165</v>
      </c>
      <c r="F9" s="265"/>
      <c r="G9" s="2547" t="s">
        <v>3251</v>
      </c>
      <c r="H9" s="1393"/>
      <c r="I9" s="2548" t="s">
        <v>2340</v>
      </c>
    </row>
    <row r="10" spans="1:9" s="258" customFormat="1" ht="13.5" customHeight="1">
      <c r="A10" s="953" t="s">
        <v>801</v>
      </c>
      <c r="B10" s="268" t="s">
        <v>2341</v>
      </c>
      <c r="C10" s="269">
        <f ca="1">ROUND(D10*E10/10000,0)</f>
        <v>998</v>
      </c>
      <c r="D10" s="1035">
        <f ca="1">IF(B1="",'数据-汇总表'!E6,IF(INDIRECT("'数据-取费表'!c"&amp;$G$1)="住宅",INDIRECT("'数据-取费表'!s"&amp;$G$1),INDIRECT("'数据-取费表'!k"&amp;$G$1)+INDIRECT("'数据-取费表'!s"&amp;$G$1)))</f>
        <v>49903.420000000013</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124616.56000000001</v>
      </c>
      <c r="E19" s="255">
        <f>'数据-取费表'!B31</f>
        <v>200</v>
      </c>
      <c r="F19" s="275"/>
      <c r="G19" s="2546" t="s">
        <v>3139</v>
      </c>
    </row>
    <row r="20" spans="1:7" s="258" customFormat="1" ht="13.5" customHeight="1">
      <c r="A20" s="299" t="s">
        <v>2354</v>
      </c>
      <c r="B20" s="254" t="s">
        <v>2355</v>
      </c>
      <c r="C20" s="276">
        <f>ROUND((C5+C19)*F20,0)</f>
        <v>1983</v>
      </c>
      <c r="D20" s="276"/>
      <c r="E20" s="276"/>
      <c r="F20" s="277">
        <f>'数据-取费表'!B37</f>
        <v>2.5000000000000001E-2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7">
        <f ca="1">ROUND(SUM(C23:C25),0)</f>
        <v>1885</v>
      </c>
      <c r="D22" s="279">
        <f ca="1">C26</f>
        <v>1E-4</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1862</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24">
      <c r="A25" s="954" t="s">
        <v>2369</v>
      </c>
      <c r="B25" s="259" t="s">
        <v>2370</v>
      </c>
      <c r="C25" s="1358">
        <f ca="1">ROUND(IF('数据-取费表'!B22&lt;=1,C20*F22*'数据-取费表'!B23/2,C20*(POWER((1+F22),'数据-取费表'!B23/2)-1)),0)</f>
        <v>23</v>
      </c>
      <c r="D25" s="282"/>
      <c r="E25" s="285"/>
      <c r="F25" s="283"/>
      <c r="G25" s="286" t="s">
        <v>2371</v>
      </c>
    </row>
    <row r="26" spans="1:7" s="258" customFormat="1">
      <c r="A26" s="954"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1355</v>
      </c>
      <c r="D27" s="279">
        <f ca="1">C29</f>
        <v>2.0000000000000001E-4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ROUND((C5+C19+C20)*F27*'数据-取费表'!B21/'数据-取费表'!B20,0)</f>
        <v>1355</v>
      </c>
      <c r="D28" s="279"/>
      <c r="E28" s="280"/>
      <c r="F28" s="290"/>
      <c r="G28" s="291"/>
    </row>
    <row r="29" spans="1:7" s="258" customFormat="1" ht="13.5" customHeight="1">
      <c r="A29" s="954"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90235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7655</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6596</v>
      </c>
      <c r="D34" s="261"/>
      <c r="E34" s="264"/>
      <c r="F34" s="301">
        <f ca="1">IF('数据-取费表'!B24=0,1,IF(B1="",'数据-取费表'!N16,INDIRECT("'数据-取费表'!n"&amp;$G$1)))</f>
        <v>0.27600000000000002</v>
      </c>
      <c r="G34" s="263" t="s">
        <v>2387</v>
      </c>
    </row>
    <row r="35" spans="1:7" ht="13.5" customHeight="1">
      <c r="A35" s="954" t="s">
        <v>796</v>
      </c>
      <c r="B35" s="259" t="s">
        <v>2388</v>
      </c>
      <c r="C35" s="264">
        <f ca="1">ROUND(C34*F35,0)</f>
        <v>198</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74</v>
      </c>
      <c r="D36" s="264"/>
      <c r="E36" s="264"/>
      <c r="F36" s="303">
        <f>'数据-取费表'!B34</f>
        <v>0.02</v>
      </c>
      <c r="G36" s="304" t="s">
        <v>2391</v>
      </c>
    </row>
    <row r="37" spans="1:7" s="302" customFormat="1" ht="13.5" customHeight="1">
      <c r="A37" s="954" t="s">
        <v>798</v>
      </c>
      <c r="B37" s="259" t="s">
        <v>2392</v>
      </c>
      <c r="C37" s="293">
        <f ca="1">ROUND(E37*D37*F34/10000,0)</f>
        <v>688</v>
      </c>
      <c r="D37" s="261">
        <f ca="1">D19</f>
        <v>124616.56000000001</v>
      </c>
      <c r="E37" s="293">
        <f>'数据-取费表'!B35</f>
        <v>200</v>
      </c>
      <c r="F37" s="303"/>
      <c r="G37" s="305" t="s">
        <v>2393</v>
      </c>
    </row>
    <row r="38" spans="1:7" ht="13.5" customHeight="1">
      <c r="A38" s="954" t="s">
        <v>799</v>
      </c>
      <c r="B38" s="259" t="s">
        <v>2394</v>
      </c>
      <c r="C38" s="264">
        <f ca="1">ROUND(C34*F38,0)</f>
        <v>99</v>
      </c>
      <c r="D38" s="264"/>
      <c r="E38" s="264"/>
      <c r="F38" s="303">
        <f>'数据-取费表'!B36</f>
        <v>1.4999999999999999E-2</v>
      </c>
      <c r="G38" s="263" t="s">
        <v>2389</v>
      </c>
    </row>
    <row r="39" spans="1:7" s="258" customFormat="1" ht="13.5" customHeight="1">
      <c r="A39" s="299" t="s">
        <v>2395</v>
      </c>
      <c r="B39" s="254" t="s">
        <v>2396</v>
      </c>
      <c r="C39" s="276">
        <f ca="1">ROUND(C33*F20,0)</f>
        <v>191</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91</v>
      </c>
      <c r="D41" s="279">
        <f ca="1">C44</f>
        <v>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89</v>
      </c>
      <c r="D42" s="282"/>
      <c r="E42" s="282"/>
      <c r="F42" s="283"/>
      <c r="G42" s="3157" t="s">
        <v>2405</v>
      </c>
    </row>
    <row r="43" spans="1:7" ht="13.5" customHeight="1">
      <c r="A43" s="954" t="s">
        <v>792</v>
      </c>
      <c r="B43" s="259" t="s">
        <v>2406</v>
      </c>
      <c r="C43" s="282">
        <f ca="1">ROUND(IF('数据-取费表'!B22&lt;=1,C39*F22*'数据-取费表'!B21/2,C39*(POWER((1+F22),'数据-取费表'!B21/2)-1)),0)</f>
        <v>2</v>
      </c>
      <c r="D43" s="282"/>
      <c r="E43" s="282"/>
      <c r="F43" s="283"/>
      <c r="G43" s="3158"/>
    </row>
    <row r="44" spans="1:7" ht="13.5" customHeight="1">
      <c r="A44" s="954" t="s">
        <v>793</v>
      </c>
      <c r="B44" s="259" t="s">
        <v>2407</v>
      </c>
      <c r="C44" s="282">
        <f ca="1">ROUND(IF('数据-取费表'!B22&lt;=1,C40*F22*'数据-取费表'!B21/2,C40*(POWER((1+F22),'数据-取费表'!B21/2)-1)),4)</f>
        <v>1E-4</v>
      </c>
      <c r="D44" s="282"/>
      <c r="E44" s="282"/>
      <c r="F44" s="283"/>
      <c r="G44" s="3159"/>
    </row>
    <row r="45" spans="1:7" s="258" customFormat="1" ht="13.5" customHeight="1">
      <c r="A45" s="299" t="s">
        <v>2408</v>
      </c>
      <c r="B45" s="288" t="s">
        <v>2374</v>
      </c>
      <c r="C45" s="289">
        <f ca="1">C46</f>
        <v>392</v>
      </c>
      <c r="D45" s="279">
        <f ca="1">C47</f>
        <v>5.0000000000000001E-4</v>
      </c>
      <c r="E45" s="280" t="s">
        <v>2400</v>
      </c>
      <c r="F45" s="290"/>
      <c r="G45" s="291" t="s">
        <v>2409</v>
      </c>
    </row>
    <row r="46" spans="1:7" s="258" customFormat="1" ht="13.5" customHeight="1">
      <c r="A46" s="954" t="s">
        <v>791</v>
      </c>
      <c r="B46" s="292" t="s">
        <v>2410</v>
      </c>
      <c r="C46" s="293">
        <f ca="1">ROUND((C33+C39)*F27,0)</f>
        <v>392</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1730">
        <f>ROUND(F30/(1+'数据-取费表'!C42),4)</f>
        <v>5.2900000000000003E-2</v>
      </c>
      <c r="D48" s="280" t="s">
        <v>2400</v>
      </c>
      <c r="E48" s="276"/>
      <c r="F48" s="281"/>
      <c r="G48" s="278" t="s">
        <v>2413</v>
      </c>
    </row>
    <row r="49" spans="1:7" ht="16.5" customHeight="1">
      <c r="A49" s="299" t="s">
        <v>2379</v>
      </c>
      <c r="B49" s="254" t="s">
        <v>2414</v>
      </c>
      <c r="C49" s="276">
        <f ca="1">ROUND((C33+C39+C41+C45)/(1-C40-D41-D45-C48),0)</f>
        <v>8894</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8894</v>
      </c>
      <c r="D51" s="276"/>
      <c r="E51" s="276"/>
      <c r="F51" s="308"/>
      <c r="G51" s="278" t="s">
        <v>2421</v>
      </c>
    </row>
    <row r="52" spans="1:7" s="252" customFormat="1" ht="16.5" thickBot="1">
      <c r="A52" s="309" t="s">
        <v>2422</v>
      </c>
      <c r="B52" s="310"/>
      <c r="C52" s="311">
        <f ca="1">C31+C51</f>
        <v>99129</v>
      </c>
      <c r="D52" s="310"/>
      <c r="E52" s="310"/>
      <c r="F52" s="310"/>
      <c r="G52" s="312"/>
    </row>
    <row r="55" spans="1:7" ht="15">
      <c r="B55" s="314" t="s">
        <v>2423</v>
      </c>
      <c r="C55" s="315"/>
    </row>
    <row r="56" spans="1:7">
      <c r="B56" s="317" t="s">
        <v>1513</v>
      </c>
      <c r="C56" s="319">
        <f ca="1">1-C57</f>
        <v>0.91</v>
      </c>
    </row>
    <row r="57" spans="1:7">
      <c r="B57" s="317" t="s">
        <v>1514</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天津市津南区北闸口镇出让国有建设用地使用权及在建建筑物房地产抵押价值预评估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4" t="str">
        <f>项目基本情况!B5</f>
        <v>天津融町房地产开发有限公司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2322</v>
      </c>
      <c r="B1" s="1939"/>
      <c r="C1" s="2549" t="s">
        <v>2424</v>
      </c>
      <c r="D1" s="242"/>
      <c r="E1" s="242"/>
      <c r="F1" s="242"/>
      <c r="G1" s="1382">
        <f>MATCH(B1,'数据-取费表'!A6:A16,0)+5</f>
        <v>10</v>
      </c>
      <c r="H1" s="1285" t="str">
        <f>IF(ISERROR(FIND("住宅",B1)),"非住宅","住宅")</f>
        <v>非住宅</v>
      </c>
    </row>
    <row r="2" spans="1:8" s="244" customFormat="1" ht="18" customHeight="1">
      <c r="A2" s="245" t="s">
        <v>2323</v>
      </c>
      <c r="B2" s="246">
        <f ca="1">ROUND(IF(D2="——",C52/10000,C52/10000-E2),0)</f>
        <v>38764</v>
      </c>
      <c r="C2" s="243" t="s">
        <v>2324</v>
      </c>
      <c r="D2" s="2543" t="s">
        <v>70</v>
      </c>
      <c r="E2" s="1443"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3111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22308352</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22308352</v>
      </c>
      <c r="D8" s="266"/>
      <c r="E8" s="264"/>
      <c r="F8" s="265"/>
      <c r="G8" s="2546"/>
    </row>
    <row r="9" spans="1:8" s="258" customFormat="1" ht="13.5" customHeight="1">
      <c r="A9" s="953" t="s">
        <v>800</v>
      </c>
      <c r="B9" s="268" t="s">
        <v>2339</v>
      </c>
      <c r="C9" s="269">
        <f ca="1">ROUND(D9*E9,0)</f>
        <v>12327668</v>
      </c>
      <c r="D9" s="1035">
        <f ca="1">IF(B1="",'数据-汇总表'!E5,IF(INDIRECT("'数据-取费表'!c"&amp;$G$1)="住宅",INDIRECT("'数据-取费表'!k"&amp;$G$1),0))</f>
        <v>74713.14</v>
      </c>
      <c r="E9" s="269">
        <f>'数据-取费表'!B27</f>
        <v>165</v>
      </c>
      <c r="F9" s="265"/>
      <c r="G9" s="270"/>
    </row>
    <row r="10" spans="1:8" s="258" customFormat="1" ht="13.5" customHeight="1">
      <c r="A10" s="953" t="s">
        <v>801</v>
      </c>
      <c r="B10" s="268" t="s">
        <v>2341</v>
      </c>
      <c r="C10" s="269">
        <f ca="1">ROUND(D10*E10,0)</f>
        <v>9980684</v>
      </c>
      <c r="D10" s="1035">
        <f ca="1">IF(B1="",'数据-汇总表'!E6,IF(INDIRECT("'数据-取费表'!c"&amp;$G$1)="住宅",INDIRECT("'数据-取费表'!s"&amp;$G$1),INDIRECT("'数据-取费表'!k"&amp;$G$1)+INDIRECT("'数据-取费表'!s"&amp;$G$1)))</f>
        <v>49903.420000000013</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24923312</v>
      </c>
      <c r="D19" s="1039">
        <f ca="1">D9+D10</f>
        <v>124616.56000000001</v>
      </c>
      <c r="E19" s="255">
        <f>'数据-取费表'!B31</f>
        <v>200</v>
      </c>
      <c r="F19" s="275"/>
      <c r="G19" s="2546"/>
    </row>
    <row r="20" spans="1:7" s="258" customFormat="1" ht="13.5" customHeight="1">
      <c r="A20" s="299" t="s">
        <v>2435</v>
      </c>
      <c r="B20" s="254" t="s">
        <v>2436</v>
      </c>
      <c r="C20" s="276">
        <f ca="1">ROUND((C5+C19)*F20,0)</f>
        <v>1180792</v>
      </c>
      <c r="D20" s="276"/>
      <c r="E20" s="276"/>
      <c r="F20" s="277">
        <f>'数据-取费表'!B37</f>
        <v>2.5000000000000001E-2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3">
        <f ca="1">ROUND(SUM(C23:C25),0)</f>
        <v>3446728</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1608198</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1796709</v>
      </c>
      <c r="D24" s="282"/>
      <c r="E24" s="282"/>
      <c r="F24" s="283"/>
      <c r="G24" s="284" t="s">
        <v>2447</v>
      </c>
    </row>
    <row r="25" spans="1:7" s="258" customFormat="1" ht="24">
      <c r="A25" s="954" t="s">
        <v>2337</v>
      </c>
      <c r="B25" s="259" t="s">
        <v>2448</v>
      </c>
      <c r="C25" s="1384">
        <f ca="1">ROUND(IF('数据-取费表'!B22&lt;=1,C20*F22*'数据-取费表'!B22/2,C20*(POWER((1+F22),'数据-取费表'!B22/2)-1)),0)</f>
        <v>41821</v>
      </c>
      <c r="D25" s="282"/>
      <c r="E25" s="285"/>
      <c r="F25" s="283"/>
      <c r="G25" s="286" t="s">
        <v>2449</v>
      </c>
    </row>
    <row r="26" spans="1:7" s="258" customFormat="1">
      <c r="A26" s="954"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2420623</v>
      </c>
      <c r="D27" s="279">
        <f ca="1">C29</f>
        <v>5.0000000000000001E-4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ROUND((C5+C19+C20)*F27,0)</f>
        <v>2420623</v>
      </c>
      <c r="D28" s="279"/>
      <c r="E28" s="280"/>
      <c r="F28" s="290"/>
      <c r="G28" s="291"/>
    </row>
    <row r="29" spans="1:7" s="258" customFormat="1" ht="13.5" customHeight="1">
      <c r="A29" s="954"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57978858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277409701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238950728</v>
      </c>
      <c r="D34" s="261"/>
      <c r="E34" s="264"/>
      <c r="F34" s="301"/>
      <c r="G34" s="263"/>
    </row>
    <row r="35" spans="1:7" ht="13.5" customHeight="1">
      <c r="A35" s="954" t="s">
        <v>796</v>
      </c>
      <c r="B35" s="259" t="s">
        <v>2388</v>
      </c>
      <c r="C35" s="264">
        <f ca="1">ROUND(C34*F35,0)</f>
        <v>7168522</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2782878</v>
      </c>
      <c r="D36" s="264"/>
      <c r="E36" s="264"/>
      <c r="F36" s="303">
        <f>'数据-取费表'!B34</f>
        <v>0.02</v>
      </c>
      <c r="G36" s="304" t="s">
        <v>2391</v>
      </c>
    </row>
    <row r="37" spans="1:7" s="302" customFormat="1" ht="13.5" customHeight="1">
      <c r="A37" s="954" t="s">
        <v>798</v>
      </c>
      <c r="B37" s="259" t="s">
        <v>2392</v>
      </c>
      <c r="C37" s="293">
        <f ca="1">ROUND(E37*D37,0)</f>
        <v>24923312</v>
      </c>
      <c r="D37" s="261">
        <f ca="1">D19</f>
        <v>124616.56000000001</v>
      </c>
      <c r="E37" s="293">
        <f>'数据-取费表'!B35</f>
        <v>200</v>
      </c>
      <c r="F37" s="303"/>
      <c r="G37" s="305"/>
    </row>
    <row r="38" spans="1:7" ht="13.5" customHeight="1">
      <c r="A38" s="954" t="s">
        <v>799</v>
      </c>
      <c r="B38" s="259" t="s">
        <v>2394</v>
      </c>
      <c r="C38" s="264">
        <f ca="1">ROUND(C34*F38,0)</f>
        <v>3584261</v>
      </c>
      <c r="D38" s="264"/>
      <c r="E38" s="264"/>
      <c r="F38" s="303">
        <f>'数据-取费表'!B36</f>
        <v>1.4999999999999999E-2</v>
      </c>
      <c r="G38" s="263" t="s">
        <v>2389</v>
      </c>
    </row>
    <row r="39" spans="1:7" s="258" customFormat="1" ht="13.5" customHeight="1">
      <c r="A39" s="299" t="s">
        <v>2395</v>
      </c>
      <c r="B39" s="254" t="s">
        <v>2396</v>
      </c>
      <c r="C39" s="276">
        <f ca="1">ROUND(C33*F20,0)</f>
        <v>6935243</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10070802</v>
      </c>
      <c r="D41" s="279">
        <f ca="1">C44</f>
        <v>4.0000000000000002E-4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9825173</v>
      </c>
      <c r="D42" s="282"/>
      <c r="E42" s="282"/>
      <c r="F42" s="283"/>
      <c r="G42" s="3157" t="s">
        <v>2452</v>
      </c>
    </row>
    <row r="43" spans="1:7" ht="13.5" customHeight="1">
      <c r="A43" s="954" t="s">
        <v>792</v>
      </c>
      <c r="B43" s="259" t="s">
        <v>2406</v>
      </c>
      <c r="C43" s="282">
        <f ca="1">ROUND(IF('数据-取费表'!B22&lt;=1,C39*F22*'数据-取费表'!B20/2,C39*(POWER((1+F22),'数据-取费表'!B20/2)-1)),0)</f>
        <v>245629</v>
      </c>
      <c r="D43" s="282"/>
      <c r="E43" s="282"/>
      <c r="F43" s="283"/>
      <c r="G43" s="3158"/>
    </row>
    <row r="44" spans="1:7" ht="13.5" customHeight="1">
      <c r="A44" s="954" t="s">
        <v>793</v>
      </c>
      <c r="B44" s="259" t="s">
        <v>2407</v>
      </c>
      <c r="C44" s="282">
        <f ca="1">ROUND(IF('数据-取费表'!B22&lt;=1,C40*F22*'数据-取费表'!B20/2,C40*(POWER((1+F22),'数据-取费表'!B20/2)-1)),4)</f>
        <v>4.0000000000000002E-4</v>
      </c>
      <c r="D44" s="282"/>
      <c r="E44" s="282"/>
      <c r="F44" s="283"/>
      <c r="G44" s="3159"/>
    </row>
    <row r="45" spans="1:7" s="258" customFormat="1" ht="13.5" customHeight="1">
      <c r="A45" s="299" t="s">
        <v>2408</v>
      </c>
      <c r="B45" s="288" t="s">
        <v>2374</v>
      </c>
      <c r="C45" s="289">
        <f ca="1">C46</f>
        <v>14217247</v>
      </c>
      <c r="D45" s="279">
        <f ca="1">C47</f>
        <v>5.0000000000000001E-4</v>
      </c>
      <c r="E45" s="280" t="s">
        <v>2400</v>
      </c>
      <c r="F45" s="290"/>
      <c r="G45" s="291" t="s">
        <v>2409</v>
      </c>
    </row>
    <row r="46" spans="1:7" s="258" customFormat="1" ht="13.5" customHeight="1">
      <c r="A46" s="954" t="s">
        <v>791</v>
      </c>
      <c r="B46" s="292" t="s">
        <v>2410</v>
      </c>
      <c r="C46" s="293">
        <f ca="1">ROUND((C33+C39)*F27,0)</f>
        <v>14217247</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5.2900000000000003E-2</v>
      </c>
      <c r="D48" s="280" t="s">
        <v>2400</v>
      </c>
      <c r="E48" s="276"/>
      <c r="F48" s="281"/>
      <c r="G48" s="278" t="s">
        <v>2413</v>
      </c>
    </row>
    <row r="49" spans="1:7" ht="16.5" customHeight="1">
      <c r="A49" s="299" t="s">
        <v>2379</v>
      </c>
      <c r="B49" s="254" t="s">
        <v>2453</v>
      </c>
      <c r="C49" s="276">
        <f ca="1">ROUND((C33+C39+C41+C45)/(1-C40-D41-D45-C48),0)</f>
        <v>329665662</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329665662</v>
      </c>
      <c r="D51" s="276"/>
      <c r="E51" s="276"/>
      <c r="F51" s="308"/>
      <c r="G51" s="278" t="s">
        <v>2421</v>
      </c>
    </row>
    <row r="52" spans="1:7" s="252" customFormat="1" ht="16.5" thickBot="1">
      <c r="A52" s="309" t="s">
        <v>2422</v>
      </c>
      <c r="B52" s="310"/>
      <c r="C52" s="311">
        <f ca="1">C31+C51</f>
        <v>387644520</v>
      </c>
      <c r="D52" s="310"/>
      <c r="E52" s="310"/>
      <c r="F52" s="310"/>
      <c r="G52" s="312"/>
    </row>
    <row r="55" spans="1:7" ht="15">
      <c r="B55" s="314" t="s">
        <v>2423</v>
      </c>
      <c r="C55" s="315"/>
    </row>
    <row r="56" spans="1:7">
      <c r="B56" s="317" t="s">
        <v>1513</v>
      </c>
      <c r="C56" s="319">
        <f ca="1">1-C57</f>
        <v>0.15000000000000002</v>
      </c>
    </row>
    <row r="57" spans="1:7">
      <c r="B57" s="317" t="s">
        <v>1514</v>
      </c>
      <c r="C57" s="318">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I60" sqref="I60"/>
    </sheetView>
  </sheetViews>
  <sheetFormatPr defaultColWidth="9"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76962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6176</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30" ht="15">
      <c r="A5" s="404"/>
      <c r="B5" s="405"/>
      <c r="C5" s="3194" t="s">
        <v>2535</v>
      </c>
      <c r="D5" s="3195"/>
      <c r="E5" s="3201" t="str">
        <f>Sheet1!A2</f>
        <v>海河教育园区文慧北路与雅观路交口东北侧</v>
      </c>
      <c r="F5" s="3202"/>
      <c r="G5" s="3194" t="str">
        <f>Sheet1!A3</f>
        <v>海河教育园区津沽公路与雅泽路交口东北侧</v>
      </c>
      <c r="H5" s="3195"/>
      <c r="I5" s="3194" t="str">
        <f>Sheet1!A11</f>
        <v>天津市津南区咸水沽镇</v>
      </c>
      <c r="J5" s="3195"/>
      <c r="K5" s="610"/>
      <c r="L5" s="1133"/>
      <c r="M5" s="1134"/>
      <c r="N5" s="1134"/>
      <c r="O5" s="1134"/>
      <c r="P5" s="3182"/>
      <c r="Q5" s="3183"/>
      <c r="R5" s="3188"/>
      <c r="S5" s="3189"/>
      <c r="T5" s="3188"/>
      <c r="U5" s="3189"/>
      <c r="V5" s="3173"/>
      <c r="W5" s="3173"/>
      <c r="X5" s="1815"/>
      <c r="Y5" s="3188"/>
      <c r="Z5" s="3189"/>
      <c r="AA5" s="3175"/>
      <c r="AB5" s="3175"/>
      <c r="AC5" s="3175"/>
    </row>
    <row r="6" spans="1:30"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30" s="117" customFormat="1" ht="15.75" thickBot="1">
      <c r="A7" s="408" t="s">
        <v>2541</v>
      </c>
      <c r="B7" s="409"/>
      <c r="C7" s="410">
        <f>'数据-取费表'!B2</f>
        <v>43357</v>
      </c>
      <c r="D7" s="411">
        <v>100</v>
      </c>
      <c r="E7" s="412" t="str">
        <f>Sheet1!H2</f>
        <v>2018-08-29</v>
      </c>
      <c r="F7" s="413">
        <f>SUMIF(70:70,YEAR(E7)&amp;"-"&amp;INT((MONTH(E7)+2)/3),71:71)</f>
        <v>100</v>
      </c>
      <c r="G7" s="2692" t="str">
        <f>Sheet1!H3</f>
        <v>2018-08-29</v>
      </c>
      <c r="H7" s="411">
        <f>SUMIF(70:70,YEAR(G7)&amp;"-"&amp;INT((MONTH(G7)+2)/3),71:71)</f>
        <v>100</v>
      </c>
      <c r="I7" s="2692" t="str">
        <f>Sheet1!H11</f>
        <v>2016-12-02</v>
      </c>
      <c r="J7" s="411">
        <f>SUMIF(70:70,YEAR(I7)&amp;"-"&amp;INT((MONTH(I7)+2)/3),71:71)</f>
        <v>93</v>
      </c>
      <c r="K7" s="611"/>
      <c r="L7" s="1135"/>
      <c r="M7" s="1136"/>
      <c r="N7" s="1136"/>
      <c r="O7" s="1136"/>
      <c r="P7" s="3196" t="s">
        <v>2542</v>
      </c>
      <c r="Q7" s="3198"/>
      <c r="R7" s="770" t="s">
        <v>17</v>
      </c>
      <c r="S7" s="771">
        <f t="shared" ref="S7:S15" si="0">F7</f>
        <v>100</v>
      </c>
      <c r="T7" s="770" t="s">
        <v>17</v>
      </c>
      <c r="U7" s="771">
        <f t="shared" ref="U7:U15" si="1">H7</f>
        <v>100</v>
      </c>
      <c r="V7" s="770" t="s">
        <v>17</v>
      </c>
      <c r="W7" s="771">
        <f t="shared" ref="W7:W15" si="2">J7</f>
        <v>93</v>
      </c>
      <c r="X7" s="772"/>
      <c r="Y7" s="3196" t="s">
        <v>2542</v>
      </c>
      <c r="Z7" s="3197"/>
      <c r="AA7" s="773">
        <f>D7/F7</f>
        <v>1</v>
      </c>
      <c r="AB7" s="773">
        <f>D7/H7</f>
        <v>1</v>
      </c>
      <c r="AC7" s="773">
        <f>D7/J7</f>
        <v>1.075268817204301</v>
      </c>
    </row>
    <row r="8" spans="1:30" s="117" customFormat="1" ht="15.75" thickBot="1">
      <c r="A8" s="408" t="s">
        <v>2543</v>
      </c>
      <c r="B8" s="409"/>
      <c r="C8" s="414" t="s">
        <v>2544</v>
      </c>
      <c r="D8" s="411">
        <v>100</v>
      </c>
      <c r="E8" s="414" t="s">
        <v>3137</v>
      </c>
      <c r="F8" s="413">
        <f>SUMIF(73:73,E8,74:74)-SUMIF(73:73,C8,74:74)+100</f>
        <v>100</v>
      </c>
      <c r="G8" s="414" t="s">
        <v>3137</v>
      </c>
      <c r="H8" s="411">
        <f>SUMIF(73:73,G8,74:74)-SUMIF(73:73,C8,74:74)+100</f>
        <v>100</v>
      </c>
      <c r="I8" s="414" t="s">
        <v>3137</v>
      </c>
      <c r="J8" s="411">
        <f>SUMIF(73:73,I8,74:74)-SUMIF(73:73,C8,74:74)+100</f>
        <v>100</v>
      </c>
      <c r="K8" s="611"/>
      <c r="L8" s="1135"/>
      <c r="M8" s="1136"/>
      <c r="N8" s="1136"/>
      <c r="O8" s="1136"/>
      <c r="P8" s="3196" t="s">
        <v>2545</v>
      </c>
      <c r="Q8" s="3197"/>
      <c r="R8" s="770" t="s">
        <v>17</v>
      </c>
      <c r="S8" s="771">
        <f t="shared" si="0"/>
        <v>100</v>
      </c>
      <c r="T8" s="770" t="s">
        <v>17</v>
      </c>
      <c r="U8" s="771">
        <f t="shared" si="1"/>
        <v>100</v>
      </c>
      <c r="V8" s="770" t="s">
        <v>17</v>
      </c>
      <c r="W8" s="771">
        <f t="shared" si="2"/>
        <v>100</v>
      </c>
      <c r="X8" s="772"/>
      <c r="Y8" s="3196" t="s">
        <v>2545</v>
      </c>
      <c r="Z8" s="3197"/>
      <c r="AA8" s="773">
        <f t="shared" ref="AA8:AA45" si="3">D8/F8</f>
        <v>1</v>
      </c>
      <c r="AB8" s="773">
        <f t="shared" ref="AB8:AB45" si="4">D8/H8</f>
        <v>1</v>
      </c>
      <c r="AC8" s="773">
        <f t="shared" ref="AC8:AC45" si="5">D8/J8</f>
        <v>1</v>
      </c>
    </row>
    <row r="9" spans="1:30" s="117" customFormat="1">
      <c r="A9" s="415" t="s">
        <v>2546</v>
      </c>
      <c r="B9" s="71" t="s">
        <v>2547</v>
      </c>
      <c r="C9" s="2695" t="s">
        <v>3045</v>
      </c>
      <c r="D9" s="135">
        <v>100</v>
      </c>
      <c r="E9" s="2695" t="s">
        <v>3135</v>
      </c>
      <c r="F9" s="135">
        <f>SUMIF(75:75,E9,76:76)-SUMIF(75:75,C9,76:76)+100</f>
        <v>102</v>
      </c>
      <c r="G9" s="2695" t="s">
        <v>3135</v>
      </c>
      <c r="H9" s="135">
        <f>SUMIF(75:75,G9,76:76)-SUMIF(75:75,C9,76:76)+100</f>
        <v>102</v>
      </c>
      <c r="I9" s="2695" t="s">
        <v>3135</v>
      </c>
      <c r="J9" s="135">
        <f>SUMIF(75:75,I9,76:76)-SUMIF(75:75,C9,76:76)+100</f>
        <v>102</v>
      </c>
      <c r="K9" s="611"/>
      <c r="L9" s="1135"/>
      <c r="M9" s="1136"/>
      <c r="N9" s="1136"/>
      <c r="O9" s="1137"/>
      <c r="P9" s="3167" t="s">
        <v>2548</v>
      </c>
      <c r="Q9" s="1797" t="str">
        <f t="shared" ref="Q9:Q15" si="6">B9</f>
        <v>用途</v>
      </c>
      <c r="R9" s="770" t="s">
        <v>17</v>
      </c>
      <c r="S9" s="771">
        <f t="shared" si="0"/>
        <v>102</v>
      </c>
      <c r="T9" s="770" t="s">
        <v>17</v>
      </c>
      <c r="U9" s="771">
        <f t="shared" si="1"/>
        <v>102</v>
      </c>
      <c r="V9" s="770" t="s">
        <v>17</v>
      </c>
      <c r="W9" s="771">
        <f t="shared" si="2"/>
        <v>102</v>
      </c>
      <c r="X9" s="772"/>
      <c r="Y9" s="3015" t="s">
        <v>2549</v>
      </c>
      <c r="Z9" s="55" t="str">
        <f t="shared" ref="Z9:Z15" si="7">Q9</f>
        <v>用途</v>
      </c>
      <c r="AA9" s="773">
        <f t="shared" si="3"/>
        <v>0.98039215686274506</v>
      </c>
      <c r="AB9" s="773">
        <f t="shared" si="4"/>
        <v>0.98039215686274506</v>
      </c>
      <c r="AC9" s="773">
        <f t="shared" si="5"/>
        <v>0.98039215686274506</v>
      </c>
    </row>
    <row r="10" spans="1:30" s="427" customFormat="1" ht="28.5">
      <c r="A10" s="421"/>
      <c r="B10" s="422" t="s">
        <v>2550</v>
      </c>
      <c r="C10" s="432" t="str">
        <f>项目基本情况!F16</f>
        <v>住宅68.9年、地下车库48.9年</v>
      </c>
      <c r="D10" s="136">
        <v>100</v>
      </c>
      <c r="E10" s="465" t="s">
        <v>3189</v>
      </c>
      <c r="F10" s="136">
        <f>ROUND(100/'数据-取费表'!G16,0)</f>
        <v>100</v>
      </c>
      <c r="G10" s="465" t="s">
        <v>3189</v>
      </c>
      <c r="H10" s="136">
        <f>ROUND(100/'数据-取费表'!G16,0)</f>
        <v>100</v>
      </c>
      <c r="I10" s="465" t="s">
        <v>3189</v>
      </c>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30" ht="15">
      <c r="A11" s="428"/>
      <c r="B11" s="422" t="s">
        <v>2551</v>
      </c>
      <c r="C11" s="429">
        <v>1.2</v>
      </c>
      <c r="D11" s="136">
        <v>100</v>
      </c>
      <c r="E11" s="429">
        <v>1.4</v>
      </c>
      <c r="F11" s="136">
        <f>LOOKUP(E11,80:80,81:81)-LOOKUP(C11,80:80,81:81)+100</f>
        <v>100</v>
      </c>
      <c r="G11" s="430">
        <v>1.7</v>
      </c>
      <c r="H11" s="136">
        <f>LOOKUP(G11,80:80,81:81)-LOOKUP(C11,80:80,81:81)+100</f>
        <v>98</v>
      </c>
      <c r="I11" s="429">
        <v>1.5</v>
      </c>
      <c r="J11" s="136">
        <f>LOOKUP(I11,80:80,81:81)-LOOKUP(C11,80:80,81:81)+100</f>
        <v>98</v>
      </c>
      <c r="K11" s="673">
        <v>2</v>
      </c>
      <c r="L11" s="1141"/>
      <c r="M11" s="1134"/>
      <c r="N11" s="1134"/>
      <c r="O11" s="1142"/>
      <c r="P11" s="3167"/>
      <c r="Q11" s="1797" t="str">
        <f t="shared" si="6"/>
        <v>容积率</v>
      </c>
      <c r="R11" s="770" t="s">
        <v>17</v>
      </c>
      <c r="S11" s="771">
        <f t="shared" si="0"/>
        <v>100</v>
      </c>
      <c r="T11" s="770" t="s">
        <v>17</v>
      </c>
      <c r="U11" s="771">
        <f t="shared" si="1"/>
        <v>98</v>
      </c>
      <c r="V11" s="770" t="s">
        <v>17</v>
      </c>
      <c r="W11" s="771">
        <f t="shared" si="2"/>
        <v>98</v>
      </c>
      <c r="X11" s="772"/>
      <c r="Y11" s="3015"/>
      <c r="Z11" s="55" t="str">
        <f t="shared" si="7"/>
        <v>容积率</v>
      </c>
      <c r="AA11" s="773">
        <f t="shared" si="3"/>
        <v>1</v>
      </c>
      <c r="AB11" s="773">
        <f t="shared" si="4"/>
        <v>1.0204081632653061</v>
      </c>
      <c r="AC11" s="773">
        <f t="shared" si="5"/>
        <v>1.0204081632653061</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7"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28.25">
      <c r="A15" s="440" t="s">
        <v>2552</v>
      </c>
      <c r="B15" s="69" t="s">
        <v>2083</v>
      </c>
      <c r="C15" s="2599" t="str">
        <f>估价对象房地状况!C15</f>
        <v>估价对象周边有钱隆学府、宣惠园社区等住宅项目，规模一般，入住率一般，分布密集程度一般，综合评价居住社区成熟度一般。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3"/>
      <c r="M15" s="1134"/>
      <c r="N15" s="1134"/>
      <c r="O15" s="1142"/>
      <c r="P15" s="3169" t="s">
        <v>2553</v>
      </c>
      <c r="Q15" s="1812" t="str">
        <f t="shared" si="6"/>
        <v>居住社区成熟度</v>
      </c>
      <c r="R15" s="774" t="s">
        <v>17</v>
      </c>
      <c r="S15" s="775">
        <f t="shared" si="0"/>
        <v>103</v>
      </c>
      <c r="T15" s="774" t="s">
        <v>17</v>
      </c>
      <c r="U15" s="775">
        <f t="shared" si="1"/>
        <v>103</v>
      </c>
      <c r="V15" s="774" t="s">
        <v>17</v>
      </c>
      <c r="W15" s="775">
        <f t="shared" si="2"/>
        <v>103</v>
      </c>
      <c r="X15" s="1815"/>
      <c r="Y15" s="3169" t="s">
        <v>2553</v>
      </c>
      <c r="Z15" s="1816" t="str">
        <f t="shared" si="7"/>
        <v>居住社区成熟度</v>
      </c>
      <c r="AA15" s="1813">
        <f t="shared" si="3"/>
        <v>0.970873786407767</v>
      </c>
      <c r="AB15" s="1813">
        <f t="shared" si="4"/>
        <v>0.970873786407767</v>
      </c>
      <c r="AC15" s="1813">
        <f t="shared" si="5"/>
        <v>0.970873786407767</v>
      </c>
    </row>
    <row r="16" spans="1:30" ht="15">
      <c r="A16" s="428"/>
      <c r="B16" s="446"/>
      <c r="C16" s="447" t="s">
        <v>3148</v>
      </c>
      <c r="D16" s="448"/>
      <c r="E16" s="2601" t="s">
        <v>3149</v>
      </c>
      <c r="F16" s="448"/>
      <c r="G16" s="2601" t="s">
        <v>3149</v>
      </c>
      <c r="H16" s="450"/>
      <c r="I16" s="2600" t="s">
        <v>3149</v>
      </c>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15">
      <c r="A17" s="428"/>
      <c r="B17" s="451" t="s">
        <v>2646</v>
      </c>
      <c r="C17" s="2660"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70"/>
      <c r="Q17" s="1812" t="str">
        <f>B17</f>
        <v>商业繁华度</v>
      </c>
      <c r="R17" s="774" t="s">
        <v>17</v>
      </c>
      <c r="S17" s="775">
        <f>F17</f>
        <v>100</v>
      </c>
      <c r="T17" s="774" t="s">
        <v>17</v>
      </c>
      <c r="U17" s="775">
        <f>H17</f>
        <v>100</v>
      </c>
      <c r="V17" s="774" t="s">
        <v>17</v>
      </c>
      <c r="W17" s="775">
        <f>J17</f>
        <v>100</v>
      </c>
      <c r="X17" s="1815"/>
      <c r="Y17" s="3170"/>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5">
      <c r="A19" s="428"/>
      <c r="B19" s="451" t="s">
        <v>2680</v>
      </c>
      <c r="C19" s="2660"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70"/>
      <c r="Q19" s="1812" t="str">
        <f>B19</f>
        <v>办公集聚程度</v>
      </c>
      <c r="R19" s="774" t="s">
        <v>17</v>
      </c>
      <c r="S19" s="775">
        <f>F19</f>
        <v>100</v>
      </c>
      <c r="T19" s="774" t="s">
        <v>17</v>
      </c>
      <c r="U19" s="775">
        <f>H19</f>
        <v>100</v>
      </c>
      <c r="V19" s="774" t="s">
        <v>17</v>
      </c>
      <c r="W19" s="775">
        <f>J19</f>
        <v>100</v>
      </c>
      <c r="X19" s="1815"/>
      <c r="Y19" s="3170"/>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170"/>
      <c r="Q20" s="1812"/>
      <c r="R20" s="774"/>
      <c r="S20" s="775"/>
      <c r="T20" s="774"/>
      <c r="U20" s="775"/>
      <c r="V20" s="774"/>
      <c r="W20" s="775"/>
      <c r="X20" s="1815"/>
      <c r="Y20" s="3170"/>
      <c r="Z20" s="1816"/>
      <c r="AA20" s="1813">
        <v>1</v>
      </c>
      <c r="AB20" s="1813">
        <v>1</v>
      </c>
      <c r="AC20" s="1813">
        <v>1</v>
      </c>
    </row>
    <row r="21" spans="1:29" ht="114">
      <c r="A21" s="428"/>
      <c r="B21" s="451" t="s">
        <v>2702</v>
      </c>
      <c r="C21" s="2603" t="str">
        <f>估价对象房地状况!C18</f>
        <v>估价对象周边有152路、208路等公交线路，周边路网密集程度一般，停车便捷程度一般，综合评价交通便捷度一般。</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170"/>
      <c r="Q21" s="1812" t="str">
        <f>B21</f>
        <v>交通便捷度</v>
      </c>
      <c r="R21" s="774" t="s">
        <v>17</v>
      </c>
      <c r="S21" s="775">
        <f>F21</f>
        <v>102</v>
      </c>
      <c r="T21" s="774" t="s">
        <v>17</v>
      </c>
      <c r="U21" s="775">
        <f>H21</f>
        <v>102</v>
      </c>
      <c r="V21" s="774" t="s">
        <v>17</v>
      </c>
      <c r="W21" s="775">
        <f>J21</f>
        <v>102</v>
      </c>
      <c r="X21" s="1815"/>
      <c r="Y21" s="3170"/>
      <c r="Z21" s="1816" t="str">
        <f>Q21</f>
        <v>交通便捷度</v>
      </c>
      <c r="AA21" s="1813">
        <f t="shared" si="3"/>
        <v>0.98039215686274506</v>
      </c>
      <c r="AB21" s="1813">
        <f t="shared" si="4"/>
        <v>0.98039215686274506</v>
      </c>
      <c r="AC21" s="1813">
        <f t="shared" si="5"/>
        <v>0.98039215686274506</v>
      </c>
    </row>
    <row r="22" spans="1:29" ht="15">
      <c r="A22" s="428"/>
      <c r="B22" s="1387"/>
      <c r="C22" s="447" t="s">
        <v>3148</v>
      </c>
      <c r="D22" s="450"/>
      <c r="E22" s="2601" t="s">
        <v>3149</v>
      </c>
      <c r="F22" s="448"/>
      <c r="G22" s="2601" t="s">
        <v>3149</v>
      </c>
      <c r="H22" s="448"/>
      <c r="I22" s="2600" t="s">
        <v>3149</v>
      </c>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0"/>
      <c r="Q23" s="1812" t="str">
        <f t="shared" ref="Q23:Q37" si="8">B23</f>
        <v>区域土地利用方向</v>
      </c>
      <c r="R23" s="774" t="s">
        <v>17</v>
      </c>
      <c r="S23" s="775">
        <f>F23</f>
        <v>100</v>
      </c>
      <c r="T23" s="774" t="s">
        <v>17</v>
      </c>
      <c r="U23" s="775">
        <f>H23</f>
        <v>100</v>
      </c>
      <c r="V23" s="774" t="s">
        <v>17</v>
      </c>
      <c r="W23" s="775">
        <f>J23</f>
        <v>100</v>
      </c>
      <c r="X23" s="1815"/>
      <c r="Y23" s="3170"/>
      <c r="Z23" s="1816" t="str">
        <f>Q23</f>
        <v>区域土地利用方向</v>
      </c>
      <c r="AA23" s="1813">
        <f t="shared" si="3"/>
        <v>1</v>
      </c>
      <c r="AB23" s="1813">
        <f t="shared" si="4"/>
        <v>1</v>
      </c>
      <c r="AC23" s="1813">
        <f t="shared" si="5"/>
        <v>1</v>
      </c>
    </row>
    <row r="24" spans="1:29" ht="15">
      <c r="A24" s="404"/>
      <c r="B24" s="456"/>
      <c r="C24" s="616" t="s">
        <v>3149</v>
      </c>
      <c r="D24" s="448"/>
      <c r="E24" s="2601" t="s">
        <v>3149</v>
      </c>
      <c r="F24" s="448"/>
      <c r="G24" s="2600" t="s">
        <v>3149</v>
      </c>
      <c r="H24" s="448"/>
      <c r="I24" s="2600" t="s">
        <v>3149</v>
      </c>
      <c r="J24" s="448"/>
      <c r="K24" s="812"/>
      <c r="L24" s="1143"/>
      <c r="M24" s="1134"/>
      <c r="N24" s="1134"/>
      <c r="O24" s="1142"/>
      <c r="P24" s="3170"/>
      <c r="Q24" s="1812"/>
      <c r="R24" s="774"/>
      <c r="S24" s="775"/>
      <c r="T24" s="774"/>
      <c r="U24" s="775"/>
      <c r="V24" s="774"/>
      <c r="W24" s="775"/>
      <c r="X24" s="1815"/>
      <c r="Y24" s="3170"/>
      <c r="Z24" s="1816"/>
      <c r="AA24" s="1813"/>
      <c r="AB24" s="1813"/>
      <c r="AC24" s="1813"/>
    </row>
    <row r="25" spans="1:29" ht="114">
      <c r="A25" s="404"/>
      <c r="B25" s="1387" t="s">
        <v>2742</v>
      </c>
      <c r="C25" s="2660" t="str">
        <f>估价对象房地状况!C20</f>
        <v>估价对象所在区域有月牙河公园，自然状况一般；所在区域无人文设施，人文环境较差；综合评价环境状况较差。</v>
      </c>
      <c r="D25" s="450">
        <v>100</v>
      </c>
      <c r="E25" s="452"/>
      <c r="F25" s="450">
        <f>SUMIF(98:98,E26,99:99)-SUMIF(98:98,C26,99:99)+100</f>
        <v>103</v>
      </c>
      <c r="G25" s="452"/>
      <c r="H25" s="450">
        <f>SUMIF(98:98,G26,99:99)-SUMIF(98:98,C26,99:99)+100</f>
        <v>103</v>
      </c>
      <c r="I25" s="454"/>
      <c r="J25" s="450">
        <f>SUMIF(98:98,I26,99:99)-SUMIF(98:98,C26,99:99)+100</f>
        <v>103</v>
      </c>
      <c r="K25" s="673">
        <v>3</v>
      </c>
      <c r="L25" s="1143"/>
      <c r="M25" s="1134"/>
      <c r="N25" s="1134"/>
      <c r="O25" s="1142"/>
      <c r="P25" s="3170"/>
      <c r="Q25" s="1812" t="str">
        <f t="shared" si="8"/>
        <v>自然及人文环境状况</v>
      </c>
      <c r="R25" s="774" t="s">
        <v>17</v>
      </c>
      <c r="S25" s="775">
        <f>F25</f>
        <v>103</v>
      </c>
      <c r="T25" s="774" t="s">
        <v>17</v>
      </c>
      <c r="U25" s="775">
        <f>H25</f>
        <v>103</v>
      </c>
      <c r="V25" s="774" t="s">
        <v>17</v>
      </c>
      <c r="W25" s="775">
        <f>J25</f>
        <v>103</v>
      </c>
      <c r="X25" s="1815"/>
      <c r="Y25" s="3170"/>
      <c r="Z25" s="1816" t="str">
        <f>Q25</f>
        <v>自然及人文环境状况</v>
      </c>
      <c r="AA25" s="1813">
        <f t="shared" si="3"/>
        <v>0.970873786407767</v>
      </c>
      <c r="AB25" s="1813">
        <f t="shared" si="4"/>
        <v>0.970873786407767</v>
      </c>
      <c r="AC25" s="1813">
        <f t="shared" si="5"/>
        <v>0.970873786407767</v>
      </c>
    </row>
    <row r="26" spans="1:29" ht="15">
      <c r="A26" s="404"/>
      <c r="B26" s="456"/>
      <c r="C26" s="447" t="s">
        <v>3148</v>
      </c>
      <c r="D26" s="448"/>
      <c r="E26" s="2607" t="s">
        <v>3149</v>
      </c>
      <c r="F26" s="448"/>
      <c r="G26" s="2607" t="s">
        <v>3149</v>
      </c>
      <c r="H26" s="448"/>
      <c r="I26" s="447" t="s">
        <v>3149</v>
      </c>
      <c r="J26" s="448"/>
      <c r="K26" s="672"/>
      <c r="L26" s="1143"/>
      <c r="M26" s="1134"/>
      <c r="N26" s="1134"/>
      <c r="O26" s="1142"/>
      <c r="P26" s="3170"/>
      <c r="Q26" s="1812"/>
      <c r="R26" s="774"/>
      <c r="S26" s="775"/>
      <c r="T26" s="774"/>
      <c r="U26" s="775"/>
      <c r="V26" s="774"/>
      <c r="W26" s="775"/>
      <c r="X26" s="1815"/>
      <c r="Y26" s="3170"/>
      <c r="Z26" s="1816"/>
      <c r="AA26" s="1813">
        <v>1</v>
      </c>
      <c r="AB26" s="1813">
        <v>1</v>
      </c>
      <c r="AC26" s="1813">
        <v>1</v>
      </c>
    </row>
    <row r="27" spans="1:29" s="117" customFormat="1" ht="42.75">
      <c r="A27" s="649"/>
      <c r="B27" s="1387" t="s">
        <v>2647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0"/>
      <c r="Q27" s="1797" t="str">
        <f t="shared" si="8"/>
        <v>公共配套设施</v>
      </c>
      <c r="R27" s="770" t="s">
        <v>17</v>
      </c>
      <c r="S27" s="771">
        <f>F27</f>
        <v>100</v>
      </c>
      <c r="T27" s="770" t="s">
        <v>17</v>
      </c>
      <c r="U27" s="771">
        <f>H27</f>
        <v>100</v>
      </c>
      <c r="V27" s="770" t="s">
        <v>17</v>
      </c>
      <c r="W27" s="771">
        <f>J27</f>
        <v>100</v>
      </c>
      <c r="X27" s="772"/>
      <c r="Y27" s="3170"/>
      <c r="Z27" s="55" t="str">
        <f>Q27</f>
        <v>公共配套设施</v>
      </c>
      <c r="AA27" s="1813">
        <f>D27/F27</f>
        <v>1</v>
      </c>
      <c r="AB27" s="1813">
        <f>D27/H27</f>
        <v>1</v>
      </c>
      <c r="AC27" s="1813">
        <f>D27/J27</f>
        <v>1</v>
      </c>
    </row>
    <row r="28" spans="1:29" s="117" customFormat="1" ht="15">
      <c r="A28" s="649"/>
      <c r="B28" s="456"/>
      <c r="C28" s="2696" t="s">
        <v>3149</v>
      </c>
      <c r="D28" s="448"/>
      <c r="E28" s="2607" t="s">
        <v>3149</v>
      </c>
      <c r="F28" s="448"/>
      <c r="G28" s="2607" t="s">
        <v>3149</v>
      </c>
      <c r="H28" s="448"/>
      <c r="I28" s="447" t="s">
        <v>3149</v>
      </c>
      <c r="J28" s="448"/>
      <c r="K28" s="672"/>
      <c r="L28" s="1135"/>
      <c r="M28" s="1136"/>
      <c r="N28" s="1136"/>
      <c r="O28" s="1137"/>
      <c r="P28" s="3170"/>
      <c r="Q28" s="1797"/>
      <c r="R28" s="770"/>
      <c r="S28" s="771"/>
      <c r="T28" s="770"/>
      <c r="U28" s="771"/>
      <c r="V28" s="770"/>
      <c r="W28" s="771"/>
      <c r="X28" s="772"/>
      <c r="Y28" s="3170"/>
      <c r="Z28" s="55"/>
      <c r="AA28" s="1813">
        <v>1</v>
      </c>
      <c r="AB28" s="1813">
        <v>1</v>
      </c>
      <c r="AC28" s="1813">
        <v>1</v>
      </c>
    </row>
    <row r="29" spans="1:29" s="117" customFormat="1" ht="42.75">
      <c r="A29" s="649"/>
      <c r="B29" s="1387" t="s">
        <v>2648</v>
      </c>
      <c r="C29" s="2603"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0"/>
      <c r="Q29" s="1797"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3">
        <f>D29/F29</f>
        <v>1</v>
      </c>
      <c r="AB29" s="1813">
        <f>D29/H29</f>
        <v>1</v>
      </c>
      <c r="AC29" s="1813">
        <f>D29/J29</f>
        <v>1</v>
      </c>
    </row>
    <row r="30" spans="1:29" s="117" customFormat="1" ht="15">
      <c r="A30" s="649"/>
      <c r="B30" s="456"/>
      <c r="C30" s="2696" t="s">
        <v>3190</v>
      </c>
      <c r="D30" s="448"/>
      <c r="E30" s="2697" t="s">
        <v>3190</v>
      </c>
      <c r="F30" s="448"/>
      <c r="G30" s="2697" t="s">
        <v>3190</v>
      </c>
      <c r="H30" s="448"/>
      <c r="I30" s="2697" t="s">
        <v>3190</v>
      </c>
      <c r="J30" s="448"/>
      <c r="K30" s="672"/>
      <c r="L30" s="1135"/>
      <c r="M30" s="1136"/>
      <c r="N30" s="1136"/>
      <c r="O30" s="1137"/>
      <c r="P30" s="3170"/>
      <c r="Q30" s="1797"/>
      <c r="R30" s="770"/>
      <c r="S30" s="771"/>
      <c r="T30" s="770"/>
      <c r="U30" s="771"/>
      <c r="V30" s="770"/>
      <c r="W30" s="771"/>
      <c r="X30" s="772"/>
      <c r="Y30" s="3170"/>
      <c r="Z30" s="55"/>
      <c r="AA30" s="1813">
        <v>1</v>
      </c>
      <c r="AB30" s="1813">
        <v>1</v>
      </c>
      <c r="AC30" s="1813">
        <v>1</v>
      </c>
    </row>
    <row r="31" spans="1:29" ht="15">
      <c r="A31" s="428"/>
      <c r="B31" s="456" t="s">
        <v>2649</v>
      </c>
      <c r="C31" s="616" t="s">
        <v>3188</v>
      </c>
      <c r="D31" s="435">
        <v>100</v>
      </c>
      <c r="E31" s="634" t="s">
        <v>3188</v>
      </c>
      <c r="F31" s="435">
        <f>SUMIF(104:104,E31,105:105)-SUMIF(104:104,C31,105:105)+100</f>
        <v>100</v>
      </c>
      <c r="G31" s="634" t="s">
        <v>3188</v>
      </c>
      <c r="H31" s="435">
        <f>SUMIF(104:104,G31,105:105)-SUMIF(104:104,C31,105:105)+100</f>
        <v>100</v>
      </c>
      <c r="I31" s="634" t="s">
        <v>3188</v>
      </c>
      <c r="J31" s="435">
        <f>SUMIF(104:104,I31,105:105)-SUMIF(104:104,C31,105:105)+100</f>
        <v>100</v>
      </c>
      <c r="K31" s="673">
        <v>2</v>
      </c>
      <c r="L31" s="1143"/>
      <c r="M31" s="1134"/>
      <c r="N31" s="1134"/>
      <c r="O31" s="1142"/>
      <c r="P31" s="317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0"/>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170"/>
      <c r="Q32" s="1812" t="str">
        <f t="shared" si="8"/>
        <v>毗邻道路的类型与等级</v>
      </c>
      <c r="R32" s="774" t="s">
        <v>17</v>
      </c>
      <c r="S32" s="775">
        <f t="shared" si="10"/>
        <v>100</v>
      </c>
      <c r="T32" s="774" t="s">
        <v>17</v>
      </c>
      <c r="U32" s="775">
        <f t="shared" si="11"/>
        <v>100</v>
      </c>
      <c r="V32" s="774" t="s">
        <v>17</v>
      </c>
      <c r="W32" s="775">
        <f t="shared" si="12"/>
        <v>100</v>
      </c>
      <c r="X32" s="1815"/>
      <c r="Y32" s="3170"/>
      <c r="Z32" s="1816" t="str">
        <f t="shared" si="13"/>
        <v>毗邻道路的类型与等级</v>
      </c>
      <c r="AA32" s="1813">
        <f t="shared" si="3"/>
        <v>1</v>
      </c>
      <c r="AB32" s="1813">
        <f t="shared" si="4"/>
        <v>1</v>
      </c>
      <c r="AC32" s="1813">
        <f t="shared" si="5"/>
        <v>1</v>
      </c>
    </row>
    <row r="33" spans="1:29" ht="15">
      <c r="A33" s="428"/>
      <c r="B33" s="456"/>
      <c r="C33" s="447" t="s">
        <v>3195</v>
      </c>
      <c r="D33" s="448"/>
      <c r="E33" s="2607" t="s">
        <v>3195</v>
      </c>
      <c r="F33" s="448"/>
      <c r="G33" s="2607" t="s">
        <v>3195</v>
      </c>
      <c r="H33" s="448"/>
      <c r="I33" s="447" t="s">
        <v>3195</v>
      </c>
      <c r="J33" s="448"/>
      <c r="K33" s="613"/>
      <c r="L33" s="1143"/>
      <c r="M33" s="1134"/>
      <c r="N33" s="1134"/>
      <c r="O33" s="1142"/>
      <c r="P33" s="3170"/>
      <c r="Q33" s="1812"/>
      <c r="R33" s="774"/>
      <c r="S33" s="775"/>
      <c r="T33" s="774"/>
      <c r="U33" s="775"/>
      <c r="V33" s="774"/>
      <c r="W33" s="775"/>
      <c r="X33" s="1815"/>
      <c r="Y33" s="3170"/>
      <c r="Z33" s="1816"/>
      <c r="AA33" s="1813">
        <v>1</v>
      </c>
      <c r="AB33" s="1813">
        <v>1</v>
      </c>
      <c r="AC33" s="1813">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0"/>
      <c r="Q34" s="1812" t="str">
        <f t="shared" si="8"/>
        <v>土地级别</v>
      </c>
      <c r="R34" s="774" t="s">
        <v>17</v>
      </c>
      <c r="S34" s="775">
        <f t="shared" si="10"/>
        <v>100</v>
      </c>
      <c r="T34" s="774" t="s">
        <v>17</v>
      </c>
      <c r="U34" s="775">
        <f t="shared" si="11"/>
        <v>100</v>
      </c>
      <c r="V34" s="774" t="s">
        <v>17</v>
      </c>
      <c r="W34" s="775">
        <f t="shared" si="12"/>
        <v>100</v>
      </c>
      <c r="X34" s="1815"/>
      <c r="Y34" s="3170"/>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0"/>
      <c r="Q35" s="1812">
        <f t="shared" si="8"/>
        <v>111</v>
      </c>
      <c r="R35" s="774" t="s">
        <v>17</v>
      </c>
      <c r="S35" s="775">
        <f t="shared" si="10"/>
        <v>100</v>
      </c>
      <c r="T35" s="774" t="s">
        <v>17</v>
      </c>
      <c r="U35" s="775">
        <f t="shared" si="11"/>
        <v>100</v>
      </c>
      <c r="V35" s="774" t="s">
        <v>17</v>
      </c>
      <c r="W35" s="775">
        <f t="shared" si="12"/>
        <v>100</v>
      </c>
      <c r="X35" s="1815"/>
      <c r="Y35" s="3170"/>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1" t="s">
        <v>2558</v>
      </c>
      <c r="Q36" s="1812">
        <f t="shared" si="8"/>
        <v>111</v>
      </c>
      <c r="R36" s="774" t="s">
        <v>17</v>
      </c>
      <c r="S36" s="775">
        <f t="shared" si="10"/>
        <v>100</v>
      </c>
      <c r="T36" s="774" t="s">
        <v>17</v>
      </c>
      <c r="U36" s="775">
        <f t="shared" si="11"/>
        <v>100</v>
      </c>
      <c r="V36" s="774" t="s">
        <v>17</v>
      </c>
      <c r="W36" s="775">
        <f t="shared" si="12"/>
        <v>100</v>
      </c>
      <c r="X36" s="1815"/>
      <c r="Y36" s="3172" t="s">
        <v>2558</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2">
        <f t="shared" si="8"/>
        <v>111</v>
      </c>
      <c r="R37" s="777" t="s">
        <v>17</v>
      </c>
      <c r="S37" s="778">
        <f t="shared" si="10"/>
        <v>100</v>
      </c>
      <c r="T37" s="777" t="s">
        <v>17</v>
      </c>
      <c r="U37" s="778">
        <f t="shared" si="11"/>
        <v>100</v>
      </c>
      <c r="V37" s="777" t="s">
        <v>17</v>
      </c>
      <c r="W37" s="778">
        <f t="shared" si="12"/>
        <v>100</v>
      </c>
      <c r="X37" s="779"/>
      <c r="Y37" s="3172"/>
      <c r="Z37" s="780">
        <f t="shared" si="13"/>
        <v>111</v>
      </c>
      <c r="AA37" s="1813">
        <f t="shared" si="3"/>
        <v>1</v>
      </c>
      <c r="AB37" s="1813">
        <f t="shared" si="4"/>
        <v>1</v>
      </c>
      <c r="AC37" s="1813">
        <f t="shared" si="5"/>
        <v>1</v>
      </c>
    </row>
    <row r="38" spans="1:29" ht="15">
      <c r="A38" s="472" t="s">
        <v>2556</v>
      </c>
      <c r="B38" s="456" t="s">
        <v>2744</v>
      </c>
      <c r="C38" s="679">
        <f>'数据-汇总表'!D3</f>
        <v>64266.3</v>
      </c>
      <c r="D38" s="467">
        <v>100</v>
      </c>
      <c r="E38" s="679">
        <f>Sheet1!D2</f>
        <v>71941.600000000006</v>
      </c>
      <c r="F38" s="467">
        <f>LOOKUP(E38,117:117,118:118)-LOOKUP(C38,117:117,118:118)+100</f>
        <v>100</v>
      </c>
      <c r="G38" s="679">
        <f>Sheet1!D3</f>
        <v>45708.5</v>
      </c>
      <c r="H38" s="467">
        <f>LOOKUP(G38,117:117,118:118)-LOOKUP(C38,117:117,118:118)+100</f>
        <v>99</v>
      </c>
      <c r="I38" s="530">
        <f>Sheet1!D11</f>
        <v>93217.9</v>
      </c>
      <c r="J38" s="467">
        <f>LOOKUP(I38,117:117,118:118)-LOOKUP(C38,117:117,118:118)+100</f>
        <v>100</v>
      </c>
      <c r="K38" s="613"/>
      <c r="L38" s="1143"/>
      <c r="M38" s="1134"/>
      <c r="N38" s="1134"/>
      <c r="O38" s="1142"/>
      <c r="P38" s="3172"/>
      <c r="Q38" s="1812" t="str">
        <f>B38</f>
        <v>宗地面积</v>
      </c>
      <c r="R38" s="774" t="s">
        <v>17</v>
      </c>
      <c r="S38" s="775">
        <f t="shared" si="10"/>
        <v>100</v>
      </c>
      <c r="T38" s="774" t="s">
        <v>17</v>
      </c>
      <c r="U38" s="775">
        <f t="shared" si="11"/>
        <v>99</v>
      </c>
      <c r="V38" s="774" t="s">
        <v>17</v>
      </c>
      <c r="W38" s="775">
        <f t="shared" si="12"/>
        <v>100</v>
      </c>
      <c r="X38" s="1815"/>
      <c r="Y38" s="3172"/>
      <c r="Z38" s="1816" t="str">
        <f t="shared" si="13"/>
        <v>宗地面积</v>
      </c>
      <c r="AA38" s="1813">
        <f t="shared" si="3"/>
        <v>1</v>
      </c>
      <c r="AB38" s="1813">
        <f t="shared" si="4"/>
        <v>1.0101010101010102</v>
      </c>
      <c r="AC38" s="1813">
        <f t="shared" si="5"/>
        <v>1</v>
      </c>
    </row>
    <row r="39" spans="1:29" ht="15">
      <c r="A39" s="472"/>
      <c r="B39" s="422" t="s">
        <v>2745</v>
      </c>
      <c r="C39" s="2609" t="s">
        <v>3198</v>
      </c>
      <c r="D39" s="435">
        <v>100</v>
      </c>
      <c r="E39" s="2609" t="s">
        <v>3200</v>
      </c>
      <c r="F39" s="435">
        <f>SUMIF(119:119,E39,120:120)-SUMIF(119:119,C39,120:120)+100</f>
        <v>97</v>
      </c>
      <c r="G39" s="2609" t="s">
        <v>3198</v>
      </c>
      <c r="H39" s="435">
        <f>SUMIF(119:119,G39,120:120)-SUMIF(119:119,C39,120:120)+100</f>
        <v>100</v>
      </c>
      <c r="I39" s="2609" t="s">
        <v>3198</v>
      </c>
      <c r="J39" s="435">
        <f>SUMIF(119:119,I39,120:120)-SUMIF(119:119,C39,120:120)+100</f>
        <v>100</v>
      </c>
      <c r="K39" s="612">
        <v>3</v>
      </c>
      <c r="L39" s="1143"/>
      <c r="M39" s="1134"/>
      <c r="N39" s="1134"/>
      <c r="O39" s="1142"/>
      <c r="P39" s="3172"/>
      <c r="Q39" s="1812" t="str">
        <f t="shared" ref="Q39:Q45" si="14">B39</f>
        <v>宗地形状</v>
      </c>
      <c r="R39" s="774" t="s">
        <v>17</v>
      </c>
      <c r="S39" s="775">
        <f t="shared" si="10"/>
        <v>97</v>
      </c>
      <c r="T39" s="774" t="s">
        <v>17</v>
      </c>
      <c r="U39" s="775">
        <f t="shared" si="11"/>
        <v>100</v>
      </c>
      <c r="V39" s="774" t="s">
        <v>17</v>
      </c>
      <c r="W39" s="775">
        <f t="shared" si="12"/>
        <v>100</v>
      </c>
      <c r="X39" s="1815"/>
      <c r="Y39" s="3172"/>
      <c r="Z39" s="1816" t="str">
        <f t="shared" si="13"/>
        <v>宗地形状</v>
      </c>
      <c r="AA39" s="1813">
        <f t="shared" si="3"/>
        <v>1.0309278350515463</v>
      </c>
      <c r="AB39" s="1813">
        <f t="shared" si="4"/>
        <v>1</v>
      </c>
      <c r="AC39" s="1813">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v>0</v>
      </c>
      <c r="L40" s="1143"/>
      <c r="M40" s="1134"/>
      <c r="N40" s="1134"/>
      <c r="O40" s="1142"/>
      <c r="P40" s="3172"/>
      <c r="Q40" s="1812" t="str">
        <f t="shared" si="14"/>
        <v>临街宽度及深度</v>
      </c>
      <c r="R40" s="774" t="s">
        <v>17</v>
      </c>
      <c r="S40" s="775">
        <f t="shared" si="10"/>
        <v>100</v>
      </c>
      <c r="T40" s="774" t="s">
        <v>17</v>
      </c>
      <c r="U40" s="775">
        <f t="shared" si="11"/>
        <v>100</v>
      </c>
      <c r="V40" s="774" t="s">
        <v>17</v>
      </c>
      <c r="W40" s="775">
        <f t="shared" si="12"/>
        <v>100</v>
      </c>
      <c r="X40" s="1815"/>
      <c r="Y40" s="3172"/>
      <c r="Z40" s="1816" t="str">
        <f t="shared" si="13"/>
        <v>临街宽度及深度</v>
      </c>
      <c r="AA40" s="1813">
        <f t="shared" si="3"/>
        <v>1</v>
      </c>
      <c r="AB40" s="1813">
        <f t="shared" si="4"/>
        <v>1</v>
      </c>
      <c r="AC40" s="1813">
        <f t="shared" si="5"/>
        <v>1</v>
      </c>
    </row>
    <row r="41" spans="1:29" s="117" customFormat="1" ht="15">
      <c r="A41" s="473"/>
      <c r="B41" s="422" t="s">
        <v>2747</v>
      </c>
      <c r="C41" s="2698" t="s">
        <v>3203</v>
      </c>
      <c r="D41" s="136">
        <v>100</v>
      </c>
      <c r="E41" s="2698" t="s">
        <v>3208</v>
      </c>
      <c r="F41" s="435">
        <f>SUMIF(123:123,E41,124:124)-SUMIF(123:123,C41,124:124)+100</f>
        <v>96</v>
      </c>
      <c r="G41" s="2698" t="s">
        <v>3208</v>
      </c>
      <c r="H41" s="435">
        <f>SUMIF(123:123,G41,124:124)-SUMIF(123:123,C41,124:124)+100</f>
        <v>96</v>
      </c>
      <c r="I41" s="2698" t="s">
        <v>3208</v>
      </c>
      <c r="J41" s="435">
        <f>SUMIF(123:123,I41,124:124)-SUMIF(123:123,C41,124:124)+100</f>
        <v>96</v>
      </c>
      <c r="K41" s="612">
        <v>1</v>
      </c>
      <c r="L41" s="1135"/>
      <c r="M41" s="1136"/>
      <c r="N41" s="1136"/>
      <c r="O41" s="1137"/>
      <c r="P41" s="3172"/>
      <c r="Q41" s="1812" t="str">
        <f t="shared" si="14"/>
        <v>宗地开发程度</v>
      </c>
      <c r="R41" s="770" t="s">
        <v>17</v>
      </c>
      <c r="S41" s="771">
        <f t="shared" si="10"/>
        <v>96</v>
      </c>
      <c r="T41" s="770" t="s">
        <v>17</v>
      </c>
      <c r="U41" s="771">
        <f t="shared" si="11"/>
        <v>96</v>
      </c>
      <c r="V41" s="770" t="s">
        <v>17</v>
      </c>
      <c r="W41" s="771">
        <f t="shared" si="12"/>
        <v>96</v>
      </c>
      <c r="X41" s="772"/>
      <c r="Y41" s="3172"/>
      <c r="Z41" s="55" t="str">
        <f t="shared" si="13"/>
        <v>宗地开发程度</v>
      </c>
      <c r="AA41" s="773">
        <f t="shared" si="3"/>
        <v>1.0416666666666667</v>
      </c>
      <c r="AB41" s="773">
        <f t="shared" si="4"/>
        <v>1.0416666666666667</v>
      </c>
      <c r="AC41" s="773">
        <f t="shared" si="5"/>
        <v>1.0416666666666667</v>
      </c>
    </row>
    <row r="42" spans="1:29" ht="15">
      <c r="A42" s="472"/>
      <c r="B42" s="422" t="s">
        <v>2748</v>
      </c>
      <c r="C42" s="2609" t="s">
        <v>3149</v>
      </c>
      <c r="D42" s="435">
        <v>100</v>
      </c>
      <c r="E42" s="2609" t="s">
        <v>3149</v>
      </c>
      <c r="F42" s="435">
        <f>SUMIF(125:125,E42,126:126)-SUMIF(125:125,C42,126:126)+100</f>
        <v>100</v>
      </c>
      <c r="G42" s="2609" t="s">
        <v>3149</v>
      </c>
      <c r="H42" s="435">
        <f>SUMIF(125:125,G42,126:126)-SUMIF(125:125,C42,126:126)+100</f>
        <v>100</v>
      </c>
      <c r="I42" s="2609" t="s">
        <v>3149</v>
      </c>
      <c r="J42" s="435">
        <f>SUMIF(125:125,I42,126:126)-SUMIF(125:125,C42,126:126)+100</f>
        <v>100</v>
      </c>
      <c r="K42" s="612"/>
      <c r="L42" s="1143"/>
      <c r="M42" s="1134"/>
      <c r="N42" s="1134"/>
      <c r="O42" s="1142"/>
      <c r="P42" s="3172" t="s">
        <v>2558</v>
      </c>
      <c r="Q42" s="1812" t="str">
        <f t="shared" si="14"/>
        <v>工程地质条件</v>
      </c>
      <c r="R42" s="774" t="s">
        <v>17</v>
      </c>
      <c r="S42" s="775">
        <f t="shared" si="10"/>
        <v>100</v>
      </c>
      <c r="T42" s="774" t="s">
        <v>17</v>
      </c>
      <c r="U42" s="775">
        <f t="shared" si="11"/>
        <v>100</v>
      </c>
      <c r="V42" s="774" t="s">
        <v>17</v>
      </c>
      <c r="W42" s="775">
        <f t="shared" si="12"/>
        <v>100</v>
      </c>
      <c r="X42" s="1815"/>
      <c r="Y42" s="3172" t="s">
        <v>2558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2">
        <f t="shared" si="14"/>
        <v>111</v>
      </c>
      <c r="R43" s="774" t="s">
        <v>17</v>
      </c>
      <c r="S43" s="775">
        <f t="shared" si="10"/>
        <v>100</v>
      </c>
      <c r="T43" s="774" t="s">
        <v>17</v>
      </c>
      <c r="U43" s="775">
        <f t="shared" si="11"/>
        <v>100</v>
      </c>
      <c r="V43" s="774" t="s">
        <v>17</v>
      </c>
      <c r="W43" s="775">
        <f t="shared" si="12"/>
        <v>100</v>
      </c>
      <c r="X43" s="1815"/>
      <c r="Y43" s="3172"/>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2">
        <f t="shared" si="14"/>
        <v>111</v>
      </c>
      <c r="R44" s="774" t="s">
        <v>17</v>
      </c>
      <c r="S44" s="775">
        <f t="shared" si="10"/>
        <v>100</v>
      </c>
      <c r="T44" s="774" t="s">
        <v>17</v>
      </c>
      <c r="U44" s="775">
        <f t="shared" si="11"/>
        <v>100</v>
      </c>
      <c r="V44" s="774" t="s">
        <v>17</v>
      </c>
      <c r="W44" s="775">
        <f t="shared" si="12"/>
        <v>100</v>
      </c>
      <c r="X44" s="1815"/>
      <c r="Y44" s="3172"/>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2">
        <f t="shared" si="14"/>
        <v>111</v>
      </c>
      <c r="R45" s="777" t="s">
        <v>17</v>
      </c>
      <c r="S45" s="778">
        <f t="shared" si="10"/>
        <v>100</v>
      </c>
      <c r="T45" s="777" t="s">
        <v>17</v>
      </c>
      <c r="U45" s="778">
        <f t="shared" si="11"/>
        <v>100</v>
      </c>
      <c r="V45" s="777" t="s">
        <v>17</v>
      </c>
      <c r="W45" s="778">
        <f t="shared" si="12"/>
        <v>100</v>
      </c>
      <c r="X45" s="779"/>
      <c r="Y45" s="3172"/>
      <c r="Z45" s="780">
        <f t="shared" si="13"/>
        <v>111</v>
      </c>
      <c r="AA45" s="1813">
        <f t="shared" si="3"/>
        <v>1</v>
      </c>
      <c r="AB45" s="1813">
        <f t="shared" si="4"/>
        <v>1</v>
      </c>
      <c r="AC45" s="1813">
        <f t="shared" si="5"/>
        <v>1</v>
      </c>
    </row>
    <row r="46" spans="1:29" ht="15">
      <c r="A46" s="479" t="s">
        <v>2713</v>
      </c>
      <c r="B46" s="2700" t="s">
        <v>2749</v>
      </c>
      <c r="C46" s="682" t="s">
        <v>1</v>
      </c>
      <c r="D46" s="481"/>
      <c r="E46" s="482">
        <f>ROUND(Sheet1!K2,0)</f>
        <v>9929</v>
      </c>
      <c r="F46" s="483"/>
      <c r="G46" s="484">
        <f>ROUND(Sheet1!K3,0)</f>
        <v>10038</v>
      </c>
      <c r="H46" s="485"/>
      <c r="I46" s="482">
        <f>ROUND(Sheet1!K11,0)</f>
        <v>11085</v>
      </c>
      <c r="J46" s="485"/>
      <c r="K46" s="783"/>
      <c r="L46" s="1146"/>
      <c r="M46" s="1147"/>
      <c r="N46" s="1134"/>
      <c r="O46" s="1147"/>
      <c r="P46" s="3167" t="str">
        <f>A46</f>
        <v>成交单价</v>
      </c>
      <c r="Q46" s="3167"/>
      <c r="R46" s="3173">
        <f>E46</f>
        <v>9929</v>
      </c>
      <c r="S46" s="3173"/>
      <c r="T46" s="3173">
        <f>G46</f>
        <v>10038</v>
      </c>
      <c r="U46" s="3173"/>
      <c r="V46" s="3173">
        <f>I46</f>
        <v>11085</v>
      </c>
      <c r="W46" s="3173"/>
      <c r="X46" s="759"/>
      <c r="Y46" s="781"/>
      <c r="Z46" s="759"/>
      <c r="AA46" s="759"/>
      <c r="AB46" s="759"/>
      <c r="AC46" s="759"/>
    </row>
    <row r="47" spans="1:29" ht="15.75" thickBot="1">
      <c r="A47" s="486" t="s">
        <v>2662</v>
      </c>
      <c r="B47" s="683"/>
      <c r="C47" s="490">
        <f>R48</f>
        <v>10301</v>
      </c>
      <c r="D47" s="489"/>
      <c r="E47" s="490">
        <f>R47</f>
        <v>9660</v>
      </c>
      <c r="F47" s="491"/>
      <c r="G47" s="488">
        <f>T47</f>
        <v>9764</v>
      </c>
      <c r="H47" s="489"/>
      <c r="I47" s="490">
        <f>V47</f>
        <v>11478</v>
      </c>
      <c r="J47" s="489"/>
      <c r="K47" s="784"/>
      <c r="L47" s="1146"/>
      <c r="M47" s="1147"/>
      <c r="N47" s="1147"/>
      <c r="O47" s="1147"/>
      <c r="P47" s="3167" t="str">
        <f>A47</f>
        <v>比较价值（元/平方米）</v>
      </c>
      <c r="Q47" s="3167"/>
      <c r="R47" s="3160">
        <f>ROUND(PRODUCT(R46,AA7:AA45),0)</f>
        <v>9660</v>
      </c>
      <c r="S47" s="3160"/>
      <c r="T47" s="3160">
        <f>ROUND(PRODUCT(T46,AB7:AB45),0)</f>
        <v>9764</v>
      </c>
      <c r="U47" s="3160"/>
      <c r="V47" s="3160">
        <f>ROUND(PRODUCT(V46,AC7:AC45),0)</f>
        <v>11478</v>
      </c>
      <c r="W47" s="3160"/>
      <c r="X47" s="759"/>
      <c r="Y47" s="759"/>
      <c r="Z47" s="759"/>
      <c r="AA47" s="759"/>
      <c r="AB47" s="759"/>
      <c r="AC47" s="759"/>
    </row>
    <row r="48" spans="1:29" ht="15.75" thickBot="1">
      <c r="A48" s="492" t="s">
        <v>2750</v>
      </c>
      <c r="B48" s="493"/>
      <c r="C48" s="494">
        <f>R48</f>
        <v>10301</v>
      </c>
      <c r="D48" s="494"/>
      <c r="E48" s="494"/>
      <c r="F48" s="494"/>
      <c r="G48" s="494"/>
      <c r="H48" s="494"/>
      <c r="I48" s="494"/>
      <c r="J48" s="494"/>
      <c r="K48" s="785"/>
      <c r="L48" s="1146"/>
      <c r="M48" s="1147"/>
      <c r="N48" s="1147"/>
      <c r="O48" s="1147"/>
      <c r="P48" s="3161" t="str">
        <f>A48</f>
        <v>估价对象XX用房的比较价值（楼面单价，元/平方米）</v>
      </c>
      <c r="Q48" s="3162"/>
      <c r="R48" s="3163">
        <f>ROUND(AVERAGE(R47:V47),0)</f>
        <v>10301</v>
      </c>
      <c r="S48" s="3163"/>
      <c r="T48" s="3163"/>
      <c r="U48" s="3163"/>
      <c r="V48" s="3163"/>
      <c r="W48" s="31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2.7846790890269091E-2</v>
      </c>
      <c r="F51" s="500" t="str">
        <f>IF(OR(E51&gt;=0.3,E51&lt;=-0.3),"超过30%","")</f>
        <v/>
      </c>
      <c r="G51" s="499">
        <f>IF(G46&lt;G47,G47/G46-1,G46/G47-1)</f>
        <v>2.8062269561655029E-2</v>
      </c>
      <c r="H51" s="500" t="str">
        <f>IF(OR(G51&gt;=0.3,G51&lt;=-0.3),"超过30%","")</f>
        <v/>
      </c>
      <c r="I51" s="499">
        <f>IF(I46&lt;I47,I47/I46-1,I46/I47-1)</f>
        <v>3.5453315290933762E-2</v>
      </c>
      <c r="J51" s="500" t="str">
        <f>IF(OR(I51&gt;=0.3,I51&lt;=-0.3),"超过30%","")</f>
        <v/>
      </c>
      <c r="K51" s="1108"/>
      <c r="L51" s="1109"/>
      <c r="M51" s="1147"/>
      <c r="N51" s="1147"/>
      <c r="O51" s="1147"/>
    </row>
    <row r="52" spans="1:15" ht="13.5" customHeight="1">
      <c r="A52" s="1147"/>
      <c r="B52" s="1147"/>
      <c r="C52" s="497" t="s">
        <v>2665</v>
      </c>
      <c r="D52" s="501"/>
      <c r="E52" s="499">
        <f>IF(E47&lt;G47,G47/E47-1,E47/G47-1)</f>
        <v>1.0766045548654235E-2</v>
      </c>
      <c r="F52" s="500" t="str">
        <f>IF(OR(E52&gt;=0.2,E52&lt;=-0.2),"超过20%","")</f>
        <v/>
      </c>
      <c r="G52" s="499">
        <f>IF(G47&lt;I47,I47/G47-1,G47/I47-1)</f>
        <v>0.17554281032363783</v>
      </c>
      <c r="H52" s="500" t="str">
        <f>IF(OR(G52&gt;=0.2,G52&lt;=-0.2),"超过20%","")</f>
        <v/>
      </c>
      <c r="I52" s="499">
        <f>IF(I47&lt;E47,E47/I47-1,I47/E47-1)</f>
        <v>0.18819875776397521</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1.0977943398126744E-2</v>
      </c>
      <c r="F53" s="500" t="str">
        <f>IF(OR(E53&gt;=0.3,E53&lt;=-0.3),"超过30%","")</f>
        <v/>
      </c>
      <c r="G53" s="499">
        <f>IF(G46&lt;I46,I46/G46-1,G46/I46-1)</f>
        <v>0.10430364614465026</v>
      </c>
      <c r="H53" s="500" t="str">
        <f>IF(OR(G53&gt;=0.3,G53&lt;=-0.3),"超过30%","")</f>
        <v/>
      </c>
      <c r="I53" s="499">
        <f>IF(I46&lt;E46,E46/I46-1,I46/E46-1)</f>
        <v>0.11642662906637113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1" t="s">
        <v>2753</v>
      </c>
      <c r="D55" s="2702" t="s">
        <v>2754</v>
      </c>
      <c r="E55" s="686" t="s">
        <v>2755</v>
      </c>
      <c r="F55" s="1110" t="s">
        <v>2756</v>
      </c>
      <c r="G55" s="3164" t="s">
        <v>2757</v>
      </c>
      <c r="H55" s="3165"/>
      <c r="I55" s="144" t="s">
        <v>2758</v>
      </c>
      <c r="J55" s="2703" t="str">
        <f>项目基本情况!F35</f>
        <v>天津市</v>
      </c>
      <c r="K55" s="2704" t="s">
        <v>2759</v>
      </c>
      <c r="L55" s="1109"/>
      <c r="M55" s="1147"/>
      <c r="N55" s="1147"/>
      <c r="O55" s="1147"/>
    </row>
    <row r="56" spans="1:15" s="692" customFormat="1">
      <c r="A56" s="688" t="s">
        <v>2760</v>
      </c>
      <c r="B56" s="689">
        <f>C48</f>
        <v>10301</v>
      </c>
      <c r="C56" s="690">
        <v>1</v>
      </c>
      <c r="D56" s="1166">
        <v>1</v>
      </c>
      <c r="E56" s="690">
        <f>'数据-汇总表'!E8+'数据-汇总表'!E9</f>
        <v>74713.14</v>
      </c>
      <c r="F56" s="1106">
        <f t="shared" ref="F56:F65" si="15">ROUND(B56*E56/10000,0)</f>
        <v>76962</v>
      </c>
      <c r="G56" s="3166"/>
      <c r="H56" s="3167"/>
      <c r="I56" s="1111">
        <v>1</v>
      </c>
      <c r="J56" s="1114">
        <v>1</v>
      </c>
      <c r="K56" s="1148"/>
      <c r="L56" s="944"/>
      <c r="M56" s="944"/>
      <c r="N56" s="944"/>
      <c r="O56" s="944"/>
    </row>
    <row r="57" spans="1:15" s="692" customFormat="1">
      <c r="A57" s="693" t="s">
        <v>2761</v>
      </c>
      <c r="B57" s="262">
        <f>ROUND($C$48*C57*D57,0)</f>
        <v>0</v>
      </c>
      <c r="C57" s="200">
        <f t="shared" ref="C57:C65" si="16">IF($C$55="北京市系数",I57,J57)</f>
        <v>0</v>
      </c>
      <c r="D57" s="1167">
        <v>0.25</v>
      </c>
      <c r="E57" s="694"/>
      <c r="F57" s="1106">
        <f t="shared" si="15"/>
        <v>0</v>
      </c>
      <c r="G57" s="3168" t="s">
        <v>2762</v>
      </c>
      <c r="H57" s="1107">
        <f>项目基本情况!B37</f>
        <v>0</v>
      </c>
      <c r="I57" s="1111">
        <f>SUMIF(修正!A45:A56,H57,修正!B45:B56)</f>
        <v>0</v>
      </c>
      <c r="J57" s="1115"/>
      <c r="K57" s="1147"/>
      <c r="L57" s="944"/>
      <c r="M57" s="944"/>
      <c r="N57" s="944"/>
      <c r="O57" s="944"/>
    </row>
    <row r="58" spans="1:15" s="692" customFormat="1">
      <c r="A58" s="693" t="s">
        <v>2763</v>
      </c>
      <c r="B58" s="262">
        <f t="shared" ref="B58:B65" si="17">ROUND($C$48*C58*D58,0)</f>
        <v>0</v>
      </c>
      <c r="C58" s="200">
        <f t="shared" si="16"/>
        <v>0</v>
      </c>
      <c r="D58" s="1167">
        <v>0.25</v>
      </c>
      <c r="E58" s="694"/>
      <c r="F58" s="1106">
        <f t="shared" si="15"/>
        <v>0</v>
      </c>
      <c r="G58" s="3168"/>
      <c r="H58" s="1107">
        <f>项目基本情况!B37</f>
        <v>0</v>
      </c>
      <c r="I58" s="1111">
        <f>SUMIF(修正!A45:A56,H58,修正!C45:C56)</f>
        <v>0</v>
      </c>
      <c r="J58" s="1115"/>
      <c r="K58" s="1148"/>
      <c r="L58" s="944"/>
      <c r="M58" s="944"/>
      <c r="N58" s="944"/>
      <c r="O58" s="944"/>
    </row>
    <row r="59" spans="1:15" s="692" customFormat="1">
      <c r="A59" s="693" t="s">
        <v>2764</v>
      </c>
      <c r="B59" s="262">
        <f t="shared" si="17"/>
        <v>0</v>
      </c>
      <c r="C59" s="200">
        <f t="shared" si="16"/>
        <v>0</v>
      </c>
      <c r="D59" s="1167">
        <v>0.25</v>
      </c>
      <c r="E59" s="694"/>
      <c r="F59" s="1106">
        <f t="shared" si="15"/>
        <v>0</v>
      </c>
      <c r="G59" s="3168"/>
      <c r="H59" s="1107">
        <f>项目基本情况!B37</f>
        <v>0</v>
      </c>
      <c r="I59" s="1111">
        <f>SUMIF(修正!A45:A56,H59,修正!D45:D56)</f>
        <v>0</v>
      </c>
      <c r="J59" s="1115"/>
      <c r="K59" s="1147"/>
      <c r="L59" s="944"/>
      <c r="M59" s="944"/>
      <c r="N59" s="944"/>
      <c r="O59" s="944"/>
    </row>
    <row r="60" spans="1:15" s="692" customFormat="1">
      <c r="A60" s="693" t="s">
        <v>2765</v>
      </c>
      <c r="B60" s="262">
        <f t="shared" si="17"/>
        <v>0</v>
      </c>
      <c r="C60" s="200">
        <f t="shared" si="16"/>
        <v>0</v>
      </c>
      <c r="D60" s="1167">
        <v>0.25</v>
      </c>
      <c r="E60" s="694"/>
      <c r="F60" s="1106">
        <f t="shared" si="15"/>
        <v>0</v>
      </c>
      <c r="G60" s="3168"/>
      <c r="H60" s="1107">
        <f>项目基本情况!B37</f>
        <v>0</v>
      </c>
      <c r="I60" s="1111">
        <f>SUMIF(修正!A45:A56,H60,修正!E45:E56)</f>
        <v>0</v>
      </c>
      <c r="J60" s="1115"/>
      <c r="K60" s="1148"/>
      <c r="L60" s="944"/>
      <c r="M60" s="944"/>
      <c r="N60" s="944"/>
      <c r="O60" s="944"/>
    </row>
    <row r="61" spans="1:15" s="692" customFormat="1">
      <c r="A61" s="693" t="s">
        <v>2766</v>
      </c>
      <c r="B61" s="262">
        <f t="shared" si="17"/>
        <v>0</v>
      </c>
      <c r="C61" s="200">
        <f t="shared" si="16"/>
        <v>0</v>
      </c>
      <c r="D61" s="1167">
        <v>0.25</v>
      </c>
      <c r="E61" s="261">
        <f>'数据-汇总表'!E11</f>
        <v>0</v>
      </c>
      <c r="F61" s="1106">
        <f t="shared" si="15"/>
        <v>0</v>
      </c>
      <c r="G61" s="2705" t="s">
        <v>2767</v>
      </c>
      <c r="H61" s="1107">
        <f>项目基本情况!C37</f>
        <v>0</v>
      </c>
      <c r="I61" s="1111">
        <f>SUMIF(修正!A45:A56,H61,修正!F45:F56)</f>
        <v>0</v>
      </c>
      <c r="J61" s="1115"/>
      <c r="K61" s="1147"/>
      <c r="L61" s="944"/>
      <c r="M61" s="944"/>
      <c r="N61" s="944"/>
      <c r="O61" s="944"/>
    </row>
    <row r="62" spans="1:15" s="692" customFormat="1">
      <c r="A62" s="693" t="s">
        <v>2768</v>
      </c>
      <c r="B62" s="262">
        <f t="shared" si="17"/>
        <v>0</v>
      </c>
      <c r="C62" s="200">
        <f t="shared" si="16"/>
        <v>0</v>
      </c>
      <c r="D62" s="1167">
        <v>0.25</v>
      </c>
      <c r="E62" s="261">
        <f>'数据-汇总表'!E12</f>
        <v>0</v>
      </c>
      <c r="F62" s="1106">
        <f t="shared" si="15"/>
        <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f t="shared" si="17"/>
        <v>0</v>
      </c>
      <c r="C63" s="200">
        <f t="shared" si="16"/>
        <v>0</v>
      </c>
      <c r="D63" s="1167">
        <v>0.25</v>
      </c>
      <c r="E63" s="261">
        <f>'数据-汇总表'!E13</f>
        <v>44560.56</v>
      </c>
      <c r="F63" s="1106">
        <f t="shared" si="15"/>
        <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f t="shared" si="17"/>
        <v>0</v>
      </c>
      <c r="C64" s="200">
        <f t="shared" si="16"/>
        <v>0</v>
      </c>
      <c r="D64" s="1167">
        <v>0.25</v>
      </c>
      <c r="E64" s="261">
        <f>'数据-汇总表'!E14</f>
        <v>0</v>
      </c>
      <c r="F64" s="1106">
        <f t="shared" si="15"/>
        <v>0</v>
      </c>
      <c r="G64" s="2705" t="s">
        <v>2762</v>
      </c>
      <c r="H64" s="1107">
        <f>项目基本情况!B37</f>
        <v>0</v>
      </c>
      <c r="I64" s="1111">
        <f>SUMIF(修正!A45:A56,H64,修正!H45:H56)</f>
        <v>0</v>
      </c>
      <c r="J64" s="1115"/>
      <c r="K64" s="1148"/>
      <c r="L64" s="944"/>
      <c r="M64" s="944"/>
      <c r="N64" s="944"/>
      <c r="O64" s="944"/>
    </row>
    <row r="65" spans="1:17" s="692" customFormat="1" ht="15" thickBot="1">
      <c r="A65" s="693" t="s">
        <v>2773</v>
      </c>
      <c r="B65" s="262">
        <f t="shared" si="17"/>
        <v>0</v>
      </c>
      <c r="C65" s="200">
        <f t="shared" si="16"/>
        <v>0</v>
      </c>
      <c r="D65" s="1167">
        <v>0.25</v>
      </c>
      <c r="E65" s="261">
        <f>'数据-汇总表'!E15</f>
        <v>0</v>
      </c>
      <c r="F65" s="1106">
        <f t="shared" si="15"/>
        <v>0</v>
      </c>
      <c r="G65" s="2706"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119273.7</v>
      </c>
      <c r="F66" s="697">
        <f>IF(B46="楼面地价",SUM(F56:F65),ROUND(C48*E66/10000,0))</f>
        <v>76962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07" t="s">
        <v>2775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8" t="s">
        <v>2776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2943" t="s">
        <v>3134</v>
      </c>
      <c r="D75" s="2943" t="s">
        <v>3136</v>
      </c>
      <c r="E75" s="530"/>
      <c r="F75" s="530"/>
      <c r="G75" s="530"/>
      <c r="H75" s="530"/>
      <c r="I75" s="530"/>
      <c r="J75" s="530"/>
      <c r="K75" s="531"/>
      <c r="L75" s="532"/>
      <c r="M75" s="533"/>
      <c r="N75" s="1155"/>
      <c r="O75" s="1155"/>
      <c r="P75" s="45"/>
      <c r="Q75" s="504"/>
    </row>
    <row r="76" spans="1:17" ht="15.75" thickBot="1">
      <c r="A76" s="534"/>
      <c r="B76" s="535"/>
      <c r="C76" s="536">
        <v>100</v>
      </c>
      <c r="D76" s="536">
        <v>102</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1.5</v>
      </c>
      <c r="F80" s="549">
        <v>2</v>
      </c>
      <c r="G80" s="549">
        <v>2.5</v>
      </c>
      <c r="H80" s="549">
        <v>3</v>
      </c>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2684</v>
      </c>
      <c r="C106" s="2957" t="s">
        <v>3191</v>
      </c>
      <c r="D106" s="2957" t="s">
        <v>3192</v>
      </c>
      <c r="E106" s="2957" t="s">
        <v>3193</v>
      </c>
      <c r="F106" s="2957" t="s">
        <v>3194</v>
      </c>
      <c r="G106" s="2957" t="s">
        <v>3196</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2556</v>
      </c>
      <c r="B116" s="528" t="s">
        <v>2784</v>
      </c>
      <c r="C116" s="529" t="str">
        <f>C117&amp;"(含)"&amp;"-"&amp;D117</f>
        <v>0(含)-20000</v>
      </c>
      <c r="D116" s="529" t="str">
        <f t="shared" ref="D116:M116" si="25">D117&amp;"(含)"&amp;"-"&amp;E117</f>
        <v>20000(含)-50000</v>
      </c>
      <c r="E116" s="529" t="str">
        <f t="shared" si="25"/>
        <v>50000(含)-100000</v>
      </c>
      <c r="F116" s="529" t="str">
        <f t="shared" si="25"/>
        <v>100000(含)-200000</v>
      </c>
      <c r="G116" s="529" t="str">
        <f t="shared" si="25"/>
        <v>200000(含)-500000</v>
      </c>
      <c r="H116" s="529" t="str">
        <f t="shared" si="25"/>
        <v>500000(含)-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50000</v>
      </c>
      <c r="F117" s="595">
        <v>100000</v>
      </c>
      <c r="G117" s="595">
        <v>200000</v>
      </c>
      <c r="H117" s="595">
        <v>500000</v>
      </c>
      <c r="I117" s="595"/>
      <c r="J117" s="595"/>
      <c r="K117" s="595"/>
      <c r="L117" s="595"/>
      <c r="M117" s="595"/>
      <c r="N117" s="1155"/>
      <c r="O117" s="1155"/>
      <c r="P117" s="45"/>
      <c r="Q117" s="504"/>
    </row>
    <row r="118" spans="1:17" ht="15.75" thickBot="1">
      <c r="A118" s="534"/>
      <c r="B118" s="543"/>
      <c r="C118" s="570">
        <v>100</v>
      </c>
      <c r="D118" s="591">
        <v>101</v>
      </c>
      <c r="E118" s="591">
        <v>102</v>
      </c>
      <c r="F118" s="591">
        <v>103</v>
      </c>
      <c r="G118" s="570">
        <v>104</v>
      </c>
      <c r="H118" s="591">
        <v>105</v>
      </c>
      <c r="I118" s="591"/>
      <c r="J118" s="591"/>
      <c r="K118" s="570"/>
      <c r="L118" s="591"/>
      <c r="M118" s="591"/>
      <c r="N118" s="1156"/>
      <c r="O118" s="1156"/>
      <c r="P118" s="45"/>
      <c r="Q118" s="504"/>
    </row>
    <row r="119" spans="1:17" ht="15" thickTop="1">
      <c r="A119" s="599"/>
      <c r="B119" s="538" t="s">
        <v>2785</v>
      </c>
      <c r="C119" s="2958" t="s">
        <v>3197</v>
      </c>
      <c r="D119" s="2958" t="s">
        <v>3199</v>
      </c>
      <c r="E119" s="2958" t="s">
        <v>3201</v>
      </c>
      <c r="F119" s="2958" t="s">
        <v>3202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2957" t="s">
        <v>3204</v>
      </c>
      <c r="D123" s="2957" t="s">
        <v>3205</v>
      </c>
      <c r="E123" s="2957" t="s">
        <v>3206</v>
      </c>
      <c r="F123" s="2957" t="s">
        <v>3207</v>
      </c>
      <c r="G123" s="2957" t="s">
        <v>3209</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2788</v>
      </c>
      <c r="C125" s="2957" t="s">
        <v>3210</v>
      </c>
      <c r="D125" s="2957" t="s">
        <v>3211</v>
      </c>
      <c r="E125" s="2958" t="s">
        <v>3212</v>
      </c>
      <c r="F125" s="2958" t="s">
        <v>3213</v>
      </c>
      <c r="G125" s="2958" t="s">
        <v>3214</v>
      </c>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 workbookViewId="0">
      <selection activeCell="C32" sqref="C32"/>
    </sheetView>
  </sheetViews>
  <sheetFormatPr defaultColWidth="6.625" defaultRowHeight="12.75"/>
  <cols>
    <col min="1" max="1" width="9.625" style="798" customWidth="1"/>
    <col min="2" max="2" width="25.625" style="955" customWidth="1"/>
    <col min="3" max="3" width="10.375" style="998" customWidth="1"/>
    <col min="4" max="4" width="9.875" style="955" customWidth="1"/>
    <col min="5" max="5" width="9.5" style="798" customWidth="1"/>
    <col min="6" max="6" width="10.125" style="955" customWidth="1"/>
    <col min="7" max="7" width="10.62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10</v>
      </c>
    </row>
    <row r="2" spans="1:33" ht="18" customHeight="1">
      <c r="A2" s="245" t="s">
        <v>2323</v>
      </c>
      <c r="B2" s="248">
        <f ca="1">C32</f>
        <v>85669</v>
      </c>
      <c r="C2" s="320" t="s">
        <v>2456</v>
      </c>
      <c r="D2" s="320"/>
      <c r="E2" s="320"/>
      <c r="F2" s="320"/>
      <c r="G2" s="320"/>
      <c r="H2" s="320"/>
      <c r="I2" s="320"/>
      <c r="J2" s="320"/>
      <c r="K2" s="320"/>
    </row>
    <row r="3" spans="1:33" ht="18" customHeight="1" thickBot="1">
      <c r="A3" s="247" t="s">
        <v>2325</v>
      </c>
      <c r="B3" s="248">
        <f ca="1">ROUND(B2*10000/IF(C1="",'数据-汇总表'!E3,INDIRECT("'数据-取费表'!K"&amp;$K$1)),0)</f>
        <v>6875</v>
      </c>
      <c r="C3" s="320" t="s">
        <v>2457</v>
      </c>
      <c r="D3" s="320"/>
      <c r="E3" s="320"/>
      <c r="F3" s="320"/>
      <c r="G3" s="320"/>
      <c r="H3" s="320"/>
      <c r="I3" s="320"/>
      <c r="J3" s="320"/>
      <c r="K3" s="320"/>
    </row>
    <row r="4" spans="1:33" s="959" customFormat="1" ht="16.5" customHeight="1">
      <c r="A4" s="956" t="s">
        <v>2458</v>
      </c>
      <c r="B4" s="957"/>
      <c r="C4" s="999">
        <f ca="1">SUM(C8:K8)</f>
        <v>127571</v>
      </c>
      <c r="D4" s="957"/>
      <c r="E4" s="957"/>
      <c r="F4" s="957"/>
      <c r="G4" s="957"/>
      <c r="H4" s="957"/>
      <c r="I4" s="957"/>
      <c r="J4" s="957"/>
      <c r="K4" s="958"/>
    </row>
    <row r="5" spans="1:33" s="963" customFormat="1" ht="15">
      <c r="A5" s="960" t="s">
        <v>2459</v>
      </c>
      <c r="B5" s="961" t="s">
        <v>2460</v>
      </c>
      <c r="C5" s="2550" t="s">
        <v>3047</v>
      </c>
      <c r="D5" s="2550" t="s">
        <v>3049</v>
      </c>
      <c r="E5" s="2550" t="s">
        <v>3045</v>
      </c>
      <c r="F5" s="2550" t="s">
        <v>48</v>
      </c>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f>'比较法-住宅'!C49</f>
        <v>14390</v>
      </c>
      <c r="D6" s="965">
        <f>C6*1.5</f>
        <v>21585</v>
      </c>
      <c r="E6" s="965">
        <f ca="1">'收益法(3)'!B3</f>
        <v>9809</v>
      </c>
      <c r="F6" s="965">
        <f ca="1">收益法!B3</f>
        <v>2850</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26351.31</v>
      </c>
      <c r="D7" s="321">
        <f>SUMIF('数据-汇总表'!$C19:$C33,假设开发法!D5,'数据-汇总表'!$E19:$E33)</f>
        <v>25060.65</v>
      </c>
      <c r="E7" s="321">
        <f>SUMIF('数据-汇总表'!$C19:$C33,假设开发法!E5,'数据-汇总表'!$E19:$E33)</f>
        <v>23301.179999999997</v>
      </c>
      <c r="F7" s="321">
        <f>SUMIF('数据-汇总表'!$C19:$C33,假设开发法!F5,'数据-汇总表'!$E19:$E33)</f>
        <v>44560.56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2464</v>
      </c>
      <c r="B8" s="177" t="s">
        <v>2465</v>
      </c>
      <c r="C8" s="1000">
        <f>ROUND(C6*C7/10000,0)</f>
        <v>37920</v>
      </c>
      <c r="D8" s="1000">
        <f t="shared" ref="D8" si="0">ROUND(D6*D7/10000,0)</f>
        <v>54093</v>
      </c>
      <c r="E8" s="1000">
        <f ca="1">'收益法(3)'!B2</f>
        <v>22857</v>
      </c>
      <c r="F8" s="1001">
        <f ca="1">收益法!B2</f>
        <v>12701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17299</v>
      </c>
      <c r="D11" s="976"/>
      <c r="E11" s="375"/>
      <c r="F11" s="977">
        <f ca="1">1-IF('数据-取费表'!B24=0,1,IF(C1="",'数据-取费表'!N16,INDIRECT("'数据-取费表'!n"&amp;$K$1)))</f>
        <v>0.72399999999999998</v>
      </c>
      <c r="G11" s="8"/>
      <c r="H11" s="971"/>
      <c r="I11" s="971"/>
      <c r="J11" s="971"/>
      <c r="K11" s="972"/>
    </row>
    <row r="12" spans="1:33" s="978" customFormat="1" ht="13.5" customHeight="1">
      <c r="A12" s="974" t="s">
        <v>1335</v>
      </c>
      <c r="B12" s="975" t="s">
        <v>2474</v>
      </c>
      <c r="C12" s="24">
        <f ca="1">ROUND(C11*F12,0)</f>
        <v>519</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204</v>
      </c>
      <c r="D13" s="1036"/>
      <c r="E13" s="375"/>
      <c r="F13" s="979">
        <f>'数据-取费表'!B34</f>
        <v>0.02</v>
      </c>
      <c r="G13" s="8" t="s">
        <v>2477</v>
      </c>
      <c r="H13" s="971"/>
      <c r="I13" s="971"/>
      <c r="J13" s="971"/>
      <c r="K13" s="972"/>
    </row>
    <row r="14" spans="1:33" s="980" customFormat="1" ht="13.5" customHeight="1">
      <c r="A14" s="974" t="s">
        <v>1337</v>
      </c>
      <c r="B14" s="975" t="s">
        <v>2478</v>
      </c>
      <c r="C14" s="24">
        <f ca="1">ROUND(D14*E14*F11/10000,0)</f>
        <v>1804</v>
      </c>
      <c r="D14" s="1036">
        <f ca="1">IF(C1="",'数据-汇总表'!E3,INDIRECT("'数据-取费表'!K"&amp;$K$1)+INDIRECT("'数据-取费表'!S"&amp;$K$1))</f>
        <v>124616.56000000001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259</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20085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124616.56000000001</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2231</v>
      </c>
      <c r="D18" s="1036"/>
      <c r="E18" s="24"/>
      <c r="F18" s="979"/>
      <c r="G18" s="2552"/>
      <c r="H18" s="1579"/>
      <c r="I18" s="2553" t="s">
        <v>2486</v>
      </c>
      <c r="J18" s="982"/>
      <c r="K18" s="983"/>
    </row>
    <row r="19" spans="1:33" s="978" customFormat="1" ht="13.5" customHeight="1">
      <c r="A19" s="974" t="s">
        <v>805</v>
      </c>
      <c r="B19" s="975" t="s">
        <v>2487</v>
      </c>
      <c r="C19" s="24">
        <f ca="1">ROUND(D19*E19/10000,0)</f>
        <v>1233</v>
      </c>
      <c r="D19" s="1036">
        <f ca="1">IF(C1="",'数据-汇总表'!E5,IF(INDIRECT("'数据-取费表'!c"&amp;$K$1)="住宅",INDIRECT("'数据-取费表'!k"&amp;$K$1),0))</f>
        <v>74713.14</v>
      </c>
      <c r="E19" s="24">
        <f>'数据-取费表'!B27</f>
        <v>165</v>
      </c>
      <c r="F19" s="979"/>
      <c r="G19" s="15"/>
      <c r="H19" s="1581"/>
      <c r="I19" s="984"/>
      <c r="J19" s="984"/>
      <c r="K19" s="985"/>
    </row>
    <row r="20" spans="1:33" s="978" customFormat="1" ht="13.5" customHeight="1">
      <c r="A20" s="974" t="s">
        <v>806</v>
      </c>
      <c r="B20" s="975" t="s">
        <v>2488</v>
      </c>
      <c r="C20" s="24">
        <f ca="1">ROUND(D20*E20/10000,0)</f>
        <v>998</v>
      </c>
      <c r="D20" s="1036">
        <f ca="1">IF(C1="",'数据-汇总表'!E6,IF(INDIRECT("'数据-取费表'!c"&amp;$K$1)="住宅",INDIRECT("'数据-取费表'!s"&amp;$K$1),INDIRECT("'数据-取费表'!k"&amp;$K$1)+INDIRECT("'数据-取费表'!s"&amp;$K$1)))</f>
        <v>49903.420000000013</v>
      </c>
      <c r="E20" s="24">
        <f>'数据-取费表'!B28</f>
        <v>200</v>
      </c>
      <c r="F20" s="979"/>
      <c r="G20" s="15"/>
      <c r="H20" s="984"/>
      <c r="I20" s="984"/>
      <c r="J20" s="984"/>
      <c r="K20" s="985"/>
    </row>
    <row r="21" spans="1:33" s="978" customFormat="1" ht="13.5" customHeight="1">
      <c r="A21" s="964" t="s">
        <v>802</v>
      </c>
      <c r="B21" s="988" t="s">
        <v>2489</v>
      </c>
      <c r="C21" s="989">
        <f ca="1">C16+C17+C18</f>
        <v>22316</v>
      </c>
      <c r="D21" s="990"/>
      <c r="E21" s="325"/>
      <c r="F21" s="325"/>
      <c r="G21" s="140" t="s">
        <v>2490</v>
      </c>
      <c r="H21" s="982"/>
      <c r="I21" s="982"/>
      <c r="J21" s="982"/>
      <c r="K21" s="983"/>
    </row>
    <row r="22" spans="1:33" s="978" customFormat="1" ht="13.5" customHeight="1">
      <c r="A22" s="964" t="s">
        <v>2462</v>
      </c>
      <c r="B22" s="988" t="s">
        <v>2491</v>
      </c>
      <c r="C22" s="989">
        <f ca="1">ROUND(C21*F22,0)</f>
        <v>558</v>
      </c>
      <c r="D22" s="325"/>
      <c r="E22" s="325"/>
      <c r="F22" s="991">
        <f>'数据-取费表'!B37</f>
        <v>2.5000000000000001E-2</v>
      </c>
      <c r="G22" s="8" t="s">
        <v>2492</v>
      </c>
      <c r="H22" s="971"/>
      <c r="I22" s="971"/>
      <c r="J22" s="971"/>
      <c r="K22" s="972"/>
    </row>
    <row r="23" spans="1:33" s="978" customFormat="1" ht="13.5" customHeight="1">
      <c r="A23" s="964" t="s">
        <v>2464</v>
      </c>
      <c r="B23" s="988" t="s">
        <v>2493</v>
      </c>
      <c r="C23" s="989">
        <f ca="1">ROUND(C4*F23*F11,0)</f>
        <v>924</v>
      </c>
      <c r="D23" s="325"/>
      <c r="E23" s="325"/>
      <c r="F23" s="991">
        <f>'数据-取费表'!B38</f>
        <v>0.01</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559</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4.8899999999999999E-2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559</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2502</v>
      </c>
      <c r="B28" s="2555" t="s">
        <v>2503</v>
      </c>
      <c r="C28" s="331">
        <f ca="1">C30</f>
        <v>1190</v>
      </c>
      <c r="D28" s="324">
        <f ca="1">C29</f>
        <v>3.4299999999999997E-2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2504</v>
      </c>
      <c r="C29" s="328">
        <f ca="1">ROUND((1+C24)*F28*'数据-取费表'!B24/'数据-取费表'!B20,4)</f>
        <v>3.4299999999999997E-2</v>
      </c>
      <c r="D29" s="328"/>
      <c r="E29" s="329"/>
      <c r="F29" s="334"/>
      <c r="G29" s="140" t="s">
        <v>2505</v>
      </c>
      <c r="H29" s="982"/>
      <c r="I29" s="982"/>
      <c r="J29" s="982"/>
      <c r="K29" s="983"/>
    </row>
    <row r="30" spans="1:33" s="335" customFormat="1" ht="13.5" customHeight="1">
      <c r="A30" s="974" t="s">
        <v>804</v>
      </c>
      <c r="B30" s="997" t="s">
        <v>2506</v>
      </c>
      <c r="C30" s="336">
        <f ca="1">ROUND((C21+C22+C23)*F28,0)</f>
        <v>1190</v>
      </c>
      <c r="D30" s="328"/>
      <c r="E30" s="329"/>
      <c r="F30" s="334"/>
      <c r="G30" s="140"/>
      <c r="H30" s="982"/>
      <c r="I30" s="982"/>
      <c r="J30" s="982"/>
      <c r="K30" s="983"/>
    </row>
    <row r="31" spans="1:33" s="978" customFormat="1" ht="13.5" customHeight="1" thickBot="1">
      <c r="A31" s="2556" t="s">
        <v>2507</v>
      </c>
      <c r="B31" s="1008" t="s">
        <v>2508</v>
      </c>
      <c r="C31" s="1009">
        <f ca="1">ROUND(C4*F31/(1+'数据-取费表'!C42),0)</f>
        <v>6743</v>
      </c>
      <c r="D31" s="1010"/>
      <c r="E31" s="1011"/>
      <c r="F31" s="1012">
        <f>'数据-取费表'!B41</f>
        <v>5.5500000000000008E-2</v>
      </c>
      <c r="G31" s="1013" t="s">
        <v>2509</v>
      </c>
      <c r="H31" s="1014"/>
      <c r="I31" s="1014"/>
      <c r="J31" s="1014"/>
      <c r="K31" s="1015"/>
    </row>
    <row r="32" spans="1:33" s="973" customFormat="1" ht="13.5" customHeight="1" thickBot="1">
      <c r="A32" s="1003" t="s">
        <v>2510</v>
      </c>
      <c r="B32" s="1004"/>
      <c r="C32" s="1005">
        <f ca="1">ROUND((C4-C21-C22-C23-C25-C28-C31)/(1+C24+D25+D28),0)</f>
        <v>85669</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48</v>
      </c>
      <c r="D1" s="1822" t="s">
        <v>3141</v>
      </c>
      <c r="E1" s="1823" t="s">
        <v>1387</v>
      </c>
      <c r="F1" s="1286">
        <f ca="1">J53</f>
        <v>47.95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12701</v>
      </c>
      <c r="C2" s="1847" t="s">
        <v>1516</v>
      </c>
      <c r="D2" s="1847"/>
      <c r="E2" s="1848"/>
      <c r="F2" s="1849"/>
      <c r="G2" s="1850"/>
      <c r="H2" s="1842"/>
      <c r="I2" s="1842"/>
      <c r="J2" s="1842"/>
      <c r="K2" s="1843"/>
      <c r="L2" s="1842"/>
      <c r="M2" s="1842"/>
    </row>
    <row r="3" spans="1:37" ht="18" customHeight="1" thickBot="1">
      <c r="A3" s="1851" t="s">
        <v>1517</v>
      </c>
      <c r="B3" s="1852">
        <f ca="1">IF(ISERROR(B2*10000/F43),0,ROUND(B2*10000/F43,0))</f>
        <v>2850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732</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732</v>
      </c>
      <c r="D6" s="164" t="s">
        <v>3027</v>
      </c>
      <c r="E6" s="347" t="s">
        <v>1405</v>
      </c>
      <c r="F6" s="348">
        <f ca="1">INDIRECT("'数据-取费表'!u"&amp;$G$1)</f>
        <v>0.5</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44560.56</v>
      </c>
      <c r="G7" s="1853"/>
      <c r="H7" s="349"/>
      <c r="I7" s="3206"/>
      <c r="J7" s="351"/>
      <c r="K7" s="352"/>
      <c r="L7" s="347" t="s">
        <v>1406</v>
      </c>
      <c r="M7" s="348">
        <f ca="1">F7</f>
        <v>44560.56</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3036</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12434</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9311</v>
      </c>
      <c r="D14" s="1802" t="s">
        <v>1418</v>
      </c>
      <c r="E14" s="1796"/>
      <c r="F14" s="364"/>
      <c r="G14" s="1853"/>
      <c r="H14" s="1204" t="s">
        <v>1035</v>
      </c>
      <c r="I14" s="347" t="s">
        <v>1419</v>
      </c>
      <c r="J14" s="24">
        <f ca="1">C29</f>
        <v>12434</v>
      </c>
      <c r="K14" s="15"/>
      <c r="L14" s="982"/>
      <c r="M14" s="983"/>
    </row>
    <row r="15" spans="1:37" s="1860" customFormat="1" ht="18" customHeight="1" thickBot="1">
      <c r="A15" s="1204" t="s">
        <v>1036</v>
      </c>
      <c r="B15" s="347" t="s">
        <v>1420</v>
      </c>
      <c r="C15" s="24">
        <f ca="1">ROUND(C14*F15,0)</f>
        <v>279</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303</v>
      </c>
      <c r="K16" s="1340" t="s">
        <v>1425</v>
      </c>
      <c r="L16" s="1341"/>
      <c r="M16" s="1297"/>
    </row>
    <row r="17" spans="1:37" s="1860" customFormat="1" ht="18" customHeight="1">
      <c r="A17" s="1204" t="s">
        <v>1390</v>
      </c>
      <c r="B17" s="347" t="s">
        <v>1426</v>
      </c>
      <c r="C17" s="24">
        <f ca="1">ROUND(F17*(F43+INDIRECT("'数据-取费表'!S"&amp;$G$1))/10000,0)</f>
        <v>931</v>
      </c>
      <c r="D17" s="347" t="s">
        <v>1427</v>
      </c>
      <c r="E17" s="347" t="s">
        <v>1428</v>
      </c>
      <c r="F17" s="26">
        <f>'数据-取费表'!B35</f>
        <v>200</v>
      </c>
      <c r="G17" s="1856"/>
      <c r="H17" s="1204" t="s">
        <v>1035</v>
      </c>
      <c r="I17" s="347" t="s">
        <v>1429</v>
      </c>
      <c r="J17" s="24">
        <f ca="1">ROUND(IF(项目基本情况!B11="自然人",J5*M17,J18+J19+J20),1)</f>
        <v>116.5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140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10661</v>
      </c>
      <c r="D19" s="140" t="s">
        <v>1436</v>
      </c>
      <c r="E19" s="1820"/>
      <c r="F19" s="26"/>
      <c r="G19" s="1853"/>
      <c r="H19" s="1204" t="s">
        <v>1036</v>
      </c>
      <c r="I19" s="347" t="s">
        <v>1437</v>
      </c>
      <c r="J19" s="24">
        <f ca="1">IF(K19="按租金收入计税",ROUND(J5*M19,2),ROUND(C29*M19*0.7,2))</f>
        <v>104.45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267</v>
      </c>
      <c r="D20" s="369" t="s">
        <v>1440</v>
      </c>
      <c r="E20" s="347" t="s">
        <v>1422</v>
      </c>
      <c r="F20" s="367">
        <f>'数据-取费表'!B37</f>
        <v>2.5000000000000001E-2</v>
      </c>
      <c r="G20" s="1856"/>
      <c r="H20" s="1204" t="s">
        <v>1389</v>
      </c>
      <c r="I20" s="164" t="s">
        <v>1441</v>
      </c>
      <c r="J20" s="25">
        <f ca="1">ROUND(M20*M21/10000,2)</f>
        <v>12</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24009.84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186.5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387</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-303</v>
      </c>
      <c r="K25" s="1348" t="s">
        <v>1464</v>
      </c>
      <c r="L25" s="1349"/>
      <c r="M25" s="1350"/>
    </row>
    <row r="26" spans="1:37">
      <c r="A26" s="1204" t="s">
        <v>1034</v>
      </c>
      <c r="B26" s="347" t="s">
        <v>1465</v>
      </c>
      <c r="C26" s="24">
        <f ca="1">ROUND((C19+C20)*F26,0)</f>
        <v>328</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12434</v>
      </c>
      <c r="D29" s="1345"/>
      <c r="E29" s="1343"/>
      <c r="F29" s="1346"/>
      <c r="G29" s="1856"/>
      <c r="H29" s="380" t="s">
        <v>1033</v>
      </c>
      <c r="I29" s="381" t="s">
        <v>1479</v>
      </c>
      <c r="J29" s="382">
        <f ca="1">ROUND(J26/(1+F40)^F41,0)</f>
        <v>0</v>
      </c>
      <c r="K29" s="383" t="s">
        <v>1480</v>
      </c>
      <c r="L29" s="384"/>
      <c r="M29" s="385">
        <f ca="1">INDIRECT("'数据-取费表'!k"&amp;$G$1)</f>
        <v>44560.56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351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138.5</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38.69</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87.84</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12</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24009.84</v>
      </c>
      <c r="G35" s="1853"/>
      <c r="H35" s="745"/>
      <c r="I35" s="1862"/>
      <c r="J35" s="1863"/>
      <c r="K35" s="1864"/>
      <c r="L35" s="1861"/>
      <c r="M35" s="1861"/>
    </row>
    <row r="36" spans="1:18" ht="18" customHeight="1">
      <c r="A36" s="1355" t="s">
        <v>1039</v>
      </c>
      <c r="B36" s="347" t="s">
        <v>1449</v>
      </c>
      <c r="C36" s="24">
        <f ca="1">ROUND(C29*F36,1)</f>
        <v>186.5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18.7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7.3</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381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12701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47.95</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2850</v>
      </c>
      <c r="D43" s="383" t="s">
        <v>1488</v>
      </c>
      <c r="E43" s="384" t="s">
        <v>1489</v>
      </c>
      <c r="F43" s="385">
        <f ca="1">INDIRECT("'数据-取费表'!k"&amp;$G$1)</f>
        <v>44560.56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-37347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50</v>
      </c>
      <c r="M47" s="1840" t="str">
        <f>IF(ISNUMBER(FIND("住宅",C1)),"住宅","非住宅")</f>
        <v>非住宅</v>
      </c>
      <c r="O47" s="1886" t="s">
        <v>1040</v>
      </c>
      <c r="P47" s="1887" t="s">
        <v>1528</v>
      </c>
      <c r="Q47" s="1888">
        <f ca="1">C40+J29</f>
        <v>12701</v>
      </c>
      <c r="R47" s="1888" t="s">
        <v>1529</v>
      </c>
    </row>
    <row r="48" spans="1:18" s="1844" customFormat="1" ht="28.5" thickBot="1">
      <c r="A48" s="1363" t="s">
        <v>1135</v>
      </c>
      <c r="B48" s="345" t="s">
        <v>1401</v>
      </c>
      <c r="C48" s="1819">
        <f ca="1">C49+C53+C55</f>
        <v>0</v>
      </c>
      <c r="D48" s="1365"/>
      <c r="E48" s="1366"/>
      <c r="F48" s="1184"/>
      <c r="G48" s="792"/>
      <c r="H48" s="793"/>
      <c r="I48" s="1889" t="s">
        <v>1530</v>
      </c>
      <c r="J48" s="1890" t="s">
        <v>3143</v>
      </c>
      <c r="K48" s="1891" t="s">
        <v>1531</v>
      </c>
      <c r="L48" s="1892">
        <f ca="1">INDIRECT("'数据-取费表'!f"&amp;$G$1)</f>
        <v>48.95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3028</v>
      </c>
      <c r="E49" s="1832" t="s">
        <v>1491</v>
      </c>
      <c r="F49" s="1284"/>
      <c r="G49" s="1893"/>
      <c r="H49" s="793"/>
      <c r="I49" s="1889" t="s">
        <v>1534</v>
      </c>
      <c r="J49" s="1894"/>
      <c r="K49" s="1891" t="s">
        <v>1535</v>
      </c>
      <c r="L49" s="1895"/>
      <c r="O49" s="1896" t="s">
        <v>1042</v>
      </c>
      <c r="P49" s="1887" t="s">
        <v>1536</v>
      </c>
      <c r="Q49" s="1888">
        <f ca="1">C29</f>
        <v>12434</v>
      </c>
      <c r="R49" s="1888" t="s">
        <v>1529</v>
      </c>
    </row>
    <row r="50" spans="1:18" s="1844" customFormat="1" ht="13.5" thickBot="1">
      <c r="A50" s="1198"/>
      <c r="B50" s="1201"/>
      <c r="C50" s="1371"/>
      <c r="D50" s="1175"/>
      <c r="E50" s="1280" t="s">
        <v>1406</v>
      </c>
      <c r="F50" s="1281">
        <f ca="1">F7</f>
        <v>44560.56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-14420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47.95</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47.95</v>
      </c>
      <c r="K53" s="3203" t="s">
        <v>1548</v>
      </c>
      <c r="L53" s="3204"/>
      <c r="O53" s="1886" t="s">
        <v>1046</v>
      </c>
      <c r="P53" s="1887" t="s">
        <v>1549</v>
      </c>
      <c r="Q53" s="1888">
        <f ca="1">Q47+Q48</f>
        <v>12701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12434</v>
      </c>
      <c r="D56" s="1916"/>
      <c r="E56" s="1917"/>
      <c r="F56" s="1909"/>
      <c r="I56" s="1918" t="s">
        <v>1554</v>
      </c>
      <c r="J56" s="1919" t="s">
        <v>3043</v>
      </c>
      <c r="K56" s="1889" t="s">
        <v>1555</v>
      </c>
      <c r="L56" s="1892" t="str">
        <f ca="1">IF(L48&lt;J51,"——",L48-J53)</f>
        <v>——</v>
      </c>
      <c r="O56" s="1886" t="s">
        <v>1040</v>
      </c>
      <c r="P56" s="1887" t="s">
        <v>1528</v>
      </c>
      <c r="Q56" s="1888">
        <f ca="1">C40+J29</f>
        <v>12701</v>
      </c>
      <c r="R56" s="1888" t="s">
        <v>1529</v>
      </c>
    </row>
    <row r="57" spans="1:18" s="1844" customFormat="1" ht="24.75" thickBot="1">
      <c r="A57" s="1920"/>
      <c r="B57" s="1172" t="s">
        <v>1478</v>
      </c>
      <c r="C57" s="282">
        <f ca="1">C29</f>
        <v>12434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1262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1056.5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1044.46</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12</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12701</v>
      </c>
      <c r="R62" s="1888" t="s">
        <v>1047</v>
      </c>
    </row>
    <row r="63" spans="1:18" s="1844" customFormat="1" ht="13.5" thickBot="1">
      <c r="A63" s="372"/>
      <c r="B63" s="1178"/>
      <c r="C63" s="29"/>
      <c r="D63" s="1188"/>
      <c r="E63" s="1172" t="s">
        <v>1499</v>
      </c>
      <c r="F63" s="348">
        <f t="shared" ca="1" si="0"/>
        <v>24009.84</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186.5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18.7</v>
      </c>
      <c r="D65" s="1186" t="s">
        <v>1454</v>
      </c>
      <c r="E65" s="1172" t="s">
        <v>1455</v>
      </c>
      <c r="F65" s="376">
        <f t="shared" ca="1" si="0"/>
        <v>1.5E-3</v>
      </c>
      <c r="I65" s="1931" t="s">
        <v>1579</v>
      </c>
      <c r="J65" s="1932">
        <v>40</v>
      </c>
      <c r="K65" s="1932">
        <v>30</v>
      </c>
      <c r="L65" s="1932">
        <v>50</v>
      </c>
      <c r="M65" s="1934">
        <v>0.02</v>
      </c>
      <c r="O65" s="1886" t="s">
        <v>1040</v>
      </c>
      <c r="P65" s="1887" t="s">
        <v>1580</v>
      </c>
      <c r="Q65" s="1888">
        <f ca="1">C40+J29</f>
        <v>12701</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-1262</v>
      </c>
      <c r="D67" s="1185" t="s">
        <v>1464</v>
      </c>
      <c r="E67" s="1190"/>
      <c r="F67" s="1191"/>
      <c r="O67" s="1896" t="s">
        <v>1042</v>
      </c>
      <c r="P67" s="1887" t="s">
        <v>1562</v>
      </c>
      <c r="Q67" s="1935">
        <f ca="1">L51</f>
        <v>-14420</v>
      </c>
      <c r="R67" s="1888" t="s">
        <v>1582</v>
      </c>
    </row>
    <row r="68" spans="1:18" s="1844" customFormat="1" ht="16.5" thickBot="1">
      <c r="A68" s="1169" t="s">
        <v>1032</v>
      </c>
      <c r="B68" s="1170" t="s">
        <v>1485</v>
      </c>
      <c r="C68" s="346">
        <f ca="1">ROUND(C67*(1-((1+F70)/(1+F68))^F69)/(F68-F70),0)</f>
        <v>-24646</v>
      </c>
      <c r="D68" s="1187" t="s">
        <v>1469</v>
      </c>
      <c r="E68" s="1172" t="s">
        <v>1470</v>
      </c>
      <c r="F68" s="357">
        <f ca="1">F40</f>
        <v>4.4999999999999998E-2</v>
      </c>
      <c r="O68" s="1896" t="s">
        <v>1043</v>
      </c>
      <c r="P68" s="1936" t="s">
        <v>1583</v>
      </c>
      <c r="Q68" s="1888">
        <f ca="1">ROUND(Q69-Q70*Q71,0)</f>
        <v>-676</v>
      </c>
      <c r="R68" s="1888" t="s">
        <v>1051</v>
      </c>
    </row>
    <row r="69" spans="1:18" s="1844" customFormat="1" ht="13.5" thickBot="1">
      <c r="A69" s="1173"/>
      <c r="B69" s="1174"/>
      <c r="C69" s="351"/>
      <c r="D69" s="1192" t="s">
        <v>1473</v>
      </c>
      <c r="E69" s="1172" t="s">
        <v>1474</v>
      </c>
      <c r="F69" s="379">
        <f ca="1">F41</f>
        <v>47.95</v>
      </c>
      <c r="O69" s="1896" t="s">
        <v>1048</v>
      </c>
      <c r="P69" s="1936" t="s">
        <v>1584</v>
      </c>
      <c r="Q69" s="1888">
        <f ca="1">C39</f>
        <v>381</v>
      </c>
      <c r="R69" s="1888" t="s">
        <v>1529</v>
      </c>
    </row>
    <row r="70" spans="1:18" s="1844" customFormat="1" ht="13.5" thickBot="1">
      <c r="A70" s="1176"/>
      <c r="B70" s="1177"/>
      <c r="C70" s="355"/>
      <c r="D70" s="1188"/>
      <c r="E70" s="1172" t="s">
        <v>1477</v>
      </c>
      <c r="F70" s="1278"/>
      <c r="O70" s="1896" t="s">
        <v>1049</v>
      </c>
      <c r="P70" s="1936" t="s">
        <v>1585</v>
      </c>
      <c r="Q70" s="1888">
        <f ca="1">C13</f>
        <v>12434</v>
      </c>
      <c r="R70" s="1888" t="s">
        <v>1529</v>
      </c>
    </row>
    <row r="71" spans="1:18" s="1844" customFormat="1" ht="13.5" thickBot="1">
      <c r="A71" s="1193" t="s">
        <v>1033</v>
      </c>
      <c r="B71" s="1194" t="s">
        <v>1487</v>
      </c>
      <c r="C71" s="382">
        <f ca="1">ROUND(C68*10000/F71,0)</f>
        <v>-5531</v>
      </c>
      <c r="D71" s="1195" t="s">
        <v>1488</v>
      </c>
      <c r="E71" s="1196" t="s">
        <v>1489</v>
      </c>
      <c r="F71" s="385">
        <f ca="1">F43</f>
        <v>44560.56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1057</v>
      </c>
      <c r="D75" s="1844"/>
      <c r="E75" s="1844"/>
      <c r="F75" s="1844"/>
      <c r="K75" s="1870"/>
      <c r="L75" s="1844"/>
      <c r="O75" s="1886" t="s">
        <v>1046</v>
      </c>
      <c r="P75" s="1887" t="s">
        <v>1549</v>
      </c>
      <c r="Q75" s="1888">
        <f ca="1">Q65+Q66</f>
        <v>12701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-1.774</v>
      </c>
    </row>
    <row r="80" spans="1:18">
      <c r="B80" s="386" t="s">
        <v>1511</v>
      </c>
      <c r="C80" s="318">
        <f ca="1">ROUND(C75/C39,3)</f>
        <v>2.774</v>
      </c>
    </row>
    <row r="81" spans="2:3">
      <c r="B81" s="314" t="s">
        <v>1512</v>
      </c>
      <c r="C81" s="282"/>
    </row>
    <row r="82" spans="2:3">
      <c r="B82" s="317" t="s">
        <v>1513</v>
      </c>
      <c r="C82" s="319">
        <f ca="1">1-C83</f>
        <v>2.1000000000000019E-2</v>
      </c>
    </row>
    <row r="83" spans="2:3">
      <c r="B83" s="317" t="s">
        <v>1514</v>
      </c>
      <c r="C83" s="318">
        <f ca="1">ROUND(C13/C40,3)</f>
        <v>0.97899999999999998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46" sqref="L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3080</v>
      </c>
      <c r="D1" s="1822" t="s">
        <v>3141</v>
      </c>
      <c r="E1" s="1823" t="s">
        <v>1387</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t="e">
        <f ca="1">C6+C10+C12</f>
        <v>#N/A</v>
      </c>
      <c r="D5" s="1824" t="s">
        <v>1402</v>
      </c>
      <c r="E5" s="1296"/>
      <c r="F5" s="1297"/>
      <c r="G5" s="1853"/>
      <c r="H5" s="344">
        <v>1</v>
      </c>
      <c r="I5" s="345" t="s">
        <v>1401</v>
      </c>
      <c r="J5" s="1295" t="e">
        <f ca="1">J6+J10+J12</f>
        <v>#N/A</v>
      </c>
      <c r="K5" s="1824" t="s">
        <v>1402</v>
      </c>
      <c r="L5" s="1296"/>
      <c r="M5" s="1297"/>
    </row>
    <row r="6" spans="1:37" ht="18" customHeight="1">
      <c r="A6" s="1294" t="s">
        <v>1035</v>
      </c>
      <c r="B6" s="3205" t="s">
        <v>1403</v>
      </c>
      <c r="C6" s="1299" t="e">
        <f ca="1">ROUND(F6*F8*F7*(1-F9)/10000,0)</f>
        <v>#N/A</v>
      </c>
      <c r="D6" s="164" t="s">
        <v>3027</v>
      </c>
      <c r="E6" s="347" t="s">
        <v>1405</v>
      </c>
      <c r="F6" s="348" t="e">
        <f ca="1">INDIRECT("'数据-取费表'!u"&amp;$G$1)</f>
        <v>#N/A</v>
      </c>
      <c r="G6" s="1853"/>
      <c r="H6" s="1294" t="s">
        <v>1035</v>
      </c>
      <c r="I6" s="3205" t="s">
        <v>1403</v>
      </c>
      <c r="J6" s="346" t="e">
        <f ca="1">ROUND(M6*M8*M7*(1-M9)/10000,0)</f>
        <v>#N/A</v>
      </c>
      <c r="K6" s="164" t="s">
        <v>3026</v>
      </c>
      <c r="L6" s="347" t="s">
        <v>1405</v>
      </c>
      <c r="M6" s="348" t="e">
        <f ca="1">INDIRECT("'数据-取费表'!z"&amp;$G$1)</f>
        <v>#N/A</v>
      </c>
    </row>
    <row r="7" spans="1:37" ht="18" customHeight="1">
      <c r="A7" s="1298"/>
      <c r="B7" s="3206"/>
      <c r="C7" s="1300"/>
      <c r="D7" s="352"/>
      <c r="E7" s="2964" t="s">
        <v>1406</v>
      </c>
      <c r="F7" s="348" t="e">
        <f ca="1">IF(INDIRECT("'数据-取费表'!ah"&amp;$G$1)="",INDIRECT("'数据-取费表'!k"&amp;$G$1),INDIRECT("'数据-取费表'!ah"&amp;$G$1))</f>
        <v>#N/A</v>
      </c>
      <c r="G7" s="1853"/>
      <c r="H7" s="349"/>
      <c r="I7" s="3206"/>
      <c r="J7" s="351"/>
      <c r="K7" s="352"/>
      <c r="L7" s="347" t="s">
        <v>1406</v>
      </c>
      <c r="M7" s="348" t="e">
        <f ca="1">F7</f>
        <v>#N/A</v>
      </c>
    </row>
    <row r="8" spans="1:37" ht="18" customHeight="1">
      <c r="A8" s="349"/>
      <c r="B8" s="3206"/>
      <c r="C8" s="351"/>
      <c r="D8" s="352"/>
      <c r="E8" s="347" t="s">
        <v>1407</v>
      </c>
      <c r="F8" s="348" t="e">
        <f ca="1">INDIRECT("'数据-取费表'!ai"&amp;$G$1)</f>
        <v>#N/A</v>
      </c>
      <c r="G8" s="1853"/>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3"/>
      <c r="H9" s="349"/>
      <c r="I9" s="3207"/>
      <c r="J9" s="351"/>
      <c r="K9" s="352"/>
      <c r="L9" s="358" t="s">
        <v>1408</v>
      </c>
      <c r="M9" s="359" t="e">
        <f ca="1">INDIRECT("'数据-取费表'!ab"&amp;$G$1)</f>
        <v>#N/A</v>
      </c>
    </row>
    <row r="10" spans="1:37" ht="18" customHeight="1">
      <c r="A10" s="1294" t="s">
        <v>1039</v>
      </c>
      <c r="B10" s="1825" t="s">
        <v>1409</v>
      </c>
      <c r="C10" s="361" t="e">
        <f ca="1">ROUND(IF(F10="押一",C6/12*F11,IF(F10="押二",C6/12*2*F11,IF(F10="押三",C6/12*3*F11,C11*F11))),0)</f>
        <v>#N/A</v>
      </c>
      <c r="D10" s="1826" t="s">
        <v>3035</v>
      </c>
      <c r="E10" s="358" t="s">
        <v>1410</v>
      </c>
      <c r="F10" s="1369" t="s">
        <v>3246</v>
      </c>
      <c r="G10" s="1853"/>
      <c r="H10" s="1294" t="s">
        <v>1039</v>
      </c>
      <c r="I10" s="1825" t="s">
        <v>1409</v>
      </c>
      <c r="J10" s="346" t="e">
        <f ca="1">ROUND(IF(M10="押一",J6/12*M11,IF(M10="押二",J6/12*2*M11,IF(M10="押三",J6/12*3*M11,J11*M11))),0)</f>
        <v>#N/A</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3"/>
      <c r="H13" s="1332">
        <v>2</v>
      </c>
      <c r="I13" s="1333" t="s">
        <v>1414</v>
      </c>
      <c r="J13" s="1293" t="e">
        <f ca="1">ROUND(J14*J15,0)</f>
        <v>#N/A</v>
      </c>
      <c r="K13" s="1340" t="s">
        <v>1415</v>
      </c>
      <c r="L13" s="1854"/>
      <c r="M13" s="1855"/>
    </row>
    <row r="14" spans="1:37" ht="18" customHeight="1">
      <c r="A14" s="1204" t="s">
        <v>1034</v>
      </c>
      <c r="B14" s="347" t="s">
        <v>1417</v>
      </c>
      <c r="C14" s="363" t="e">
        <f ca="1">INDIRECT("'数据-取费表'!m"&amp;$G$1)+INDIRECT("'数据-取费表'!t"&amp;$G$1)</f>
        <v>#N/A</v>
      </c>
      <c r="D14" s="2967" t="s">
        <v>1418</v>
      </c>
      <c r="E14" s="2966"/>
      <c r="F14" s="364"/>
      <c r="G14" s="1853"/>
      <c r="H14" s="1204" t="s">
        <v>1035</v>
      </c>
      <c r="I14" s="347" t="s">
        <v>1419</v>
      </c>
      <c r="J14" s="24" t="e">
        <f ca="1">C29</f>
        <v>#N/A</v>
      </c>
      <c r="K14" s="2963"/>
      <c r="L14" s="982"/>
      <c r="M14" s="983"/>
    </row>
    <row r="15" spans="1:37" s="1860" customFormat="1" ht="18" customHeight="1" thickBot="1">
      <c r="A15" s="1204" t="s">
        <v>1036</v>
      </c>
      <c r="B15" s="347" t="s">
        <v>1420</v>
      </c>
      <c r="C15" s="24" t="e">
        <f ca="1">ROUND(C14*F15,0)</f>
        <v>#N/A</v>
      </c>
      <c r="D15" s="365" t="s">
        <v>1421</v>
      </c>
      <c r="E15" s="365" t="s">
        <v>1422</v>
      </c>
      <c r="F15" s="366">
        <f>'数据-取费表'!B33</f>
        <v>0.03</v>
      </c>
      <c r="G15" s="1856"/>
      <c r="H15" s="1342" t="s">
        <v>1039</v>
      </c>
      <c r="I15" s="1343" t="s">
        <v>1416</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3"/>
      <c r="H16" s="1332" t="s">
        <v>1030</v>
      </c>
      <c r="I16" s="1333" t="s">
        <v>1424</v>
      </c>
      <c r="J16" s="355" t="e">
        <f ca="1">ROUND(J17+J22+J23+J24,0)</f>
        <v>#N/A</v>
      </c>
      <c r="K16" s="1340" t="s">
        <v>1425</v>
      </c>
      <c r="L16" s="2969"/>
      <c r="M16" s="1297"/>
    </row>
    <row r="17" spans="1:37" s="1860" customFormat="1" ht="18" customHeight="1">
      <c r="A17" s="1204" t="s">
        <v>1390</v>
      </c>
      <c r="B17" s="347" t="s">
        <v>1426</v>
      </c>
      <c r="C17" s="24" t="e">
        <f ca="1">ROUND(F17*(F43+INDIRECT("'数据-取费表'!S"&amp;$G$1))/10000,0)</f>
        <v>#N/A</v>
      </c>
      <c r="D17" s="347" t="s">
        <v>1427</v>
      </c>
      <c r="E17" s="347" t="s">
        <v>1428</v>
      </c>
      <c r="F17" s="26">
        <f>'数据-取费表'!B35</f>
        <v>200</v>
      </c>
      <c r="G17" s="1856"/>
      <c r="H17" s="1204" t="s">
        <v>1035</v>
      </c>
      <c r="I17" s="347" t="s">
        <v>1429</v>
      </c>
      <c r="J17" s="24" t="e">
        <f ca="1">ROUND(IF(项目基本情况!B11="自然人",J5*M17,J18+J19+J20),1)</f>
        <v>#N/A</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t="e">
        <f ca="1">ROUND(C14*F18,0)</f>
        <v>#N/A</v>
      </c>
      <c r="D18" s="347" t="s">
        <v>1421</v>
      </c>
      <c r="E18" s="347" t="s">
        <v>1422</v>
      </c>
      <c r="F18" s="367">
        <f>'数据-取费表'!B36</f>
        <v>1.4999999999999999E-2</v>
      </c>
      <c r="G18" s="1856"/>
      <c r="H18" s="1204" t="s">
        <v>1034</v>
      </c>
      <c r="I18" s="347" t="s">
        <v>1433</v>
      </c>
      <c r="J18" s="24" t="e">
        <f ca="1">ROUND(J5*M18/(1+'数据-取费表'!C42),2)</f>
        <v>#N/A</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t="e">
        <f ca="1">SUM(C14:C18)</f>
        <v>#N/A</v>
      </c>
      <c r="D19" s="140" t="s">
        <v>1436</v>
      </c>
      <c r="E19" s="2962"/>
      <c r="F19" s="26"/>
      <c r="G19" s="1853"/>
      <c r="H19" s="1204"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4" t="s">
        <v>1039</v>
      </c>
      <c r="B20" s="347" t="s">
        <v>1439</v>
      </c>
      <c r="C20" s="24" t="e">
        <f ca="1">ROUND(C19*F20,0)</f>
        <v>#N/A</v>
      </c>
      <c r="D20" s="369" t="s">
        <v>1440</v>
      </c>
      <c r="E20" s="347" t="s">
        <v>1422</v>
      </c>
      <c r="F20" s="367">
        <f>'数据-取费表'!B37</f>
        <v>2.5000000000000001E-2</v>
      </c>
      <c r="G20" s="1856"/>
      <c r="H20" s="1204" t="s">
        <v>1389</v>
      </c>
      <c r="I20" s="164" t="s">
        <v>1441</v>
      </c>
      <c r="J20" s="25" t="e">
        <f ca="1">ROUND(M20*M21/10000,2)</f>
        <v>#N/A</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t="e">
        <f ca="1">ROUND(J14*M22,1)</f>
        <v>#N/A</v>
      </c>
      <c r="K22" s="2968" t="s">
        <v>1450</v>
      </c>
      <c r="L22" s="347" t="s">
        <v>1422</v>
      </c>
      <c r="M22" s="374" t="e">
        <f ca="1">INDIRECT("'数据-取费表'!Ak"&amp;$G$1)</f>
        <v>#N/A</v>
      </c>
    </row>
    <row r="23" spans="1:37" s="1860"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t="e">
        <f ca="1">ROUND(J13*M23,1)</f>
        <v>#N/A</v>
      </c>
      <c r="K23" s="296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t="e">
        <f ca="1">ROUND(J5*M24,1)</f>
        <v>#N/A</v>
      </c>
      <c r="K24" s="1345" t="s">
        <v>1459</v>
      </c>
      <c r="L24" s="1343" t="s">
        <v>1422</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t="e">
        <f ca="1">ROUND((C19+C20+C23+C26)/(1-F21-C24-C27-C28),0)</f>
        <v>#N/A</v>
      </c>
      <c r="D29" s="1345"/>
      <c r="E29" s="1343"/>
      <c r="F29" s="1346"/>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t="e">
        <f ca="1">ROUND(C31+C36+C37+C38,0)</f>
        <v>#N/A</v>
      </c>
      <c r="D30" s="1340" t="s">
        <v>1425</v>
      </c>
      <c r="E30" s="2969"/>
      <c r="F30" s="1297"/>
      <c r="G30" s="1853"/>
      <c r="H30" s="745"/>
      <c r="I30" s="746"/>
      <c r="J30" s="747"/>
      <c r="K30" s="748"/>
      <c r="L30" s="749"/>
      <c r="M30" s="750"/>
    </row>
    <row r="31" spans="1:37" ht="18" customHeight="1">
      <c r="A31" s="1204" t="s">
        <v>1035</v>
      </c>
      <c r="B31" s="347" t="s">
        <v>1429</v>
      </c>
      <c r="C31" s="24" t="e">
        <f ca="1">ROUND(IF(项目基本情况!B11="自然人",C5*F31,C32+C33+C34),1)</f>
        <v>#N/A</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t="e">
        <f ca="1">IF(项目基本情况!B11="自然人","——",ROUND(C5*F32/(1+'数据-取费表'!C42),2))</f>
        <v>#N/A</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t="e">
        <f ca="1">IF(项目基本情况!B11="自然人","——",ROUND(F34*F35/10000,2))</f>
        <v>#N/A</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t="e">
        <f ca="1">INDIRECT("'数据-取费表'!r"&amp;$G$1)</f>
        <v>#N/A</v>
      </c>
      <c r="G35" s="1853"/>
      <c r="H35" s="745"/>
      <c r="I35" s="1862"/>
      <c r="J35" s="1863"/>
      <c r="K35" s="1864"/>
      <c r="L35" s="1861"/>
      <c r="M35" s="1861"/>
    </row>
    <row r="36" spans="1:18" ht="18" customHeight="1">
      <c r="A36" s="1355" t="s">
        <v>1039</v>
      </c>
      <c r="B36" s="347" t="s">
        <v>1449</v>
      </c>
      <c r="C36" s="24" t="e">
        <f ca="1">ROUND(C29*F36,1)</f>
        <v>#N/A</v>
      </c>
      <c r="D36" s="2968" t="s">
        <v>1482</v>
      </c>
      <c r="E36" s="347" t="s">
        <v>1422</v>
      </c>
      <c r="F36" s="374" t="e">
        <f ca="1">INDIRECT("'数据-取费表'!Ak"&amp;$G$1)</f>
        <v>#N/A</v>
      </c>
      <c r="G36" s="1853"/>
      <c r="H36" s="1861"/>
      <c r="I36" s="1862"/>
      <c r="J36" s="1863"/>
      <c r="K36" s="751"/>
      <c r="L36" s="1861"/>
      <c r="M36" s="1861"/>
    </row>
    <row r="37" spans="1:18" ht="18" customHeight="1">
      <c r="A37" s="1204" t="s">
        <v>1075</v>
      </c>
      <c r="B37" s="347" t="s">
        <v>1453</v>
      </c>
      <c r="C37" s="24" t="e">
        <f ca="1">ROUND(C13*F37,1)</f>
        <v>#N/A</v>
      </c>
      <c r="D37" s="2968" t="s">
        <v>1454</v>
      </c>
      <c r="E37" s="347" t="s">
        <v>1422</v>
      </c>
      <c r="F37" s="376" t="e">
        <f ca="1">INDIRECT("'数据-取费表'!Al"&amp;$G$1)</f>
        <v>#N/A</v>
      </c>
      <c r="G37" s="1853"/>
      <c r="H37" s="1861"/>
      <c r="I37" s="1862"/>
      <c r="J37" s="1863"/>
      <c r="K37" s="751"/>
      <c r="L37" s="1861"/>
      <c r="M37" s="1861"/>
    </row>
    <row r="38" spans="1:18" ht="18" customHeight="1" thickBot="1">
      <c r="A38" s="1342" t="s">
        <v>1392</v>
      </c>
      <c r="B38" s="1343" t="s">
        <v>1439</v>
      </c>
      <c r="C38" s="1344" t="e">
        <f ca="1">ROUND(C5*F38,1)</f>
        <v>#N/A</v>
      </c>
      <c r="D38" s="1345" t="s">
        <v>1459</v>
      </c>
      <c r="E38" s="1343" t="s">
        <v>1422</v>
      </c>
      <c r="F38" s="1339" t="e">
        <f ca="1">INDIRECT("'数据-取费表'!Am"&amp;$G$1)</f>
        <v>#N/A</v>
      </c>
      <c r="G38" s="1853"/>
      <c r="H38" s="1861"/>
      <c r="I38" s="1862"/>
      <c r="J38" s="1863"/>
      <c r="K38" s="1867"/>
      <c r="L38" s="1861"/>
      <c r="M38" s="1861"/>
    </row>
    <row r="39" spans="1:18" ht="24.6" customHeight="1" thickTop="1">
      <c r="A39" s="1332" t="s">
        <v>1031</v>
      </c>
      <c r="B39" s="1347" t="s">
        <v>1463</v>
      </c>
      <c r="C39" s="355" t="e">
        <f ca="1">C5-C30</f>
        <v>#N/A</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1477</v>
      </c>
      <c r="F42" s="357" t="e">
        <f ca="1">INDIRECT("'数据-取费表'!v"&amp;$G$1)</f>
        <v>#N/A</v>
      </c>
      <c r="G42" s="1853"/>
      <c r="H42" s="732"/>
      <c r="I42" s="1862"/>
      <c r="J42" s="186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3" t="s">
        <v>1135</v>
      </c>
      <c r="B48" s="345" t="s">
        <v>1401</v>
      </c>
      <c r="C48" s="2961" t="e">
        <f ca="1">C49+C53+C55</f>
        <v>#N/A</v>
      </c>
      <c r="D48" s="1365"/>
      <c r="E48" s="1366"/>
      <c r="F48" s="1184"/>
      <c r="G48" s="792"/>
      <c r="H48" s="793"/>
      <c r="I48" s="1889" t="s">
        <v>1530</v>
      </c>
      <c r="J48" s="1890" t="s">
        <v>3143</v>
      </c>
      <c r="K48" s="1891" t="s">
        <v>1531</v>
      </c>
      <c r="L48" s="1892" t="e">
        <f ca="1">INDIRECT("'数据-取费表'!f"&amp;$G$1)</f>
        <v>#N/A</v>
      </c>
      <c r="O48" s="1886" t="s">
        <v>1041</v>
      </c>
      <c r="P48" s="1887" t="s">
        <v>1532</v>
      </c>
      <c r="Q48" s="1888" t="e">
        <f ca="1">J60</f>
        <v>#N/A</v>
      </c>
      <c r="R48" s="1888" t="s">
        <v>1533</v>
      </c>
    </row>
    <row r="49" spans="1:18" s="1844" customFormat="1" ht="13.5" thickBot="1">
      <c r="A49" s="1197" t="s">
        <v>1136</v>
      </c>
      <c r="B49" s="1831" t="s">
        <v>1490</v>
      </c>
      <c r="C49" s="1367" t="e">
        <f ca="1">ROUND(F49*F51*F50*(1-F52)/10000,0)</f>
        <v>#N/A</v>
      </c>
      <c r="D49" s="1279" t="s">
        <v>3026</v>
      </c>
      <c r="E49" s="1832" t="s">
        <v>1491</v>
      </c>
      <c r="F49" s="1284"/>
      <c r="G49" s="1893"/>
      <c r="H49" s="793"/>
      <c r="I49" s="1889" t="s">
        <v>1534</v>
      </c>
      <c r="J49" s="1894">
        <v>2020</v>
      </c>
      <c r="K49" s="1891" t="s">
        <v>1535</v>
      </c>
      <c r="L49" s="1895"/>
      <c r="O49" s="1896" t="s">
        <v>1042</v>
      </c>
      <c r="P49" s="1887" t="s">
        <v>1536</v>
      </c>
      <c r="Q49" s="1888" t="e">
        <f ca="1">C29</f>
        <v>#N/A</v>
      </c>
      <c r="R49" s="1888" t="s">
        <v>1529</v>
      </c>
    </row>
    <row r="50" spans="1:18" s="1844" customFormat="1" ht="13.5" thickBot="1">
      <c r="A50" s="1198"/>
      <c r="B50" s="1201"/>
      <c r="C50" s="1371"/>
      <c r="D50" s="1175"/>
      <c r="E50" s="1280" t="s">
        <v>1406</v>
      </c>
      <c r="F50" s="1281" t="e">
        <f ca="1">F7</f>
        <v>#N/A</v>
      </c>
      <c r="H50" s="793"/>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9"/>
      <c r="B51" s="1201"/>
      <c r="C51" s="1202"/>
      <c r="D51" s="1175"/>
      <c r="E51" s="1203" t="s">
        <v>1407</v>
      </c>
      <c r="F51" s="348" t="e">
        <f ca="1">F8</f>
        <v>#N/A</v>
      </c>
      <c r="I51" s="1900" t="s">
        <v>1540</v>
      </c>
      <c r="J51" s="1901">
        <f>IF(J49="",J50,J49+J50-YEAR('数据-取费表'!B2))</f>
        <v>62</v>
      </c>
      <c r="K51" s="1902" t="s">
        <v>1541</v>
      </c>
      <c r="L51" s="1903" t="e">
        <f ca="1">ROUND(-PV(INDIRECT("'数据-取费表'!h"&amp;$G$1),L48,(C39-C13*C76),0),0)</f>
        <v>#N/A</v>
      </c>
      <c r="M51" s="1904"/>
      <c r="O51" s="1896" t="s">
        <v>1044</v>
      </c>
      <c r="P51" s="1887" t="s">
        <v>1542</v>
      </c>
      <c r="Q51" s="1899">
        <f>J52</f>
        <v>8.5000000000000006E-2</v>
      </c>
      <c r="R51" s="1888"/>
    </row>
    <row r="52" spans="1:18" s="1844" customFormat="1" ht="13.5" thickBot="1">
      <c r="A52" s="1199"/>
      <c r="B52" s="1201"/>
      <c r="C52" s="1202"/>
      <c r="D52" s="1175"/>
      <c r="E52" s="1203" t="s">
        <v>1408</v>
      </c>
      <c r="F52" s="1278"/>
      <c r="I52" s="1905" t="s">
        <v>1543</v>
      </c>
      <c r="J52" s="1906">
        <v>8.5000000000000006E-2</v>
      </c>
      <c r="K52" s="1905" t="s">
        <v>1544</v>
      </c>
      <c r="L52" s="1906"/>
      <c r="O52" s="1896" t="s">
        <v>1045</v>
      </c>
      <c r="P52" s="1887" t="s">
        <v>1545</v>
      </c>
      <c r="Q52" s="1888" t="e">
        <f ca="1">J53</f>
        <v>#N/A</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t="e">
        <f ca="1">IF(M47="住宅",IF(D1="——",MAX(J51,L48),IF(D1="在建（套用方法）",MAX(J51,L48-'数据-取费表'!B24),MAX(J51,L48-'数据-取费表'!B20))),IF(D1="——",MIN(J51,L48),IF(D1="在建（套用方法）",MIN(J51,L48-'数据-取费表'!B24),IF(D1="土地（套用方法）",MIN(J51,L48-'数据-取费表'!B20)))))</f>
        <v>#N/A</v>
      </c>
      <c r="K53" s="3203" t="s">
        <v>1548</v>
      </c>
      <c r="L53" s="3204"/>
      <c r="O53" s="1886" t="s">
        <v>1046</v>
      </c>
      <c r="P53" s="1887" t="s">
        <v>1549</v>
      </c>
      <c r="Q53" s="1888" t="e">
        <f ca="1">Q47+Q48</f>
        <v>#N/A</v>
      </c>
      <c r="R53" s="1888" t="s">
        <v>1047</v>
      </c>
    </row>
    <row r="54" spans="1:18" s="1844" customFormat="1" ht="13.5" thickBot="1">
      <c r="A54" s="1409"/>
      <c r="B54" s="1827" t="s">
        <v>1388</v>
      </c>
      <c r="C54" s="1181"/>
      <c r="D54" s="1826"/>
      <c r="E54" s="296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#N/A</v>
      </c>
      <c r="K55" s="1914" t="s">
        <v>1552</v>
      </c>
      <c r="L55" s="1915" t="s">
        <v>3247</v>
      </c>
      <c r="O55" s="1879" t="s">
        <v>1522</v>
      </c>
      <c r="P55" s="1880" t="s">
        <v>1523</v>
      </c>
      <c r="Q55" s="1881" t="s">
        <v>1524</v>
      </c>
      <c r="R55" s="1881" t="s">
        <v>1525</v>
      </c>
    </row>
    <row r="56" spans="1:18" s="1844" customFormat="1" ht="25.5" thickTop="1" thickBot="1">
      <c r="A56" s="1179">
        <v>2</v>
      </c>
      <c r="B56" s="1180" t="s">
        <v>1414</v>
      </c>
      <c r="C56" s="276" t="e">
        <f ca="1">C13</f>
        <v>#N/A</v>
      </c>
      <c r="D56" s="1916"/>
      <c r="E56" s="1917"/>
      <c r="F56" s="1909"/>
      <c r="I56" s="1918" t="s">
        <v>1554</v>
      </c>
      <c r="J56" s="1919" t="s">
        <v>3043</v>
      </c>
      <c r="K56" s="1889" t="s">
        <v>1555</v>
      </c>
      <c r="L56" s="1892" t="e">
        <f ca="1">IF(L48&lt;J51,"——",L48-J53)</f>
        <v>#N/A</v>
      </c>
      <c r="O56" s="1886" t="s">
        <v>1040</v>
      </c>
      <c r="P56" s="1887" t="s">
        <v>1528</v>
      </c>
      <c r="Q56" s="1888" t="e">
        <f ca="1">C40+J29</f>
        <v>#N/A</v>
      </c>
      <c r="R56" s="1888" t="s">
        <v>1529</v>
      </c>
    </row>
    <row r="57" spans="1:18" s="1844" customFormat="1" ht="24.75" thickBot="1">
      <c r="A57" s="1920"/>
      <c r="B57" s="1172"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80" t="s">
        <v>1424</v>
      </c>
      <c r="C58" s="361" t="e">
        <f ca="1">ROUND(C59+C64+C65+C66,0)</f>
        <v>#N/A</v>
      </c>
      <c r="D58" s="1182" t="s">
        <v>1425</v>
      </c>
      <c r="E58" s="1183"/>
      <c r="F58" s="1184"/>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4" t="s">
        <v>1034</v>
      </c>
      <c r="B60" s="1172" t="s">
        <v>1433</v>
      </c>
      <c r="C60" s="24" t="e">
        <f ca="1">IF(项目基本情况!B11="自然人","——",ROUND(C48*F60/(1+'数据-取费表'!C42),2))</f>
        <v>#N/A</v>
      </c>
      <c r="D60" s="1186" t="s">
        <v>1434</v>
      </c>
      <c r="E60" s="1172" t="s">
        <v>1422</v>
      </c>
      <c r="F60" s="377">
        <f t="shared" ref="F60:F66" si="0">F32</f>
        <v>5.5500000000000008E-2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4" t="s">
        <v>1492</v>
      </c>
      <c r="B61" s="1172" t="s">
        <v>1437</v>
      </c>
      <c r="C61" s="24" t="e">
        <f ca="1">IF(项目基本情况!B11="自然人","——",IF(D61="按租金收入计税",ROUND(C48*F61,2),IF(D61="按房产原值计税",ROUND(C57*F61*0.7,2),INDIRECT("'数据-取费表'!Aj"&amp;$G$1))))</f>
        <v>#N/A</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#N/A</v>
      </c>
      <c r="R61" s="1888" t="s">
        <v>1569</v>
      </c>
    </row>
    <row r="62" spans="1:18" s="1844" customFormat="1" ht="13.5" thickBot="1">
      <c r="A62" s="1204" t="s">
        <v>1495</v>
      </c>
      <c r="B62" s="1171" t="s">
        <v>1441</v>
      </c>
      <c r="C62" s="25" t="e">
        <f ca="1">IF(项目基本情况!B11="自然人","——",ROUND(F62*F63/10000,2))</f>
        <v>#N/A</v>
      </c>
      <c r="D62" s="1187" t="s">
        <v>1442</v>
      </c>
      <c r="E62" s="1172" t="s">
        <v>1443</v>
      </c>
      <c r="F62" s="371">
        <f t="shared" si="0"/>
        <v>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2"/>
      <c r="B63" s="1178"/>
      <c r="C63" s="29"/>
      <c r="D63" s="1188"/>
      <c r="E63" s="1172" t="s">
        <v>1447</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t="e">
        <f ca="1">ROUND(C57*F64,1)</f>
        <v>#N/A</v>
      </c>
      <c r="D64" s="1186" t="s">
        <v>1482</v>
      </c>
      <c r="E64" s="1172" t="s">
        <v>1422</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t="e">
        <f ca="1">ROUND(C56*F65,1)</f>
        <v>#N/A</v>
      </c>
      <c r="D65" s="1186" t="s">
        <v>1454</v>
      </c>
      <c r="E65" s="1172" t="s">
        <v>1422</v>
      </c>
      <c r="F65" s="376"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4" t="s">
        <v>1504</v>
      </c>
      <c r="B66" s="1172" t="s">
        <v>1439</v>
      </c>
      <c r="C66" s="24" t="e">
        <f ca="1">ROUND(C48*F66,1)</f>
        <v>#N/A</v>
      </c>
      <c r="D66" s="1186" t="s">
        <v>1459</v>
      </c>
      <c r="E66" s="1172" t="s">
        <v>1422</v>
      </c>
      <c r="F66" s="357" t="e">
        <f t="shared" ca="1" si="0"/>
        <v>#N/A</v>
      </c>
      <c r="O66" s="1886" t="s">
        <v>1041</v>
      </c>
      <c r="P66" s="1887" t="s">
        <v>1558</v>
      </c>
      <c r="Q66" s="1888" t="e">
        <f ca="1">L60</f>
        <v>#N/A</v>
      </c>
      <c r="R66" s="1888" t="s">
        <v>1581</v>
      </c>
    </row>
    <row r="67" spans="1:18" s="1844" customFormat="1" ht="16.5" thickBot="1">
      <c r="A67" s="1179" t="s">
        <v>1031</v>
      </c>
      <c r="B67" s="1189" t="s">
        <v>1463</v>
      </c>
      <c r="C67" s="361" t="e">
        <f ca="1">C48-C58</f>
        <v>#N/A</v>
      </c>
      <c r="D67" s="1185" t="s">
        <v>1464</v>
      </c>
      <c r="E67" s="1190"/>
      <c r="F67" s="1191"/>
      <c r="O67" s="1896" t="s">
        <v>1042</v>
      </c>
      <c r="P67" s="1887" t="s">
        <v>1562</v>
      </c>
      <c r="Q67" s="1935" t="e">
        <f ca="1">L51</f>
        <v>#N/A</v>
      </c>
      <c r="R67" s="1888" t="s">
        <v>1582</v>
      </c>
    </row>
    <row r="68" spans="1:18" s="1844" customFormat="1" ht="16.5" thickBot="1">
      <c r="A68" s="1169" t="s">
        <v>1032</v>
      </c>
      <c r="B68" s="1170" t="s">
        <v>1485</v>
      </c>
      <c r="C68" s="346" t="e">
        <f ca="1">ROUND(C67*(1-((1+F70)/(1+F68))^F69)/(F68-F70),0)</f>
        <v>#N/A</v>
      </c>
      <c r="D68" s="1187" t="s">
        <v>1469</v>
      </c>
      <c r="E68" s="1172" t="s">
        <v>1470</v>
      </c>
      <c r="F68" s="357" t="e">
        <f ca="1">F40</f>
        <v>#N/A</v>
      </c>
      <c r="O68" s="1896" t="s">
        <v>1043</v>
      </c>
      <c r="P68" s="1936" t="s">
        <v>1583</v>
      </c>
      <c r="Q68" s="1888" t="e">
        <f ca="1">ROUND(Q69-Q70*Q71,0)</f>
        <v>#N/A</v>
      </c>
      <c r="R68" s="1888" t="s">
        <v>1051</v>
      </c>
    </row>
    <row r="69" spans="1:18" s="1844" customFormat="1" ht="13.5" thickBot="1">
      <c r="A69" s="1173"/>
      <c r="B69" s="1174"/>
      <c r="C69" s="351"/>
      <c r="D69" s="1192" t="s">
        <v>1473</v>
      </c>
      <c r="E69" s="1172" t="s">
        <v>1474</v>
      </c>
      <c r="F69" s="379" t="e">
        <f ca="1">F41</f>
        <v>#N/A</v>
      </c>
      <c r="O69" s="1896" t="s">
        <v>1048</v>
      </c>
      <c r="P69" s="1936" t="s">
        <v>1584</v>
      </c>
      <c r="Q69" s="1888" t="e">
        <f ca="1">C39</f>
        <v>#N/A</v>
      </c>
      <c r="R69" s="1888" t="s">
        <v>1529</v>
      </c>
    </row>
    <row r="70" spans="1:18" s="1844" customFormat="1" ht="13.5" thickBot="1">
      <c r="A70" s="1176"/>
      <c r="B70" s="1177"/>
      <c r="C70" s="355"/>
      <c r="D70" s="1188"/>
      <c r="E70" s="1172" t="s">
        <v>1477</v>
      </c>
      <c r="F70" s="1278"/>
      <c r="O70" s="1896" t="s">
        <v>1049</v>
      </c>
      <c r="P70" s="1936" t="s">
        <v>1585</v>
      </c>
      <c r="Q70" s="1888" t="e">
        <f ca="1">C13</f>
        <v>#N/A</v>
      </c>
      <c r="R70" s="1888" t="s">
        <v>1529</v>
      </c>
    </row>
    <row r="71" spans="1:18" s="1844" customFormat="1" ht="13.5" thickBot="1">
      <c r="A71" s="1193" t="s">
        <v>1033</v>
      </c>
      <c r="B71" s="1194" t="s">
        <v>1487</v>
      </c>
      <c r="C71" s="382" t="e">
        <f ca="1">ROUND(C68*10000/F71,0)</f>
        <v>#N/A</v>
      </c>
      <c r="D71" s="1195" t="s">
        <v>1488</v>
      </c>
      <c r="E71" s="1196" t="s">
        <v>1489</v>
      </c>
      <c r="F71" s="385" t="e">
        <f ca="1">F43</f>
        <v>#N/A</v>
      </c>
      <c r="O71" s="1896" t="s">
        <v>1050</v>
      </c>
      <c r="P71" s="1936" t="s">
        <v>1586</v>
      </c>
      <c r="Q71" s="1899" t="e">
        <f ca="1">C76</f>
        <v>#N/A</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3024</v>
      </c>
      <c r="E6" s="347" t="s">
        <v>1405</v>
      </c>
      <c r="F6" s="348">
        <f ca="1">INDIRECT("'数据-取费表'!u"&amp;$G$1)</f>
        <v>0</v>
      </c>
      <c r="G6" s="1853"/>
      <c r="H6" s="1294" t="s">
        <v>1035</v>
      </c>
      <c r="I6" s="3205" t="s">
        <v>1403</v>
      </c>
      <c r="J6" s="346">
        <f ca="1">ROUND(M6*M8*M7*(1-M9),0)</f>
        <v>0</v>
      </c>
      <c r="K6" s="1836" t="s">
        <v>3025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37" t="s">
        <v>3037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2.5000000000000001E-2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3038</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3" t="s">
        <v>1548</v>
      </c>
      <c r="L53" s="3204"/>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5.5500000000000008E-2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2519</v>
      </c>
      <c r="B1" s="2558"/>
      <c r="C1" s="2558"/>
      <c r="D1" s="2558"/>
      <c r="E1" s="2559"/>
    </row>
    <row r="2" spans="1:6" ht="15.75">
      <c r="A2" s="2560" t="s">
        <v>2323</v>
      </c>
      <c r="B2" s="2561">
        <f ca="1">SUMIF(B6:B13,"&lt;&gt;#ref!",B6:B13)</f>
        <v>35558</v>
      </c>
      <c r="C2" s="2562" t="s">
        <v>2512</v>
      </c>
      <c r="D2" s="2563" t="s">
        <v>2513</v>
      </c>
      <c r="E2" s="2564">
        <f>SUM(E6:E13)</f>
        <v>70901.609999999986</v>
      </c>
    </row>
    <row r="3" spans="1:6" ht="15.75">
      <c r="A3" s="2560" t="s">
        <v>1395</v>
      </c>
      <c r="B3" s="2561">
        <f ca="1">ROUND(B2*10000/E2,0)</f>
        <v>5015</v>
      </c>
      <c r="C3" s="2562" t="s">
        <v>2520</v>
      </c>
      <c r="D3" s="2565"/>
      <c r="E3" s="2566"/>
    </row>
    <row r="4" spans="1:6" ht="15.75">
      <c r="A4" s="2567"/>
      <c r="B4" s="2565"/>
      <c r="C4" s="2565"/>
      <c r="D4" s="2565"/>
      <c r="E4" s="2566"/>
    </row>
    <row r="5" spans="1:6" ht="15">
      <c r="A5" s="2568" t="s">
        <v>2514</v>
      </c>
      <c r="B5" s="3208" t="s">
        <v>2515</v>
      </c>
      <c r="C5" s="3208"/>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t="str">
        <f>'数据-取费表'!AN8</f>
        <v>收益法(3)</v>
      </c>
      <c r="B8" s="2571">
        <f ca="1">IF(F8="是",'数据-取费表'!AO8,0)</f>
        <v>22857</v>
      </c>
      <c r="C8" s="2562" t="s">
        <v>2512</v>
      </c>
      <c r="D8" s="2565"/>
      <c r="E8" s="2573">
        <f>IF(OR(A8=0,F8="否"),0,'数据-取费表'!K8+'数据-取费表'!S8)</f>
        <v>24344.959999999995</v>
      </c>
      <c r="F8" s="2574" t="s">
        <v>2518</v>
      </c>
    </row>
    <row r="9" spans="1:6">
      <c r="A9" s="2572" t="str">
        <f>'数据-取费表'!AN9</f>
        <v>收益法</v>
      </c>
      <c r="B9" s="2571">
        <f ca="1">IF(F9="是",'数据-取费表'!AO9,0)</f>
        <v>12701</v>
      </c>
      <c r="C9" s="2562" t="s">
        <v>2512</v>
      </c>
      <c r="D9" s="2565"/>
      <c r="E9" s="2573">
        <f>IF(OR(A9=0,F9="否"),0,'数据-取费表'!K9+'数据-取费表'!S9)</f>
        <v>46556.649999999994</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25" t="s">
        <v>1076</v>
      </c>
      <c r="B1" s="3226"/>
      <c r="C1" s="3227"/>
      <c r="D1" s="3228">
        <f>SUM(I10,I15,I20,I21,I23)</f>
        <v>0</v>
      </c>
      <c r="E1" s="3228"/>
      <c r="F1" s="3228"/>
      <c r="G1" s="3228"/>
      <c r="H1" s="3228"/>
      <c r="I1" s="3229"/>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8"/>
      <c r="C21" s="3218"/>
      <c r="D21" s="3218"/>
      <c r="E21" s="3218"/>
      <c r="F21" s="3218"/>
      <c r="G21" s="3218"/>
      <c r="H21" s="1767">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12">
        <f>C27-C30-C31-C32</f>
        <v>0</v>
      </c>
      <c r="F26" s="3212"/>
      <c r="G26" s="3212"/>
      <c r="H26" s="1739" t="s">
        <v>1340</v>
      </c>
    </row>
    <row r="27" spans="1:9">
      <c r="A27" s="1327">
        <v>1</v>
      </c>
      <c r="B27" s="1328" t="s">
        <v>1118</v>
      </c>
      <c r="C27" s="1328">
        <f>C28+C29</f>
        <v>0</v>
      </c>
      <c r="D27" s="1328"/>
      <c r="E27" s="3213"/>
      <c r="F27" s="3213"/>
      <c r="G27" s="3213"/>
    </row>
    <row r="28" spans="1:9">
      <c r="A28" s="1329" t="s">
        <v>1119</v>
      </c>
      <c r="B28" s="1328" t="s">
        <v>1120</v>
      </c>
      <c r="C28" s="1328"/>
      <c r="D28" s="1328"/>
      <c r="E28" s="3213"/>
      <c r="F28" s="3213"/>
      <c r="G28" s="32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09" t="s">
        <v>1129</v>
      </c>
      <c r="B33" s="3210"/>
      <c r="C33" s="3210"/>
      <c r="D33" s="3211"/>
      <c r="E33" s="3212"/>
      <c r="F33" s="3212"/>
      <c r="G33" s="3212"/>
    </row>
    <row r="34" spans="1:7" hidden="1">
      <c r="A34" s="1331">
        <v>1</v>
      </c>
      <c r="B34" s="1328" t="s">
        <v>1130</v>
      </c>
      <c r="C34" s="1328"/>
      <c r="D34" s="1328"/>
      <c r="E34" s="3213"/>
      <c r="F34" s="3213"/>
      <c r="G34" s="3213"/>
    </row>
    <row r="35" spans="1:7" hidden="1">
      <c r="A35" s="1331">
        <v>2</v>
      </c>
      <c r="B35" s="1328" t="s">
        <v>1131</v>
      </c>
      <c r="C35" s="1328"/>
      <c r="D35" s="1328"/>
      <c r="E35" s="3213"/>
      <c r="F35" s="3213"/>
      <c r="G35" s="3213"/>
    </row>
    <row r="36" spans="1:7" hidden="1">
      <c r="A36" s="1331">
        <v>3</v>
      </c>
      <c r="B36" s="1328" t="s">
        <v>1132</v>
      </c>
      <c r="C36" s="1328"/>
      <c r="D36" s="1328"/>
      <c r="E36" s="3213"/>
      <c r="F36" s="3213"/>
      <c r="G36" s="3213"/>
    </row>
    <row r="37" spans="1:7" hidden="1">
      <c r="A37" s="1331">
        <v>4</v>
      </c>
      <c r="B37" s="1328" t="s">
        <v>1133</v>
      </c>
      <c r="C37" s="1328"/>
      <c r="D37" s="1328"/>
      <c r="E37" s="3213"/>
      <c r="F37" s="3213"/>
      <c r="G37" s="3213"/>
    </row>
    <row r="38" spans="1:7" hidden="1">
      <c r="A38" s="3209" t="s">
        <v>1134</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F43" sqref="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3045</v>
      </c>
      <c r="D1" s="1822" t="s">
        <v>3141</v>
      </c>
      <c r="E1" s="1823" t="s">
        <v>1387</v>
      </c>
      <c r="F1" s="1286">
        <f ca="1">J53</f>
        <v>67.959999999999994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22857</v>
      </c>
      <c r="C2" s="1847" t="s">
        <v>1516</v>
      </c>
      <c r="D2" s="1847"/>
      <c r="E2" s="1848"/>
      <c r="F2" s="1849"/>
      <c r="G2" s="1850"/>
      <c r="H2" s="1842"/>
      <c r="I2" s="1842"/>
      <c r="J2" s="1842"/>
      <c r="K2" s="1843"/>
      <c r="L2" s="1842"/>
      <c r="M2" s="1842"/>
    </row>
    <row r="3" spans="1:37" ht="18" customHeight="1" thickBot="1">
      <c r="A3" s="1851" t="s">
        <v>1517</v>
      </c>
      <c r="B3" s="1852">
        <f ca="1">IF(ISERROR(B2*10000/F43),0,ROUND(B2*10000/F43,0))</f>
        <v>9809</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809</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808</v>
      </c>
      <c r="D6" s="164" t="s">
        <v>3027</v>
      </c>
      <c r="E6" s="347" t="s">
        <v>1405</v>
      </c>
      <c r="F6" s="348">
        <f ca="1">INDIRECT("'数据-取费表'!u"&amp;$G$1)</f>
        <v>1</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2964" t="s">
        <v>1406</v>
      </c>
      <c r="F7" s="348">
        <f ca="1">IF(INDIRECT("'数据-取费表'!ah"&amp;$G$1)="",INDIRECT("'数据-取费表'!k"&amp;$G$1),INDIRECT("'数据-取费表'!ah"&amp;$G$1))</f>
        <v>23301.179999999997</v>
      </c>
      <c r="G7" s="1853"/>
      <c r="H7" s="349"/>
      <c r="I7" s="3206"/>
      <c r="J7" s="351"/>
      <c r="K7" s="352"/>
      <c r="L7" s="347" t="s">
        <v>1406</v>
      </c>
      <c r="M7" s="348">
        <f ca="1">F7</f>
        <v>23301.179999999997</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1</v>
      </c>
      <c r="D10" s="1826" t="s">
        <v>3035</v>
      </c>
      <c r="E10" s="358" t="s">
        <v>1410</v>
      </c>
      <c r="F10" s="1369" t="s">
        <v>3246</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6485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4869</v>
      </c>
      <c r="D14" s="2967" t="s">
        <v>1418</v>
      </c>
      <c r="E14" s="2966"/>
      <c r="F14" s="364"/>
      <c r="G14" s="1853"/>
      <c r="H14" s="1204" t="s">
        <v>1035</v>
      </c>
      <c r="I14" s="347" t="s">
        <v>1419</v>
      </c>
      <c r="J14" s="24">
        <f ca="1">C29</f>
        <v>6485</v>
      </c>
      <c r="K14" s="2963"/>
      <c r="L14" s="982"/>
      <c r="M14" s="983"/>
    </row>
    <row r="15" spans="1:37" s="1860" customFormat="1" ht="18" customHeight="1" thickBot="1">
      <c r="A15" s="1204" t="s">
        <v>1036</v>
      </c>
      <c r="B15" s="347" t="s">
        <v>1420</v>
      </c>
      <c r="C15" s="24">
        <f ca="1">ROUND(C14*F15,0)</f>
        <v>146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93</v>
      </c>
      <c r="D16" s="347" t="s">
        <v>1421</v>
      </c>
      <c r="E16" s="347" t="s">
        <v>1422</v>
      </c>
      <c r="F16" s="367">
        <f ca="1">IF(INDIRECT("'数据-取费表'!c"&amp;$G$1)="住宅",'数据-取费表'!B34,0)</f>
        <v>0.02</v>
      </c>
      <c r="G16" s="1853"/>
      <c r="H16" s="1332" t="s">
        <v>1030</v>
      </c>
      <c r="I16" s="1333" t="s">
        <v>1424</v>
      </c>
      <c r="J16" s="355">
        <f ca="1">ROUND(J17+J22+J23+J24,0)</f>
        <v>158</v>
      </c>
      <c r="K16" s="1340" t="s">
        <v>1425</v>
      </c>
      <c r="L16" s="2969"/>
      <c r="M16" s="1297"/>
    </row>
    <row r="17" spans="1:37" s="1860" customFormat="1" ht="18" customHeight="1">
      <c r="A17" s="1204" t="s">
        <v>1390</v>
      </c>
      <c r="B17" s="347" t="s">
        <v>1426</v>
      </c>
      <c r="C17" s="24">
        <f ca="1">ROUND(F17*(F43+INDIRECT("'数据-取费表'!S"&amp;$G$1))/10000,0)</f>
        <v>487</v>
      </c>
      <c r="D17" s="347" t="s">
        <v>1427</v>
      </c>
      <c r="E17" s="347" t="s">
        <v>1428</v>
      </c>
      <c r="F17" s="26">
        <f>'数据-取费表'!B35</f>
        <v>200</v>
      </c>
      <c r="G17" s="1856"/>
      <c r="H17" s="1204" t="s">
        <v>1035</v>
      </c>
      <c r="I17" s="347" t="s">
        <v>1429</v>
      </c>
      <c r="J17" s="24">
        <f ca="1">ROUND(IF(项目基本情况!B11="自然人",J5*M17,J18+J19+J20),1)</f>
        <v>60.8</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73</v>
      </c>
      <c r="D18" s="347" t="s">
        <v>1421</v>
      </c>
      <c r="E18" s="347" t="s">
        <v>1422</v>
      </c>
      <c r="F18" s="367">
        <f>'数据-取费表'!B36</f>
        <v>1.4999999999999999E-2</v>
      </c>
      <c r="G18" s="1856"/>
      <c r="H18" s="1204" t="s">
        <v>1034</v>
      </c>
      <c r="I18" s="347" t="s">
        <v>1433</v>
      </c>
      <c r="J18" s="24">
        <f ca="1">ROUND(J5*M18/(1+'数据-取费表'!C42),2)</f>
        <v>0</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5668</v>
      </c>
      <c r="D19" s="140" t="s">
        <v>1436</v>
      </c>
      <c r="E19" s="2962"/>
      <c r="F19" s="26"/>
      <c r="G19" s="1853"/>
      <c r="H19" s="1204" t="s">
        <v>1036</v>
      </c>
      <c r="I19" s="347" t="s">
        <v>1437</v>
      </c>
      <c r="J19" s="24">
        <f ca="1">IF(K19="按租金收入计税",ROUND(J5*M19,2),ROUND(C29*M19*0.7,2))</f>
        <v>54.47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142</v>
      </c>
      <c r="D20" s="369" t="s">
        <v>1440</v>
      </c>
      <c r="E20" s="347" t="s">
        <v>1422</v>
      </c>
      <c r="F20" s="367">
        <f>'数据-取费表'!B37</f>
        <v>2.5000000000000001E-2</v>
      </c>
      <c r="G20" s="1856"/>
      <c r="H20" s="1204" t="s">
        <v>1389</v>
      </c>
      <c r="I20" s="164" t="s">
        <v>1441</v>
      </c>
      <c r="J20" s="25">
        <f ca="1">ROUND(M20*M21/10000,2)</f>
        <v>6.28</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12555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f ca="1">ROUND(J14*M22,1)</f>
        <v>97.3</v>
      </c>
      <c r="K22" s="2968"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206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6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f ca="1">J5-J16</f>
        <v>-158</v>
      </c>
      <c r="K25" s="1348" t="s">
        <v>1464</v>
      </c>
      <c r="L25" s="1349"/>
      <c r="M25" s="1350"/>
    </row>
    <row r="26" spans="1:37">
      <c r="A26" s="1204" t="s">
        <v>1034</v>
      </c>
      <c r="B26" s="347" t="s">
        <v>1465</v>
      </c>
      <c r="C26" s="24">
        <f ca="1">ROUND((C19+C20)*F26,0)</f>
        <v>58</v>
      </c>
      <c r="D26" s="369" t="s">
        <v>1466</v>
      </c>
      <c r="E26" s="358" t="s">
        <v>1467</v>
      </c>
      <c r="F26" s="357">
        <f ca="1">INDIRECT("'数据-取费表'!q"&amp;$G$1)</f>
        <v>0.01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6485</v>
      </c>
      <c r="D29" s="1345"/>
      <c r="E29" s="1343"/>
      <c r="F29" s="1346"/>
      <c r="G29" s="1856"/>
      <c r="H29" s="380" t="s">
        <v>1033</v>
      </c>
      <c r="I29" s="381" t="s">
        <v>1479</v>
      </c>
      <c r="J29" s="382">
        <f ca="1">ROUND(J26/(1+F40)^F41,0)</f>
        <v>0</v>
      </c>
      <c r="K29" s="383" t="s">
        <v>1480</v>
      </c>
      <c r="L29" s="384"/>
      <c r="M29" s="385">
        <f ca="1">INDIRECT("'数据-取费表'!k"&amp;$G$1)</f>
        <v>23301.179999999997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261</v>
      </c>
      <c r="D30" s="1340" t="s">
        <v>1425</v>
      </c>
      <c r="E30" s="2969"/>
      <c r="F30" s="1297"/>
      <c r="G30" s="1853"/>
      <c r="H30" s="745"/>
      <c r="I30" s="746"/>
      <c r="J30" s="747"/>
      <c r="K30" s="748"/>
      <c r="L30" s="749"/>
      <c r="M30" s="750"/>
    </row>
    <row r="31" spans="1:37" ht="18" customHeight="1">
      <c r="A31" s="1204" t="s">
        <v>1035</v>
      </c>
      <c r="B31" s="347" t="s">
        <v>1429</v>
      </c>
      <c r="C31" s="24">
        <f ca="1">ROUND(IF(项目基本情况!B11="自然人",C5*F31,C32+C33+C34),1)</f>
        <v>146.1</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42.76</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97.08</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6.28</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12555</v>
      </c>
      <c r="G35" s="1853"/>
      <c r="H35" s="745"/>
      <c r="I35" s="1862"/>
      <c r="J35" s="1863"/>
      <c r="K35" s="1864"/>
      <c r="L35" s="1861"/>
      <c r="M35" s="1861"/>
    </row>
    <row r="36" spans="1:18" ht="18" customHeight="1">
      <c r="A36" s="1355" t="s">
        <v>1039</v>
      </c>
      <c r="B36" s="347" t="s">
        <v>1449</v>
      </c>
      <c r="C36" s="24">
        <f ca="1">ROUND(C29*F36,1)</f>
        <v>97.3</v>
      </c>
      <c r="D36" s="2968"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9.6999999999999993</v>
      </c>
      <c r="D37" s="2968"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8.1</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548</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22857</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67.959999999999994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9809</v>
      </c>
      <c r="D43" s="383" t="s">
        <v>1488</v>
      </c>
      <c r="E43" s="384" t="s">
        <v>1489</v>
      </c>
      <c r="F43" s="385">
        <f ca="1">INDIRECT("'数据-取费表'!k"&amp;$G$1)</f>
        <v>23301.179999999997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-36745</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70</v>
      </c>
      <c r="M47" s="1840" t="str">
        <f>IF(ISNUMBER(FIND("住宅",C1)),"住宅","非住宅")</f>
        <v>住宅</v>
      </c>
      <c r="O47" s="1886" t="s">
        <v>1040</v>
      </c>
      <c r="P47" s="1887" t="s">
        <v>1528</v>
      </c>
      <c r="Q47" s="1888">
        <f ca="1">C40+J29</f>
        <v>22857</v>
      </c>
      <c r="R47" s="1888" t="s">
        <v>1529</v>
      </c>
    </row>
    <row r="48" spans="1:18" s="1844" customFormat="1" ht="28.5" thickBot="1">
      <c r="A48" s="1363" t="s">
        <v>1135</v>
      </c>
      <c r="B48" s="345" t="s">
        <v>1401</v>
      </c>
      <c r="C48" s="2961">
        <f ca="1">C49+C53+C55</f>
        <v>0</v>
      </c>
      <c r="D48" s="1365"/>
      <c r="E48" s="1366"/>
      <c r="F48" s="1184"/>
      <c r="G48" s="792"/>
      <c r="H48" s="793"/>
      <c r="I48" s="1889" t="s">
        <v>1530</v>
      </c>
      <c r="J48" s="1890" t="s">
        <v>3143</v>
      </c>
      <c r="K48" s="1891" t="s">
        <v>1531</v>
      </c>
      <c r="L48" s="1892">
        <f ca="1">INDIRECT("'数据-取费表'!f"&amp;$G$1)</f>
        <v>68.959999999999994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3026</v>
      </c>
      <c r="E49" s="1832" t="s">
        <v>1491</v>
      </c>
      <c r="F49" s="1284"/>
      <c r="G49" s="1893"/>
      <c r="H49" s="793"/>
      <c r="I49" s="1889" t="s">
        <v>1534</v>
      </c>
      <c r="J49" s="1894"/>
      <c r="K49" s="1891" t="s">
        <v>1535</v>
      </c>
      <c r="L49" s="1895"/>
      <c r="O49" s="1896" t="s">
        <v>1042</v>
      </c>
      <c r="P49" s="1887" t="s">
        <v>1536</v>
      </c>
      <c r="Q49" s="1888">
        <f ca="1">C29</f>
        <v>6485</v>
      </c>
      <c r="R49" s="1888" t="s">
        <v>1529</v>
      </c>
    </row>
    <row r="50" spans="1:18" s="1844" customFormat="1" ht="13.5" thickBot="1">
      <c r="A50" s="1198"/>
      <c r="B50" s="1201"/>
      <c r="C50" s="1371"/>
      <c r="D50" s="1175"/>
      <c r="E50" s="1280" t="s">
        <v>1406</v>
      </c>
      <c r="F50" s="1281">
        <f ca="1">F7</f>
        <v>23301.179999999997</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-75</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67.959999999999994</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67.959999999999994</v>
      </c>
      <c r="K53" s="3203" t="s">
        <v>1548</v>
      </c>
      <c r="L53" s="3204"/>
      <c r="O53" s="1886" t="s">
        <v>1046</v>
      </c>
      <c r="P53" s="1887" t="s">
        <v>1549</v>
      </c>
      <c r="Q53" s="1888">
        <f ca="1">Q47+Q48</f>
        <v>22857</v>
      </c>
      <c r="R53" s="1888" t="s">
        <v>1047</v>
      </c>
    </row>
    <row r="54" spans="1:18" s="1844" customFormat="1" ht="13.5" thickBot="1">
      <c r="A54" s="1409"/>
      <c r="B54" s="1827" t="s">
        <v>1388</v>
      </c>
      <c r="C54" s="1181"/>
      <c r="D54" s="1826"/>
      <c r="E54" s="2965"/>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6485</v>
      </c>
      <c r="D56" s="1916"/>
      <c r="E56" s="1917"/>
      <c r="F56" s="1909"/>
      <c r="I56" s="1918" t="s">
        <v>1554</v>
      </c>
      <c r="J56" s="1919" t="s">
        <v>3043</v>
      </c>
      <c r="K56" s="1889" t="s">
        <v>1555</v>
      </c>
      <c r="L56" s="1892">
        <f ca="1">IF(L48&lt;J51,"——",L48-J53)</f>
        <v>1</v>
      </c>
      <c r="O56" s="1886" t="s">
        <v>1040</v>
      </c>
      <c r="P56" s="1887" t="s">
        <v>1528</v>
      </c>
      <c r="Q56" s="1888">
        <f ca="1">C40+J29</f>
        <v>22857</v>
      </c>
      <c r="R56" s="1888" t="s">
        <v>1529</v>
      </c>
    </row>
    <row r="57" spans="1:18" s="1844" customFormat="1" ht="24.75" thickBot="1">
      <c r="A57" s="1920"/>
      <c r="B57" s="1172" t="s">
        <v>1478</v>
      </c>
      <c r="C57" s="282">
        <f ca="1">C29</f>
        <v>6485</v>
      </c>
      <c r="D57" s="1921"/>
      <c r="E57" s="1922"/>
      <c r="F57" s="1923"/>
      <c r="I57" s="1924" t="s">
        <v>1556</v>
      </c>
      <c r="J57" s="1925" t="str">
        <f ca="1">IF(OR(M47="住宅",J51&lt;L48,J56="是"),"——",J51-L48)</f>
        <v>——</v>
      </c>
      <c r="K57" s="1889" t="s">
        <v>1557</v>
      </c>
      <c r="L57" s="1892">
        <f ca="1">IF(L48&lt;J51,"——",IF(L55="比较法",L49,IF(L55="基准地价",L50,L51)))</f>
        <v>-75</v>
      </c>
      <c r="O57" s="1886" t="s">
        <v>1041</v>
      </c>
      <c r="P57" s="1887" t="s">
        <v>1558</v>
      </c>
      <c r="Q57" s="1888">
        <f ca="1">L60</f>
        <v>0</v>
      </c>
      <c r="R57" s="1888" t="s">
        <v>1559</v>
      </c>
    </row>
    <row r="58" spans="1:18" s="1844" customFormat="1" ht="24.75" thickBot="1">
      <c r="A58" s="360" t="s">
        <v>1030</v>
      </c>
      <c r="B58" s="1180" t="s">
        <v>1424</v>
      </c>
      <c r="C58" s="361">
        <f ca="1">ROUND(C59+C64+C65+C66,0)</f>
        <v>658</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551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544.74</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6.28</v>
      </c>
      <c r="D62" s="1187" t="s">
        <v>1442</v>
      </c>
      <c r="E62" s="1172" t="s">
        <v>1443</v>
      </c>
      <c r="F62" s="371">
        <f t="shared" si="0"/>
        <v>5</v>
      </c>
      <c r="I62" s="1931" t="s">
        <v>1570</v>
      </c>
      <c r="J62" s="1932" t="s">
        <v>1571</v>
      </c>
      <c r="K62" s="1932" t="s">
        <v>1572</v>
      </c>
      <c r="L62" s="1932" t="s">
        <v>1573</v>
      </c>
      <c r="M62" s="1933" t="s">
        <v>1574</v>
      </c>
      <c r="O62" s="1886" t="s">
        <v>1046</v>
      </c>
      <c r="P62" s="1887" t="s">
        <v>1549</v>
      </c>
      <c r="Q62" s="1888">
        <f ca="1">Q56+Q57</f>
        <v>22857</v>
      </c>
      <c r="R62" s="1888" t="s">
        <v>1047</v>
      </c>
    </row>
    <row r="63" spans="1:18" s="1844" customFormat="1" ht="13.5" thickBot="1">
      <c r="A63" s="372"/>
      <c r="B63" s="1178"/>
      <c r="C63" s="29"/>
      <c r="D63" s="1188"/>
      <c r="E63" s="1172" t="s">
        <v>1447</v>
      </c>
      <c r="F63" s="348">
        <f t="shared" ca="1" si="0"/>
        <v>12555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97.3</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9.6999999999999993</v>
      </c>
      <c r="D65" s="1186" t="s">
        <v>1454</v>
      </c>
      <c r="E65" s="1172" t="s">
        <v>1422</v>
      </c>
      <c r="F65" s="376">
        <f t="shared" ca="1" si="0"/>
        <v>1.5E-3</v>
      </c>
      <c r="I65" s="1931" t="s">
        <v>1579</v>
      </c>
      <c r="J65" s="1932">
        <v>40</v>
      </c>
      <c r="K65" s="1932">
        <v>30</v>
      </c>
      <c r="L65" s="1932">
        <v>50</v>
      </c>
      <c r="M65" s="1934">
        <v>0.02</v>
      </c>
      <c r="O65" s="1886" t="s">
        <v>1040</v>
      </c>
      <c r="P65" s="1887" t="s">
        <v>1528</v>
      </c>
      <c r="Q65" s="1888">
        <f ca="1">C40+J29</f>
        <v>22857</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-658</v>
      </c>
      <c r="D67" s="1185" t="s">
        <v>1464</v>
      </c>
      <c r="E67" s="1190"/>
      <c r="F67" s="1191"/>
      <c r="O67" s="1896" t="s">
        <v>1042</v>
      </c>
      <c r="P67" s="1887" t="s">
        <v>1562</v>
      </c>
      <c r="Q67" s="1935">
        <f ca="1">L51</f>
        <v>-75</v>
      </c>
      <c r="R67" s="1888" t="s">
        <v>1582</v>
      </c>
    </row>
    <row r="68" spans="1:18" s="1844" customFormat="1" ht="16.5" thickBot="1">
      <c r="A68" s="1169" t="s">
        <v>1032</v>
      </c>
      <c r="B68" s="1170" t="s">
        <v>1485</v>
      </c>
      <c r="C68" s="346">
        <f ca="1">ROUND(C67*(1-((1+F70)/(1+F68))^F69)/(F68-F70),0)</f>
        <v>-13888</v>
      </c>
      <c r="D68" s="1187" t="s">
        <v>1469</v>
      </c>
      <c r="E68" s="1172" t="s">
        <v>1470</v>
      </c>
      <c r="F68" s="357">
        <f ca="1">F40</f>
        <v>4.4999999999999998E-2</v>
      </c>
      <c r="O68" s="1896" t="s">
        <v>1043</v>
      </c>
      <c r="P68" s="1936" t="s">
        <v>1583</v>
      </c>
      <c r="Q68" s="1888">
        <f ca="1">ROUND(Q69-Q70*Q71,0)</f>
        <v>-3</v>
      </c>
      <c r="R68" s="1888" t="s">
        <v>1051</v>
      </c>
    </row>
    <row r="69" spans="1:18" s="1844" customFormat="1" ht="13.5" thickBot="1">
      <c r="A69" s="1173"/>
      <c r="B69" s="1174"/>
      <c r="C69" s="351"/>
      <c r="D69" s="1192" t="s">
        <v>1473</v>
      </c>
      <c r="E69" s="1172" t="s">
        <v>1474</v>
      </c>
      <c r="F69" s="379">
        <f ca="1">F41</f>
        <v>67.959999999999994</v>
      </c>
      <c r="O69" s="1896" t="s">
        <v>1048</v>
      </c>
      <c r="P69" s="1936" t="s">
        <v>1584</v>
      </c>
      <c r="Q69" s="1888">
        <f ca="1">C39</f>
        <v>548</v>
      </c>
      <c r="R69" s="1888" t="s">
        <v>1529</v>
      </c>
    </row>
    <row r="70" spans="1:18" s="1844" customFormat="1" ht="13.5" thickBot="1">
      <c r="A70" s="1176"/>
      <c r="B70" s="1177"/>
      <c r="C70" s="355"/>
      <c r="D70" s="1188"/>
      <c r="E70" s="1172" t="s">
        <v>1477</v>
      </c>
      <c r="F70" s="1278"/>
      <c r="O70" s="1896" t="s">
        <v>1049</v>
      </c>
      <c r="P70" s="1936" t="s">
        <v>1585</v>
      </c>
      <c r="Q70" s="1888">
        <f ca="1">C13</f>
        <v>6485</v>
      </c>
      <c r="R70" s="1888" t="s">
        <v>1529</v>
      </c>
    </row>
    <row r="71" spans="1:18" s="1844" customFormat="1" ht="13.5" thickBot="1">
      <c r="A71" s="1193" t="s">
        <v>1033</v>
      </c>
      <c r="B71" s="1194" t="s">
        <v>1487</v>
      </c>
      <c r="C71" s="382">
        <f ca="1">ROUND(C68*10000/F71,0)</f>
        <v>-5960</v>
      </c>
      <c r="D71" s="1195" t="s">
        <v>1488</v>
      </c>
      <c r="E71" s="1196" t="s">
        <v>1489</v>
      </c>
      <c r="F71" s="385">
        <f ca="1">F43</f>
        <v>23301.179999999997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551</v>
      </c>
      <c r="D75" s="1844"/>
      <c r="E75" s="1844"/>
      <c r="F75" s="1844"/>
      <c r="K75" s="1870"/>
      <c r="L75" s="1844"/>
      <c r="O75" s="1886" t="s">
        <v>1046</v>
      </c>
      <c r="P75" s="1887" t="s">
        <v>1549</v>
      </c>
      <c r="Q75" s="1888">
        <f ca="1">Q65+Q66</f>
        <v>22857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-4.9999999999998934E-3</v>
      </c>
    </row>
    <row r="80" spans="1:18">
      <c r="B80" s="386" t="s">
        <v>1511</v>
      </c>
      <c r="C80" s="318">
        <f ca="1">ROUND(C75/C39,3)</f>
        <v>1.0049999999999999</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7" sqref="G17"/>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2522</v>
      </c>
      <c r="C1" s="1636" t="s">
        <v>2523</v>
      </c>
      <c r="D1" s="1623" t="s">
        <v>3047</v>
      </c>
      <c r="E1" s="2579"/>
      <c r="F1" s="2580" t="s">
        <v>2524</v>
      </c>
      <c r="G1" s="1633" t="s">
        <v>2525</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37920</v>
      </c>
      <c r="C2" s="2582" t="s">
        <v>70</v>
      </c>
      <c r="D2" s="1368" t="e">
        <f ca="1">SUMIF(INDIRECT("'"&amp;F2&amp;"'"&amp;"!A:A"),"承租人权益价值",INDIRECT("'"&amp;F2&amp;"'"&amp;"!c:c"))</f>
        <v>#REF!</v>
      </c>
      <c r="E2" s="2583" t="s">
        <v>2526</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14390</v>
      </c>
      <c r="C3" s="400" t="s">
        <v>2527</v>
      </c>
      <c r="D3" s="399">
        <f>IF(D1="",'数据-汇总表'!E3,SUMIF('数据-汇总表'!$C19:$C33,D1,'数据-汇总表'!$E19:$E33))</f>
        <v>26351.31</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2528</v>
      </c>
      <c r="B4" s="402"/>
      <c r="C4" s="3164" t="s">
        <v>2529</v>
      </c>
      <c r="D4" s="3177"/>
      <c r="E4" s="3178" t="s">
        <v>2530</v>
      </c>
      <c r="F4" s="3179"/>
      <c r="G4" s="3164" t="s">
        <v>2531</v>
      </c>
      <c r="H4" s="3177"/>
      <c r="I4" s="3164" t="s">
        <v>2532</v>
      </c>
      <c r="J4" s="3177"/>
      <c r="K4" s="2592" t="s">
        <v>2533</v>
      </c>
      <c r="L4" s="1133"/>
      <c r="M4" s="1134"/>
      <c r="N4" s="1134"/>
      <c r="O4" s="1134"/>
      <c r="P4" s="3180" t="s">
        <v>2534</v>
      </c>
      <c r="Q4" s="3181"/>
      <c r="R4" s="3186" t="s">
        <v>2530</v>
      </c>
      <c r="S4" s="3187"/>
      <c r="T4" s="3186" t="s">
        <v>2531</v>
      </c>
      <c r="U4" s="3187"/>
      <c r="V4" s="3173" t="s">
        <v>2532</v>
      </c>
      <c r="W4" s="3173"/>
      <c r="X4" s="1815"/>
      <c r="Y4" s="3186" t="s">
        <v>2534</v>
      </c>
      <c r="Z4" s="3187"/>
      <c r="AA4" s="3174" t="s">
        <v>2530</v>
      </c>
      <c r="AB4" s="3174" t="s">
        <v>2531</v>
      </c>
      <c r="AC4" s="3174" t="s">
        <v>2532</v>
      </c>
    </row>
    <row r="5" spans="1:29" ht="15">
      <c r="A5" s="404"/>
      <c r="B5" s="405"/>
      <c r="C5" s="3194" t="s">
        <v>2535</v>
      </c>
      <c r="D5" s="3195"/>
      <c r="E5" s="3239" t="s">
        <v>3234</v>
      </c>
      <c r="F5" s="3202"/>
      <c r="G5" s="3238" t="s">
        <v>3235</v>
      </c>
      <c r="H5" s="3195"/>
      <c r="I5" s="3238" t="s">
        <v>3237</v>
      </c>
      <c r="J5" s="3195"/>
      <c r="K5" s="2593"/>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2593"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f>C7</f>
        <v>43357</v>
      </c>
      <c r="F7" s="413">
        <f>SUMIF(58:58,YEAR(E7)&amp;"-"&amp;MONTH(E7),59:59)</f>
        <v>100</v>
      </c>
      <c r="G7" s="412">
        <f>C7</f>
        <v>43357</v>
      </c>
      <c r="H7" s="411">
        <f>SUMIF(58:58,YEAR(G7)&amp;"-"&amp;MONTH(G7),59:59)</f>
        <v>100</v>
      </c>
      <c r="I7" s="412">
        <f>C7</f>
        <v>43357</v>
      </c>
      <c r="J7" s="411">
        <f>SUMIF(58:58,YEAR(I7)&amp;"-"&amp;MONTH(I7),59:59)</f>
        <v>100</v>
      </c>
      <c r="K7" s="2594"/>
      <c r="L7" s="1135"/>
      <c r="M7" s="1136"/>
      <c r="N7" s="1136"/>
      <c r="O7" s="1136"/>
      <c r="P7" s="3196" t="s">
        <v>2542</v>
      </c>
      <c r="Q7" s="3198"/>
      <c r="R7" s="770" t="s">
        <v>23</v>
      </c>
      <c r="S7" s="771">
        <f t="shared" ref="S7:S15" si="0">F7</f>
        <v>100</v>
      </c>
      <c r="T7" s="770" t="s">
        <v>23</v>
      </c>
      <c r="U7" s="771">
        <f t="shared" ref="U7:U15" si="1">H7</f>
        <v>100</v>
      </c>
      <c r="V7" s="770" t="s">
        <v>23</v>
      </c>
      <c r="W7" s="771">
        <f t="shared" ref="W7:W15" si="2">J7</f>
        <v>100</v>
      </c>
      <c r="X7" s="772"/>
      <c r="Y7" s="3196" t="s">
        <v>2542</v>
      </c>
      <c r="Z7" s="3197"/>
      <c r="AA7" s="773">
        <f>D7/F7</f>
        <v>1</v>
      </c>
      <c r="AB7" s="773">
        <f>D7/H7</f>
        <v>1</v>
      </c>
      <c r="AC7" s="773">
        <f>D7/J7</f>
        <v>1</v>
      </c>
    </row>
    <row r="8" spans="1:29" s="117" customFormat="1" ht="15.75" thickBot="1">
      <c r="A8" s="408" t="s">
        <v>2543</v>
      </c>
      <c r="B8" s="409"/>
      <c r="C8" s="414" t="s">
        <v>2544</v>
      </c>
      <c r="D8" s="411">
        <v>100</v>
      </c>
      <c r="E8" s="2595" t="s">
        <v>3137</v>
      </c>
      <c r="F8" s="413">
        <f>SUMIF(61:61,E8,62:62)-SUMIF(61:61,C8,62:62)+100</f>
        <v>100</v>
      </c>
      <c r="G8" s="414" t="s">
        <v>3137</v>
      </c>
      <c r="H8" s="411">
        <f>SUMIF(61:61,G8,62:62)-SUMIF(61:61,C8,62:62)+100</f>
        <v>100</v>
      </c>
      <c r="I8" s="2595" t="s">
        <v>3137</v>
      </c>
      <c r="J8" s="411">
        <f>SUMIF(61:61,I8,62:62)-SUMIF(61:61,C8,62:62)+100</f>
        <v>100</v>
      </c>
      <c r="K8" s="2594"/>
      <c r="L8" s="1135"/>
      <c r="M8" s="1136"/>
      <c r="N8" s="1136"/>
      <c r="O8" s="1136"/>
      <c r="P8" s="3196" t="s">
        <v>2545</v>
      </c>
      <c r="Q8" s="3197"/>
      <c r="R8" s="770" t="s">
        <v>23</v>
      </c>
      <c r="S8" s="771">
        <f t="shared" si="0"/>
        <v>100</v>
      </c>
      <c r="T8" s="770" t="s">
        <v>23</v>
      </c>
      <c r="U8" s="771">
        <f t="shared" si="1"/>
        <v>100</v>
      </c>
      <c r="V8" s="770" t="s">
        <v>23</v>
      </c>
      <c r="W8" s="771">
        <f t="shared" si="2"/>
        <v>100</v>
      </c>
      <c r="X8" s="772"/>
      <c r="Y8" s="3196" t="s">
        <v>2545</v>
      </c>
      <c r="Z8" s="3197"/>
      <c r="AA8" s="773">
        <f t="shared" ref="AA8:AA19" si="3">D8/F8</f>
        <v>1</v>
      </c>
      <c r="AB8" s="773">
        <f t="shared" ref="AB8:AB19" si="4">D8/H8</f>
        <v>1</v>
      </c>
      <c r="AC8" s="773">
        <f t="shared" ref="AC8:AC19" si="5">D8/J8</f>
        <v>1</v>
      </c>
    </row>
    <row r="9" spans="1:29" s="117" customFormat="1">
      <c r="A9" s="415" t="s">
        <v>2546</v>
      </c>
      <c r="B9" s="71" t="s">
        <v>2547</v>
      </c>
      <c r="C9" s="2970" t="s">
        <v>3238</v>
      </c>
      <c r="D9" s="135">
        <v>100</v>
      </c>
      <c r="E9" s="417" t="s">
        <v>3045</v>
      </c>
      <c r="F9" s="418">
        <f>SUMIF(63:63,E9,64:64)-SUMIF(63:63,C9,64:64)+100</f>
        <v>100</v>
      </c>
      <c r="G9" s="419" t="s">
        <v>3045</v>
      </c>
      <c r="H9" s="135">
        <f>SUMIF(63:63,G9,64:64)-SUMIF(63:63,C9,64:64)+100</f>
        <v>100</v>
      </c>
      <c r="I9" s="419" t="s">
        <v>3045</v>
      </c>
      <c r="J9" s="135">
        <f>SUMIF(63:63,I9,64:64)-SUMIF(63:63,C9,64:64)+100</f>
        <v>100</v>
      </c>
      <c r="K9" s="2594"/>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t="s">
        <v>3239</v>
      </c>
      <c r="D10" s="136">
        <v>100</v>
      </c>
      <c r="E10" s="424" t="s">
        <v>3239</v>
      </c>
      <c r="F10" s="425">
        <f>SUMIF(65:65,E10,66:66)-SUMIF(65:65,C10,66:66)+100</f>
        <v>100</v>
      </c>
      <c r="G10" s="423" t="s">
        <v>3239</v>
      </c>
      <c r="H10" s="136">
        <f>SUMIF(65:65,G10,66:66)-SUMIF(65:65,C10,66:66)+100</f>
        <v>100</v>
      </c>
      <c r="I10" s="423" t="s">
        <v>3239</v>
      </c>
      <c r="J10" s="136">
        <f>SUMIF(65:65,I10,66:66)-SUMIF(65:65,C10,66:66)+100</f>
        <v>100</v>
      </c>
      <c r="K10" s="426">
        <v>2</v>
      </c>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f>'数据-汇总表'!I6</f>
        <v>1.19</v>
      </c>
      <c r="D11" s="136">
        <v>100</v>
      </c>
      <c r="E11" s="430">
        <v>1.3</v>
      </c>
      <c r="F11" s="425">
        <f>LOOKUP(E11,68:68,69:69)-LOOKUP(C11,68:68,69:69)+100</f>
        <v>100</v>
      </c>
      <c r="G11" s="429">
        <v>1.8</v>
      </c>
      <c r="H11" s="136">
        <f>LOOKUP(G11,68:68,69:69)-LOOKUP(C11,68:68,69:69)+100</f>
        <v>100</v>
      </c>
      <c r="I11" s="429">
        <v>1.9</v>
      </c>
      <c r="J11" s="136">
        <f>LOOKUP(I11,68:68,69:69)-LOOKUP(C11,68:68,69:69)+100</f>
        <v>100</v>
      </c>
      <c r="K11" s="426">
        <v>2</v>
      </c>
      <c r="L11" s="1141"/>
      <c r="M11" s="1134"/>
      <c r="N11" s="1134"/>
      <c r="O11" s="1134"/>
      <c r="P11" s="3166"/>
      <c r="Q11" s="1797" t="str">
        <f t="shared" si="6"/>
        <v>容积率</v>
      </c>
      <c r="R11" s="770" t="s">
        <v>21</v>
      </c>
      <c r="S11" s="771">
        <f t="shared" si="0"/>
        <v>100</v>
      </c>
      <c r="T11" s="770" t="s">
        <v>21</v>
      </c>
      <c r="U11" s="771">
        <f t="shared" si="1"/>
        <v>100</v>
      </c>
      <c r="V11" s="770" t="s">
        <v>21</v>
      </c>
      <c r="W11" s="771">
        <f t="shared" si="2"/>
        <v>100</v>
      </c>
      <c r="X11" s="772"/>
      <c r="Y11" s="3015"/>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166"/>
      <c r="Q12" s="1797">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166"/>
      <c r="Q13" s="1797">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166"/>
      <c r="Q14" s="1797">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28.25">
      <c r="A15" s="440" t="s">
        <v>2552</v>
      </c>
      <c r="B15" s="69" t="s">
        <v>2083</v>
      </c>
      <c r="C15" s="2599" t="str">
        <f>估价对象房地状况!C3</f>
        <v>估价对象周边有钱隆学府、宣惠园社区等住宅项目，规模一般，入住率一般，分布密集程度一般，综合评价居住社区成熟度一般。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6" t="s">
        <v>2553</v>
      </c>
      <c r="Q15" s="1812" t="str">
        <f t="shared" si="6"/>
        <v>居住社区成熟度</v>
      </c>
      <c r="R15" s="774" t="s">
        <v>21</v>
      </c>
      <c r="S15" s="775">
        <f t="shared" si="0"/>
        <v>100</v>
      </c>
      <c r="T15" s="774" t="s">
        <v>21</v>
      </c>
      <c r="U15" s="775">
        <f t="shared" si="1"/>
        <v>100</v>
      </c>
      <c r="V15" s="774" t="s">
        <v>21</v>
      </c>
      <c r="W15" s="775">
        <f t="shared" si="2"/>
        <v>100</v>
      </c>
      <c r="X15" s="1815"/>
      <c r="Y15" s="3169" t="s">
        <v>2553</v>
      </c>
      <c r="Z15" s="1816" t="str">
        <f t="shared" si="7"/>
        <v>居住社区成熟度</v>
      </c>
      <c r="AA15" s="1813">
        <f t="shared" si="3"/>
        <v>1</v>
      </c>
      <c r="AB15" s="1813">
        <f t="shared" si="4"/>
        <v>1</v>
      </c>
      <c r="AC15" s="1813">
        <f t="shared" si="5"/>
        <v>1</v>
      </c>
    </row>
    <row r="16" spans="1:29" ht="15">
      <c r="A16" s="428"/>
      <c r="B16" s="446"/>
      <c r="C16" s="447" t="s">
        <v>3148</v>
      </c>
      <c r="D16" s="448"/>
      <c r="E16" s="2600" t="s">
        <v>3148</v>
      </c>
      <c r="F16" s="448"/>
      <c r="G16" s="2601" t="s">
        <v>3148</v>
      </c>
      <c r="H16" s="450"/>
      <c r="I16" s="2601" t="s">
        <v>3148</v>
      </c>
      <c r="J16" s="448"/>
      <c r="K16" s="2602"/>
      <c r="L16" s="1143"/>
      <c r="M16" s="1134"/>
      <c r="N16" s="1134"/>
      <c r="O16" s="1134"/>
      <c r="P16" s="3237"/>
      <c r="Q16" s="1812"/>
      <c r="R16" s="774"/>
      <c r="S16" s="775"/>
      <c r="T16" s="774"/>
      <c r="U16" s="775"/>
      <c r="V16" s="774"/>
      <c r="W16" s="775"/>
      <c r="X16" s="1815"/>
      <c r="Y16" s="3170"/>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37"/>
      <c r="Q17" s="1812" t="str">
        <f>B17</f>
        <v>交通便捷度</v>
      </c>
      <c r="R17" s="774" t="s">
        <v>21</v>
      </c>
      <c r="S17" s="775">
        <f>F17</f>
        <v>100</v>
      </c>
      <c r="T17" s="774" t="s">
        <v>21</v>
      </c>
      <c r="U17" s="775">
        <f>H17</f>
        <v>100</v>
      </c>
      <c r="V17" s="774" t="s">
        <v>21</v>
      </c>
      <c r="W17" s="775">
        <f>J17</f>
        <v>100</v>
      </c>
      <c r="X17" s="1815"/>
      <c r="Y17" s="3170"/>
      <c r="Z17" s="1816" t="str">
        <f>Q17</f>
        <v>交通便捷度</v>
      </c>
      <c r="AA17" s="1813">
        <f t="shared" si="3"/>
        <v>1</v>
      </c>
      <c r="AB17" s="1813">
        <f t="shared" si="4"/>
        <v>1</v>
      </c>
      <c r="AC17" s="1813">
        <f t="shared" si="5"/>
        <v>1</v>
      </c>
    </row>
    <row r="18" spans="1:29" ht="15">
      <c r="A18" s="428"/>
      <c r="B18" s="456"/>
      <c r="C18" s="2604" t="s">
        <v>3148</v>
      </c>
      <c r="D18" s="450"/>
      <c r="E18" s="2605" t="s">
        <v>3148</v>
      </c>
      <c r="F18" s="450"/>
      <c r="G18" s="2606" t="s">
        <v>3148</v>
      </c>
      <c r="H18" s="448"/>
      <c r="I18" s="2606" t="s">
        <v>3148</v>
      </c>
      <c r="J18" s="448"/>
      <c r="K18" s="2602"/>
      <c r="L18" s="1143"/>
      <c r="M18" s="1134"/>
      <c r="N18" s="1134"/>
      <c r="O18" s="1134"/>
      <c r="P18" s="3237"/>
      <c r="Q18" s="1812"/>
      <c r="R18" s="774"/>
      <c r="S18" s="775"/>
      <c r="T18" s="774"/>
      <c r="U18" s="775"/>
      <c r="V18" s="774"/>
      <c r="W18" s="775"/>
      <c r="X18" s="1815"/>
      <c r="Y18" s="3170"/>
      <c r="Z18" s="1816"/>
      <c r="AA18" s="1813">
        <v>1</v>
      </c>
      <c r="AB18" s="1813">
        <v>1</v>
      </c>
      <c r="AC18" s="1813">
        <v>1</v>
      </c>
    </row>
    <row r="19" spans="1:29" ht="42.75">
      <c r="A19" s="428"/>
      <c r="B19" s="451" t="s">
        <v>2090</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37"/>
      <c r="Q19" s="1812" t="str">
        <f>B19</f>
        <v>公共配套设施</v>
      </c>
      <c r="R19" s="774" t="s">
        <v>21</v>
      </c>
      <c r="S19" s="775">
        <f>F19</f>
        <v>100</v>
      </c>
      <c r="T19" s="774" t="s">
        <v>21</v>
      </c>
      <c r="U19" s="775">
        <f>H19</f>
        <v>100</v>
      </c>
      <c r="V19" s="774" t="s">
        <v>21</v>
      </c>
      <c r="W19" s="775">
        <f>J19</f>
        <v>100</v>
      </c>
      <c r="X19" s="1815"/>
      <c r="Y19" s="3170"/>
      <c r="Z19" s="1816" t="str">
        <f>Q19</f>
        <v>公共配套设施</v>
      </c>
      <c r="AA19" s="1813">
        <f t="shared" si="3"/>
        <v>1</v>
      </c>
      <c r="AB19" s="1813">
        <f t="shared" si="4"/>
        <v>1</v>
      </c>
      <c r="AC19" s="1813">
        <f t="shared" si="5"/>
        <v>1</v>
      </c>
    </row>
    <row r="20" spans="1:29" ht="15">
      <c r="A20" s="428"/>
      <c r="B20" s="456"/>
      <c r="C20" s="447" t="s">
        <v>3149</v>
      </c>
      <c r="D20" s="448"/>
      <c r="E20" s="2600" t="s">
        <v>3149</v>
      </c>
      <c r="F20" s="448"/>
      <c r="G20" s="2601" t="s">
        <v>3149</v>
      </c>
      <c r="H20" s="448"/>
      <c r="I20" s="2601" t="s">
        <v>3149</v>
      </c>
      <c r="J20" s="448"/>
      <c r="K20" s="2602"/>
      <c r="L20" s="1143"/>
      <c r="M20" s="1134"/>
      <c r="N20" s="1134"/>
      <c r="O20" s="1134"/>
      <c r="P20" s="3237"/>
      <c r="Q20" s="1812"/>
      <c r="R20" s="774"/>
      <c r="S20" s="775"/>
      <c r="T20" s="774"/>
      <c r="U20" s="775"/>
      <c r="V20" s="774"/>
      <c r="W20" s="775"/>
      <c r="X20" s="1815"/>
      <c r="Y20" s="3170"/>
      <c r="Z20" s="1816"/>
      <c r="AA20" s="1813">
        <v>1</v>
      </c>
      <c r="AB20" s="1813">
        <v>1</v>
      </c>
      <c r="AC20" s="1813">
        <v>1</v>
      </c>
    </row>
    <row r="21" spans="1:29" ht="42.75">
      <c r="A21" s="428"/>
      <c r="B21" s="1387" t="s">
        <v>2093</v>
      </c>
      <c r="C21" s="2603"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t="s">
        <v>3190</v>
      </c>
      <c r="D22" s="448"/>
      <c r="E22" s="447" t="s">
        <v>3190</v>
      </c>
      <c r="F22" s="448"/>
      <c r="G22" s="2607" t="s">
        <v>3190</v>
      </c>
      <c r="H22" s="448"/>
      <c r="I22" s="447" t="s">
        <v>3190</v>
      </c>
      <c r="J22" s="448"/>
      <c r="K22" s="2608"/>
      <c r="L22" s="1143"/>
      <c r="M22" s="1134"/>
      <c r="N22" s="1134"/>
      <c r="O22" s="1134"/>
      <c r="P22" s="3237"/>
      <c r="Q22" s="1812"/>
      <c r="R22" s="774"/>
      <c r="S22" s="775"/>
      <c r="T22" s="774"/>
      <c r="U22" s="775"/>
      <c r="V22" s="774"/>
      <c r="W22" s="775"/>
      <c r="X22" s="1815"/>
      <c r="Y22" s="3170"/>
      <c r="Z22" s="1816"/>
      <c r="AA22" s="1813">
        <v>1</v>
      </c>
      <c r="AB22" s="1813">
        <v>1</v>
      </c>
      <c r="AC22" s="1813">
        <v>1</v>
      </c>
    </row>
    <row r="23" spans="1:29" ht="114">
      <c r="A23" s="428"/>
      <c r="B23" s="451" t="s">
        <v>2097</v>
      </c>
      <c r="C23" s="2603" t="str">
        <f>估价对象房地状况!C9</f>
        <v>估价对象所在区域有月牙河公园，自然状况一般；所在区域无人文设施，人文环境较差；综合评价环境状况较差。</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37"/>
      <c r="Q23" s="1812" t="str">
        <f>B23</f>
        <v>自然及人文环境</v>
      </c>
      <c r="R23" s="774" t="s">
        <v>21</v>
      </c>
      <c r="S23" s="775">
        <f>F23</f>
        <v>100</v>
      </c>
      <c r="T23" s="774" t="s">
        <v>21</v>
      </c>
      <c r="U23" s="775">
        <f>H23</f>
        <v>100</v>
      </c>
      <c r="V23" s="774" t="s">
        <v>21</v>
      </c>
      <c r="W23" s="775">
        <f>J23</f>
        <v>100</v>
      </c>
      <c r="X23" s="1815"/>
      <c r="Y23" s="3170"/>
      <c r="Z23" s="1816" t="str">
        <f>Q23</f>
        <v>自然及人文环境</v>
      </c>
      <c r="AA23" s="1813">
        <f>D23/F23</f>
        <v>1</v>
      </c>
      <c r="AB23" s="1813">
        <f>D23/H23</f>
        <v>1</v>
      </c>
      <c r="AC23" s="1813">
        <f>D23/J23</f>
        <v>1</v>
      </c>
    </row>
    <row r="24" spans="1:29" ht="15">
      <c r="A24" s="428"/>
      <c r="B24" s="456"/>
      <c r="C24" s="447" t="s">
        <v>3148</v>
      </c>
      <c r="D24" s="448"/>
      <c r="E24" s="2600" t="s">
        <v>3148</v>
      </c>
      <c r="F24" s="448"/>
      <c r="G24" s="2601" t="s">
        <v>3148</v>
      </c>
      <c r="H24" s="448"/>
      <c r="I24" s="2601" t="s">
        <v>3148</v>
      </c>
      <c r="J24" s="448"/>
      <c r="K24" s="2602"/>
      <c r="L24" s="1143"/>
      <c r="M24" s="1134"/>
      <c r="N24" s="1134"/>
      <c r="O24" s="1134"/>
      <c r="P24" s="3237"/>
      <c r="Q24" s="1812"/>
      <c r="R24" s="774"/>
      <c r="S24" s="775"/>
      <c r="T24" s="774"/>
      <c r="U24" s="775"/>
      <c r="V24" s="774"/>
      <c r="W24" s="775"/>
      <c r="X24" s="1815"/>
      <c r="Y24" s="3170"/>
      <c r="Z24" s="1816"/>
      <c r="AA24" s="1813">
        <v>1</v>
      </c>
      <c r="AB24" s="1813">
        <v>1</v>
      </c>
      <c r="AC24" s="1813">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v>0</v>
      </c>
      <c r="L25" s="1143"/>
      <c r="M25" s="1134"/>
      <c r="N25" s="1134"/>
      <c r="O25" s="1134"/>
      <c r="P25" s="323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0"/>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v>0</v>
      </c>
      <c r="L26" s="1143"/>
      <c r="M26" s="1134"/>
      <c r="N26" s="1134"/>
      <c r="O26" s="1134"/>
      <c r="P26" s="3237"/>
      <c r="Q26" s="1812" t="str">
        <f t="shared" si="11"/>
        <v>朝向</v>
      </c>
      <c r="R26" s="774" t="s">
        <v>21</v>
      </c>
      <c r="S26" s="775">
        <f t="shared" si="12"/>
        <v>100</v>
      </c>
      <c r="T26" s="774" t="s">
        <v>21</v>
      </c>
      <c r="U26" s="775">
        <f t="shared" si="13"/>
        <v>100</v>
      </c>
      <c r="V26" s="774" t="s">
        <v>21</v>
      </c>
      <c r="W26" s="775">
        <f t="shared" si="14"/>
        <v>100</v>
      </c>
      <c r="X26" s="1815"/>
      <c r="Y26" s="3170"/>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37"/>
      <c r="Q27" s="1797">
        <f t="shared" si="11"/>
        <v>111</v>
      </c>
      <c r="R27" s="770" t="s">
        <v>21</v>
      </c>
      <c r="S27" s="771">
        <f t="shared" si="12"/>
        <v>100</v>
      </c>
      <c r="T27" s="770" t="s">
        <v>21</v>
      </c>
      <c r="U27" s="771">
        <f t="shared" si="13"/>
        <v>100</v>
      </c>
      <c r="V27" s="770" t="s">
        <v>21</v>
      </c>
      <c r="W27" s="771">
        <f t="shared" si="14"/>
        <v>100</v>
      </c>
      <c r="X27" s="772"/>
      <c r="Y27" s="3170"/>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37"/>
      <c r="Q28" s="1812">
        <f t="shared" si="11"/>
        <v>111</v>
      </c>
      <c r="R28" s="774" t="s">
        <v>21</v>
      </c>
      <c r="S28" s="775">
        <f t="shared" si="12"/>
        <v>100</v>
      </c>
      <c r="T28" s="774" t="s">
        <v>21</v>
      </c>
      <c r="U28" s="775">
        <f t="shared" si="13"/>
        <v>100</v>
      </c>
      <c r="V28" s="774" t="s">
        <v>21</v>
      </c>
      <c r="W28" s="775">
        <f t="shared" si="14"/>
        <v>100</v>
      </c>
      <c r="X28" s="1815"/>
      <c r="Y28" s="3170"/>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37"/>
      <c r="Q29" s="1812">
        <f t="shared" si="11"/>
        <v>111</v>
      </c>
      <c r="R29" s="774" t="s">
        <v>21</v>
      </c>
      <c r="S29" s="775">
        <f t="shared" si="12"/>
        <v>100</v>
      </c>
      <c r="T29" s="774" t="s">
        <v>21</v>
      </c>
      <c r="U29" s="775">
        <f t="shared" si="13"/>
        <v>100</v>
      </c>
      <c r="V29" s="774" t="s">
        <v>21</v>
      </c>
      <c r="W29" s="775">
        <f t="shared" si="14"/>
        <v>100</v>
      </c>
      <c r="X29" s="1815"/>
      <c r="Y29" s="3170"/>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37"/>
      <c r="Q30" s="1812">
        <f t="shared" si="11"/>
        <v>111</v>
      </c>
      <c r="R30" s="774" t="s">
        <v>21</v>
      </c>
      <c r="S30" s="775">
        <f t="shared" si="12"/>
        <v>100</v>
      </c>
      <c r="T30" s="774" t="s">
        <v>21</v>
      </c>
      <c r="U30" s="775">
        <f t="shared" si="13"/>
        <v>100</v>
      </c>
      <c r="V30" s="774" t="s">
        <v>21</v>
      </c>
      <c r="W30" s="775">
        <f t="shared" si="14"/>
        <v>100</v>
      </c>
      <c r="X30" s="1815"/>
      <c r="Y30" s="3170"/>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37"/>
      <c r="Q31" s="1812">
        <f t="shared" si="11"/>
        <v>111</v>
      </c>
      <c r="R31" s="774" t="s">
        <v>21</v>
      </c>
      <c r="S31" s="775">
        <f t="shared" si="12"/>
        <v>100</v>
      </c>
      <c r="T31" s="774" t="s">
        <v>21</v>
      </c>
      <c r="U31" s="775">
        <f t="shared" si="13"/>
        <v>100</v>
      </c>
      <c r="V31" s="774" t="s">
        <v>21</v>
      </c>
      <c r="W31" s="775">
        <f t="shared" si="14"/>
        <v>100</v>
      </c>
      <c r="X31" s="1815"/>
      <c r="Y31" s="3170"/>
      <c r="Z31" s="1816">
        <f t="shared" si="18"/>
        <v>111</v>
      </c>
      <c r="AA31" s="1813">
        <f t="shared" si="15"/>
        <v>1</v>
      </c>
      <c r="AB31" s="1813">
        <f t="shared" si="16"/>
        <v>1</v>
      </c>
      <c r="AC31" s="1813">
        <f t="shared" si="17"/>
        <v>1</v>
      </c>
    </row>
    <row r="32" spans="1:29" ht="15">
      <c r="A32" s="440" t="s">
        <v>2556</v>
      </c>
      <c r="B32" s="71" t="s">
        <v>2557</v>
      </c>
      <c r="C32" s="2613" t="s">
        <v>3047</v>
      </c>
      <c r="D32" s="467">
        <v>100</v>
      </c>
      <c r="E32" s="2614" t="s">
        <v>3047</v>
      </c>
      <c r="F32" s="461">
        <f>SUMIF(100:100,E32,101:101)-SUMIF(100:100,C32,101:101)+100</f>
        <v>100</v>
      </c>
      <c r="G32" s="2613" t="s">
        <v>3047</v>
      </c>
      <c r="H32" s="467">
        <f>SUMIF(100:100,G32,101:101)-SUMIF(100:100,C32,101:101)+100</f>
        <v>100</v>
      </c>
      <c r="I32" s="2614" t="s">
        <v>3047</v>
      </c>
      <c r="J32" s="435">
        <f>SUMIF(100:100,I32,101:101)-SUMIF(100:100,C32,101:101)+100</f>
        <v>100</v>
      </c>
      <c r="K32" s="426">
        <v>2</v>
      </c>
      <c r="L32" s="1143"/>
      <c r="M32" s="1134"/>
      <c r="N32" s="1134"/>
      <c r="O32" s="1134"/>
      <c r="P32" s="3232" t="s">
        <v>2558</v>
      </c>
      <c r="Q32" s="1812" t="str">
        <f t="shared" si="11"/>
        <v>建筑类型</v>
      </c>
      <c r="R32" s="774" t="s">
        <v>21</v>
      </c>
      <c r="S32" s="775">
        <f t="shared" si="12"/>
        <v>100</v>
      </c>
      <c r="T32" s="774" t="s">
        <v>21</v>
      </c>
      <c r="U32" s="775">
        <f t="shared" si="13"/>
        <v>100</v>
      </c>
      <c r="V32" s="774" t="s">
        <v>21</v>
      </c>
      <c r="W32" s="775">
        <f t="shared" si="14"/>
        <v>100</v>
      </c>
      <c r="X32" s="1815"/>
      <c r="Y32" s="3172" t="s">
        <v>2558</v>
      </c>
      <c r="Z32" s="1816" t="str">
        <f t="shared" si="18"/>
        <v>建筑类型</v>
      </c>
      <c r="AA32" s="1813">
        <f t="shared" si="15"/>
        <v>1</v>
      </c>
      <c r="AB32" s="1813">
        <f t="shared" si="16"/>
        <v>1</v>
      </c>
      <c r="AC32" s="1813">
        <f t="shared" si="17"/>
        <v>1</v>
      </c>
    </row>
    <row r="33" spans="1:29" s="471" customFormat="1" ht="15">
      <c r="A33" s="468"/>
      <c r="B33" s="422" t="s">
        <v>2559</v>
      </c>
      <c r="C33" s="469">
        <f>'数据-汇总表'!E3</f>
        <v>124616.56000000001</v>
      </c>
      <c r="D33" s="136">
        <v>100</v>
      </c>
      <c r="E33" s="430">
        <v>265000</v>
      </c>
      <c r="F33" s="425">
        <f>LOOKUP(E33,103:103,104:104)-LOOKUP(C33,103:103,104:104)+100</f>
        <v>101</v>
      </c>
      <c r="G33" s="429">
        <v>296405.14</v>
      </c>
      <c r="H33" s="136">
        <f>LOOKUP(G33,103:103,104:104)-LOOKUP(C33,103:103,104:104)+100</f>
        <v>101</v>
      </c>
      <c r="I33" s="430">
        <v>260000</v>
      </c>
      <c r="J33" s="136">
        <f>LOOKUP(I33,103:103,104:104)-LOOKUP(C33,103:103,104:104)+100</f>
        <v>101</v>
      </c>
      <c r="K33" s="2597"/>
      <c r="L33" s="1141"/>
      <c r="M33" s="1144"/>
      <c r="N33" s="1144"/>
      <c r="O33" s="1144"/>
      <c r="P33" s="3233"/>
      <c r="Q33" s="776" t="str">
        <f t="shared" si="11"/>
        <v>项目建筑规模</v>
      </c>
      <c r="R33" s="777" t="s">
        <v>21</v>
      </c>
      <c r="S33" s="778">
        <f t="shared" si="12"/>
        <v>101</v>
      </c>
      <c r="T33" s="777" t="s">
        <v>21</v>
      </c>
      <c r="U33" s="778">
        <f t="shared" si="13"/>
        <v>101</v>
      </c>
      <c r="V33" s="777" t="s">
        <v>21</v>
      </c>
      <c r="W33" s="778">
        <f t="shared" si="14"/>
        <v>101</v>
      </c>
      <c r="X33" s="779"/>
      <c r="Y33" s="3172"/>
      <c r="Z33" s="780" t="str">
        <f t="shared" si="18"/>
        <v>项目建筑规模</v>
      </c>
      <c r="AA33" s="1813">
        <f t="shared" si="15"/>
        <v>0.99009900990099009</v>
      </c>
      <c r="AB33" s="1813">
        <f t="shared" si="16"/>
        <v>0.99009900990099009</v>
      </c>
      <c r="AC33" s="1813">
        <f t="shared" si="17"/>
        <v>0.99009900990099009</v>
      </c>
    </row>
    <row r="34" spans="1:29" ht="15">
      <c r="A34" s="472"/>
      <c r="B34" s="422" t="s">
        <v>2560</v>
      </c>
      <c r="C34" s="2615" t="s">
        <v>3142</v>
      </c>
      <c r="D34" s="435">
        <v>100</v>
      </c>
      <c r="E34" s="2616" t="s">
        <v>3142</v>
      </c>
      <c r="F34" s="461">
        <f>SUMIF(105:105,E34,106:106)-SUMIF(105:105,C34,106:106)+100</f>
        <v>100</v>
      </c>
      <c r="G34" s="2615" t="s">
        <v>3142</v>
      </c>
      <c r="H34" s="435">
        <f>SUMIF(105:105,G34,106:106)-SUMIF(105:105,C34,106:106)+100</f>
        <v>100</v>
      </c>
      <c r="I34" s="2616" t="s">
        <v>3142</v>
      </c>
      <c r="J34" s="435">
        <f>SUMIF(105:105,I34,106:106)-SUMIF(105:105,C34,106:106)+100</f>
        <v>100</v>
      </c>
      <c r="K34" s="426">
        <v>2</v>
      </c>
      <c r="L34" s="1143"/>
      <c r="M34" s="1134"/>
      <c r="N34" s="1134"/>
      <c r="O34" s="1134"/>
      <c r="P34" s="3233"/>
      <c r="Q34" s="1812" t="str">
        <f t="shared" si="11"/>
        <v>建筑结构</v>
      </c>
      <c r="R34" s="774" t="s">
        <v>21</v>
      </c>
      <c r="S34" s="775">
        <f t="shared" si="12"/>
        <v>100</v>
      </c>
      <c r="T34" s="774" t="s">
        <v>21</v>
      </c>
      <c r="U34" s="775">
        <f t="shared" si="13"/>
        <v>100</v>
      </c>
      <c r="V34" s="774" t="s">
        <v>21</v>
      </c>
      <c r="W34" s="775">
        <f t="shared" si="14"/>
        <v>100</v>
      </c>
      <c r="X34" s="1815"/>
      <c r="Y34" s="3172"/>
      <c r="Z34" s="1816" t="str">
        <f t="shared" si="18"/>
        <v>建筑结构</v>
      </c>
      <c r="AA34" s="1813">
        <f t="shared" si="15"/>
        <v>1</v>
      </c>
      <c r="AB34" s="1813">
        <f t="shared" si="16"/>
        <v>1</v>
      </c>
      <c r="AC34" s="1813">
        <f t="shared" si="17"/>
        <v>1</v>
      </c>
    </row>
    <row r="35" spans="1:29" ht="15">
      <c r="A35" s="472"/>
      <c r="B35" s="422" t="s">
        <v>2561</v>
      </c>
      <c r="C35" s="2609" t="s">
        <v>3240</v>
      </c>
      <c r="D35" s="435">
        <v>100</v>
      </c>
      <c r="E35" s="2610" t="s">
        <v>3240</v>
      </c>
      <c r="F35" s="461">
        <f>SUMIF(107:107,E35,108:108)-SUMIF(107:107,C35,108:108)+100</f>
        <v>100</v>
      </c>
      <c r="G35" s="2609" t="s">
        <v>3240</v>
      </c>
      <c r="H35" s="435">
        <f>SUMIF(107:107,G35,108:108)-SUMIF(107:107,C35,108:108)+100</f>
        <v>100</v>
      </c>
      <c r="I35" s="2610" t="s">
        <v>3240</v>
      </c>
      <c r="J35" s="435">
        <f>SUMIF(107:107,I35,108:108)-SUMIF(107:107,C35,108:108)+100</f>
        <v>100</v>
      </c>
      <c r="K35" s="426">
        <v>2</v>
      </c>
      <c r="L35" s="1143"/>
      <c r="M35" s="1134"/>
      <c r="N35" s="1134"/>
      <c r="O35" s="1134"/>
      <c r="P35" s="3233"/>
      <c r="Q35" s="1812" t="str">
        <f t="shared" si="11"/>
        <v>建筑品质</v>
      </c>
      <c r="R35" s="774" t="s">
        <v>21</v>
      </c>
      <c r="S35" s="775">
        <f t="shared" si="12"/>
        <v>100</v>
      </c>
      <c r="T35" s="774" t="s">
        <v>21</v>
      </c>
      <c r="U35" s="775">
        <f t="shared" si="13"/>
        <v>100</v>
      </c>
      <c r="V35" s="774" t="s">
        <v>21</v>
      </c>
      <c r="W35" s="775">
        <f t="shared" si="14"/>
        <v>100</v>
      </c>
      <c r="X35" s="1815"/>
      <c r="Y35" s="3172"/>
      <c r="Z35" s="1816" t="str">
        <f t="shared" si="18"/>
        <v>建筑品质</v>
      </c>
      <c r="AA35" s="1813">
        <f t="shared" si="15"/>
        <v>1</v>
      </c>
      <c r="AB35" s="1813">
        <f t="shared" si="16"/>
        <v>1</v>
      </c>
      <c r="AC35" s="1813">
        <f t="shared" si="17"/>
        <v>1</v>
      </c>
    </row>
    <row r="36" spans="1:29" ht="15">
      <c r="A36" s="472"/>
      <c r="B36" s="422" t="s">
        <v>2562</v>
      </c>
      <c r="C36" s="2609" t="s">
        <v>3241</v>
      </c>
      <c r="D36" s="435">
        <v>100</v>
      </c>
      <c r="E36" s="2610" t="s">
        <v>3241</v>
      </c>
      <c r="F36" s="461">
        <f>SUMIF(109:109,E36,110:110)-SUMIF(109:109,C36,110:110)+100</f>
        <v>100</v>
      </c>
      <c r="G36" s="2609" t="s">
        <v>3241</v>
      </c>
      <c r="H36" s="435">
        <f>SUMIF(109:109,G36,110:110)-SUMIF(109:109,C36,110:110)+100</f>
        <v>100</v>
      </c>
      <c r="I36" s="2610" t="s">
        <v>3241</v>
      </c>
      <c r="J36" s="435">
        <f>SUMIF(109:109,I36,110:110)-SUMIF(109:109,C36,110:110)+100</f>
        <v>100</v>
      </c>
      <c r="K36" s="426">
        <v>2</v>
      </c>
      <c r="L36" s="1143"/>
      <c r="M36" s="1134"/>
      <c r="N36" s="1134"/>
      <c r="O36" s="1134"/>
      <c r="P36" s="3233"/>
      <c r="Q36" s="1812" t="str">
        <f t="shared" si="11"/>
        <v>公共部分装修</v>
      </c>
      <c r="R36" s="774" t="s">
        <v>21</v>
      </c>
      <c r="S36" s="775">
        <f t="shared" si="12"/>
        <v>100</v>
      </c>
      <c r="T36" s="774" t="s">
        <v>21</v>
      </c>
      <c r="U36" s="775">
        <f t="shared" si="13"/>
        <v>100</v>
      </c>
      <c r="V36" s="774" t="s">
        <v>21</v>
      </c>
      <c r="W36" s="775">
        <f t="shared" si="14"/>
        <v>100</v>
      </c>
      <c r="X36" s="1815"/>
      <c r="Y36" s="3172"/>
      <c r="Z36" s="1816" t="str">
        <f t="shared" si="18"/>
        <v>公共部分装修</v>
      </c>
      <c r="AA36" s="1813">
        <f t="shared" si="15"/>
        <v>1</v>
      </c>
      <c r="AB36" s="1813">
        <f t="shared" si="16"/>
        <v>1</v>
      </c>
      <c r="AC36" s="1813">
        <f t="shared" si="17"/>
        <v>1</v>
      </c>
    </row>
    <row r="37" spans="1:29" s="117" customFormat="1" ht="15">
      <c r="A37" s="473"/>
      <c r="B37" s="422" t="s">
        <v>2563</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3"/>
      <c r="Q37" s="1797" t="str">
        <f t="shared" si="11"/>
        <v>成新度</v>
      </c>
      <c r="R37" s="770" t="s">
        <v>21</v>
      </c>
      <c r="S37" s="771">
        <f t="shared" si="12"/>
        <v>100</v>
      </c>
      <c r="T37" s="770" t="s">
        <v>21</v>
      </c>
      <c r="U37" s="771">
        <f t="shared" si="13"/>
        <v>100</v>
      </c>
      <c r="V37" s="770" t="s">
        <v>21</v>
      </c>
      <c r="W37" s="771">
        <f t="shared" si="14"/>
        <v>100</v>
      </c>
      <c r="X37" s="772"/>
      <c r="Y37" s="3172"/>
      <c r="Z37" s="55" t="str">
        <f t="shared" si="18"/>
        <v>成新度</v>
      </c>
      <c r="AA37" s="773">
        <f t="shared" si="15"/>
        <v>1</v>
      </c>
      <c r="AB37" s="773">
        <f t="shared" si="16"/>
        <v>1</v>
      </c>
      <c r="AC37" s="773">
        <f t="shared" si="17"/>
        <v>1</v>
      </c>
    </row>
    <row r="38" spans="1:29" ht="15">
      <c r="A38" s="472"/>
      <c r="B38" s="422" t="s">
        <v>2564</v>
      </c>
      <c r="C38" s="2609" t="s">
        <v>3242</v>
      </c>
      <c r="D38" s="435">
        <v>100</v>
      </c>
      <c r="E38" s="2610" t="s">
        <v>3242</v>
      </c>
      <c r="F38" s="461">
        <f>SUMIF(114:114,E38,115:115)-SUMIF(114:114,C38,115:115)+100</f>
        <v>100</v>
      </c>
      <c r="G38" s="2609" t="s">
        <v>3242</v>
      </c>
      <c r="H38" s="435">
        <f>SUMIF(114:114,G38,115:115)-SUMIF(114:114,C38,115:115)+100</f>
        <v>100</v>
      </c>
      <c r="I38" s="2610" t="s">
        <v>3242</v>
      </c>
      <c r="J38" s="435">
        <f>SUMIF(114:114,I38,115:115)-SUMIF(114:114,C38,115:115)+100</f>
        <v>100</v>
      </c>
      <c r="K38" s="426">
        <v>2</v>
      </c>
      <c r="L38" s="1143"/>
      <c r="M38" s="1134"/>
      <c r="N38" s="1134"/>
      <c r="O38" s="1134"/>
      <c r="P38" s="3233" t="s">
        <v>2558</v>
      </c>
      <c r="Q38" s="1812" t="str">
        <f t="shared" si="11"/>
        <v>物业管理</v>
      </c>
      <c r="R38" s="774" t="s">
        <v>21</v>
      </c>
      <c r="S38" s="775">
        <f t="shared" si="12"/>
        <v>100</v>
      </c>
      <c r="T38" s="774" t="s">
        <v>21</v>
      </c>
      <c r="U38" s="775">
        <f t="shared" si="13"/>
        <v>100</v>
      </c>
      <c r="V38" s="774" t="s">
        <v>21</v>
      </c>
      <c r="W38" s="775">
        <f t="shared" si="14"/>
        <v>100</v>
      </c>
      <c r="X38" s="1815"/>
      <c r="Y38" s="3172" t="s">
        <v>2558</v>
      </c>
      <c r="Z38" s="1816" t="str">
        <f t="shared" si="18"/>
        <v>物业管理</v>
      </c>
      <c r="AA38" s="1813">
        <f t="shared" si="15"/>
        <v>1</v>
      </c>
      <c r="AB38" s="1813">
        <f t="shared" si="16"/>
        <v>1</v>
      </c>
      <c r="AC38" s="1813">
        <f t="shared" si="17"/>
        <v>1</v>
      </c>
    </row>
    <row r="39" spans="1:29" ht="15">
      <c r="A39" s="472"/>
      <c r="B39" s="422" t="s">
        <v>2565</v>
      </c>
      <c r="C39" s="2609" t="s">
        <v>3190</v>
      </c>
      <c r="D39" s="435">
        <v>100</v>
      </c>
      <c r="E39" s="2610" t="s">
        <v>3190</v>
      </c>
      <c r="F39" s="461">
        <f>SUMIF(116:116,E39,117:117)-SUMIF(116:116,C39,117:117)+100</f>
        <v>100</v>
      </c>
      <c r="G39" s="2609" t="s">
        <v>3190</v>
      </c>
      <c r="H39" s="435">
        <f>SUMIF(116:116,G39,117:117)-SUMIF(116:116,C39,117:117)+100</f>
        <v>100</v>
      </c>
      <c r="I39" s="2610" t="s">
        <v>3190</v>
      </c>
      <c r="J39" s="435">
        <f>SUMIF(116:116,I39,117:117)-SUMIF(116:116,C39,117:117)+100</f>
        <v>100</v>
      </c>
      <c r="K39" s="426">
        <v>2</v>
      </c>
      <c r="L39" s="1143"/>
      <c r="M39" s="1134"/>
      <c r="N39" s="1134"/>
      <c r="O39" s="1134"/>
      <c r="P39" s="3233"/>
      <c r="Q39" s="1812" t="str">
        <f t="shared" si="11"/>
        <v>市政基础设施</v>
      </c>
      <c r="R39" s="774" t="s">
        <v>21</v>
      </c>
      <c r="S39" s="775">
        <f t="shared" si="12"/>
        <v>100</v>
      </c>
      <c r="T39" s="774" t="s">
        <v>21</v>
      </c>
      <c r="U39" s="775">
        <f t="shared" si="13"/>
        <v>100</v>
      </c>
      <c r="V39" s="774" t="s">
        <v>21</v>
      </c>
      <c r="W39" s="775">
        <f t="shared" si="14"/>
        <v>100</v>
      </c>
      <c r="X39" s="1815"/>
      <c r="Y39" s="3172"/>
      <c r="Z39" s="1816" t="str">
        <f t="shared" si="18"/>
        <v>市政基础设施</v>
      </c>
      <c r="AA39" s="1813">
        <f t="shared" si="15"/>
        <v>1</v>
      </c>
      <c r="AB39" s="1813">
        <f t="shared" si="16"/>
        <v>1</v>
      </c>
      <c r="AC39" s="1813">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v>0</v>
      </c>
      <c r="L40" s="1143"/>
      <c r="M40" s="1134"/>
      <c r="N40" s="1134"/>
      <c r="O40" s="1134"/>
      <c r="P40" s="3233"/>
      <c r="Q40" s="1812" t="str">
        <f t="shared" si="11"/>
        <v>房型</v>
      </c>
      <c r="R40" s="774" t="s">
        <v>21</v>
      </c>
      <c r="S40" s="775">
        <f t="shared" si="12"/>
        <v>100</v>
      </c>
      <c r="T40" s="774" t="s">
        <v>21</v>
      </c>
      <c r="U40" s="775">
        <f t="shared" si="13"/>
        <v>100</v>
      </c>
      <c r="V40" s="774" t="s">
        <v>21</v>
      </c>
      <c r="W40" s="775">
        <f t="shared" si="14"/>
        <v>100</v>
      </c>
      <c r="X40" s="1815"/>
      <c r="Y40" s="3172"/>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3">
        <f t="shared" si="15"/>
        <v>1</v>
      </c>
      <c r="AB41" s="1813">
        <f t="shared" si="16"/>
        <v>1</v>
      </c>
      <c r="AC41" s="1813">
        <f t="shared" si="17"/>
        <v>1</v>
      </c>
    </row>
    <row r="42" spans="1:29" ht="15">
      <c r="A42" s="472"/>
      <c r="B42" s="422" t="s">
        <v>2568</v>
      </c>
      <c r="C42" s="2609" t="s">
        <v>3243</v>
      </c>
      <c r="D42" s="435">
        <v>100</v>
      </c>
      <c r="E42" s="2610" t="s">
        <v>3243</v>
      </c>
      <c r="F42" s="461">
        <f>SUMIF(122:122,E42,123:123)-SUMIF(122:122,C42,123:123)+100</f>
        <v>100</v>
      </c>
      <c r="G42" s="2609" t="s">
        <v>3243</v>
      </c>
      <c r="H42" s="435">
        <f>SUMIF(122:122,G42,123:123)-SUMIF(122:122,C42,123:123)+100</f>
        <v>100</v>
      </c>
      <c r="I42" s="2610" t="s">
        <v>3243</v>
      </c>
      <c r="J42" s="435">
        <f>SUMIF(122:122,I42,123:123)-SUMIF(122:122,C42,123:123)+100</f>
        <v>100</v>
      </c>
      <c r="K42" s="426">
        <v>2</v>
      </c>
      <c r="L42" s="1143"/>
      <c r="M42" s="1134"/>
      <c r="N42" s="1134"/>
      <c r="O42" s="1134"/>
      <c r="P42" s="3233"/>
      <c r="Q42" s="1812" t="str">
        <f t="shared" si="11"/>
        <v>内部装修</v>
      </c>
      <c r="R42" s="774" t="s">
        <v>21</v>
      </c>
      <c r="S42" s="775">
        <f t="shared" si="12"/>
        <v>100</v>
      </c>
      <c r="T42" s="774" t="s">
        <v>21</v>
      </c>
      <c r="U42" s="775">
        <f t="shared" si="13"/>
        <v>100</v>
      </c>
      <c r="V42" s="774" t="s">
        <v>21</v>
      </c>
      <c r="W42" s="775">
        <f t="shared" si="14"/>
        <v>100</v>
      </c>
      <c r="X42" s="1815"/>
      <c r="Y42" s="3172"/>
      <c r="Z42" s="1816" t="str">
        <f t="shared" si="18"/>
        <v>内部装修</v>
      </c>
      <c r="AA42" s="1813">
        <f t="shared" si="15"/>
        <v>1</v>
      </c>
      <c r="AB42" s="1813">
        <f t="shared" si="16"/>
        <v>1</v>
      </c>
      <c r="AC42" s="1813">
        <f t="shared" si="17"/>
        <v>1</v>
      </c>
    </row>
    <row r="43" spans="1:29" ht="15">
      <c r="A43" s="472"/>
      <c r="B43" s="422" t="s">
        <v>2569</v>
      </c>
      <c r="C43" s="2609" t="s">
        <v>3149</v>
      </c>
      <c r="D43" s="435">
        <v>100</v>
      </c>
      <c r="E43" s="2610" t="s">
        <v>3149</v>
      </c>
      <c r="F43" s="461">
        <f>SUMIF(124:124,E43,125:125)-SUMIF(124:124,C43,125:125)+100</f>
        <v>100</v>
      </c>
      <c r="G43" s="2609" t="s">
        <v>3149</v>
      </c>
      <c r="H43" s="435">
        <f>SUMIF(124:124,G43,125:125)-SUMIF(124:124,C43,125:125)+100</f>
        <v>100</v>
      </c>
      <c r="I43" s="2610" t="s">
        <v>3149</v>
      </c>
      <c r="J43" s="435">
        <f>SUMIF(124:124,I43,125:125)-SUMIF(124:124,C43,125:125)+100</f>
        <v>100</v>
      </c>
      <c r="K43" s="426">
        <v>2</v>
      </c>
      <c r="L43" s="1143"/>
      <c r="M43" s="1134"/>
      <c r="N43" s="1134"/>
      <c r="O43" s="1134"/>
      <c r="P43" s="3233"/>
      <c r="Q43" s="1812" t="str">
        <f t="shared" si="11"/>
        <v>内部装修维护情况</v>
      </c>
      <c r="R43" s="774" t="s">
        <v>21</v>
      </c>
      <c r="S43" s="775">
        <f t="shared" si="12"/>
        <v>100</v>
      </c>
      <c r="T43" s="774" t="s">
        <v>21</v>
      </c>
      <c r="U43" s="775">
        <f t="shared" si="13"/>
        <v>100</v>
      </c>
      <c r="V43" s="774" t="s">
        <v>21</v>
      </c>
      <c r="W43" s="775">
        <f t="shared" si="14"/>
        <v>100</v>
      </c>
      <c r="X43" s="1815"/>
      <c r="Y43" s="317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3"/>
      <c r="Q44" s="1797">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3"/>
      <c r="Q45" s="1812">
        <f t="shared" si="11"/>
        <v>111</v>
      </c>
      <c r="R45" s="774" t="s">
        <v>21</v>
      </c>
      <c r="S45" s="775">
        <f t="shared" si="12"/>
        <v>100</v>
      </c>
      <c r="T45" s="774" t="s">
        <v>21</v>
      </c>
      <c r="U45" s="775">
        <f t="shared" si="13"/>
        <v>100</v>
      </c>
      <c r="V45" s="774" t="s">
        <v>21</v>
      </c>
      <c r="W45" s="775">
        <f t="shared" si="14"/>
        <v>100</v>
      </c>
      <c r="X45" s="1815"/>
      <c r="Y45" s="3172"/>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4"/>
      <c r="Q46" s="1812">
        <f t="shared" si="11"/>
        <v>111</v>
      </c>
      <c r="R46" s="774" t="s">
        <v>20</v>
      </c>
      <c r="S46" s="775">
        <f t="shared" si="12"/>
        <v>100</v>
      </c>
      <c r="T46" s="774" t="s">
        <v>20</v>
      </c>
      <c r="U46" s="775">
        <f t="shared" si="13"/>
        <v>100</v>
      </c>
      <c r="V46" s="774" t="s">
        <v>20</v>
      </c>
      <c r="W46" s="775">
        <f t="shared" si="14"/>
        <v>100</v>
      </c>
      <c r="X46" s="1815"/>
      <c r="Y46" s="3235"/>
      <c r="Z46" s="1816">
        <f t="shared" si="18"/>
        <v>111</v>
      </c>
      <c r="AA46" s="1813">
        <f t="shared" si="15"/>
        <v>1</v>
      </c>
      <c r="AB46" s="1813">
        <f t="shared" si="16"/>
        <v>1</v>
      </c>
      <c r="AC46" s="1813">
        <f t="shared" si="17"/>
        <v>1</v>
      </c>
    </row>
    <row r="47" spans="1:29" ht="15">
      <c r="A47" s="479" t="s">
        <v>2570</v>
      </c>
      <c r="B47" s="480"/>
      <c r="C47" s="1410" t="s">
        <v>19</v>
      </c>
      <c r="D47" s="1411"/>
      <c r="E47" s="1412">
        <v>15000</v>
      </c>
      <c r="F47" s="1413"/>
      <c r="G47" s="1414">
        <v>14980</v>
      </c>
      <c r="H47" s="1415"/>
      <c r="I47" s="1412">
        <v>13623</v>
      </c>
      <c r="J47" s="1415"/>
      <c r="K47" s="2617"/>
      <c r="L47" s="1146"/>
      <c r="M47" s="1147"/>
      <c r="N47" s="1134"/>
      <c r="O47" s="1147"/>
      <c r="P47" s="3167" t="str">
        <f>A47</f>
        <v>成交单价（元/平方米）</v>
      </c>
      <c r="Q47" s="3167"/>
      <c r="R47" s="3231">
        <f>E47</f>
        <v>15000</v>
      </c>
      <c r="S47" s="3231"/>
      <c r="T47" s="3231">
        <f>G47</f>
        <v>14980</v>
      </c>
      <c r="U47" s="3231"/>
      <c r="V47" s="3231">
        <f>I47</f>
        <v>13623</v>
      </c>
      <c r="W47" s="3231"/>
      <c r="X47" s="759"/>
      <c r="Y47" s="781"/>
      <c r="Z47" s="759"/>
      <c r="AA47" s="759"/>
      <c r="AB47" s="759"/>
      <c r="AC47" s="759"/>
    </row>
    <row r="48" spans="1:29" ht="15.75" thickBot="1">
      <c r="A48" s="486" t="s">
        <v>2571</v>
      </c>
      <c r="B48" s="487"/>
      <c r="C48" s="1416">
        <f>R49</f>
        <v>14390</v>
      </c>
      <c r="D48" s="1417"/>
      <c r="E48" s="1418">
        <f>R48</f>
        <v>14851</v>
      </c>
      <c r="F48" s="1418"/>
      <c r="G48" s="1416">
        <f>T48</f>
        <v>14832</v>
      </c>
      <c r="H48" s="1417"/>
      <c r="I48" s="1418">
        <f>V48</f>
        <v>13488</v>
      </c>
      <c r="J48" s="1417"/>
      <c r="K48" s="2618"/>
      <c r="L48" s="1146"/>
      <c r="M48" s="1147"/>
      <c r="N48" s="1147"/>
      <c r="O48" s="1147"/>
      <c r="P48" s="3167" t="str">
        <f>A48</f>
        <v>比较价值（元/平方米）</v>
      </c>
      <c r="Q48" s="3167"/>
      <c r="R48" s="3231">
        <f>IF(F1="售价",ROUND(PRODUCT(R47,AA7:AA46),0),ROUND(PRODUCT(R47,AA7:AA46),1))</f>
        <v>14851</v>
      </c>
      <c r="S48" s="3231"/>
      <c r="T48" s="3231">
        <f>IF(F1="售价",ROUND(PRODUCT(T47,AB7:AB46),0),ROUND(PRODUCT(T47,AB7:AB46),1))</f>
        <v>14832</v>
      </c>
      <c r="U48" s="3231"/>
      <c r="V48" s="3231">
        <f>IF(F1="售价",ROUND(PRODUCT(V47,AC7:AC46),0),ROUND(PRODUCT(V47,AC7:AC46),1))</f>
        <v>13488</v>
      </c>
      <c r="W48" s="3231"/>
      <c r="X48" s="759"/>
      <c r="Y48" s="759"/>
      <c r="Z48" s="759"/>
      <c r="AA48" s="759"/>
      <c r="AB48" s="759"/>
      <c r="AC48" s="759"/>
    </row>
    <row r="49" spans="1:29" ht="15.75" thickBot="1">
      <c r="A49" s="492" t="s">
        <v>2572</v>
      </c>
      <c r="B49" s="493"/>
      <c r="C49" s="1419">
        <f>R49</f>
        <v>14390</v>
      </c>
      <c r="D49" s="1420"/>
      <c r="E49" s="1420"/>
      <c r="F49" s="1420"/>
      <c r="G49" s="1420"/>
      <c r="H49" s="1420"/>
      <c r="I49" s="1420"/>
      <c r="J49" s="1420"/>
      <c r="K49" s="2619"/>
      <c r="L49" s="1146"/>
      <c r="M49" s="1147"/>
      <c r="N49" s="1147"/>
      <c r="O49" s="1147"/>
      <c r="P49" s="3161" t="str">
        <f>A49</f>
        <v>估价对象XX用房的比较价值（楼面单价，元/平方米）</v>
      </c>
      <c r="Q49" s="3162"/>
      <c r="R49" s="3230">
        <f>IF(F1="售价",ROUND(AVERAGE(R48:V48),0),ROUND(AVERAGE(R48:V48),1))</f>
        <v>14390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f>IF(E47&lt;E48,E48/E47-1,E47/E48-1)</f>
        <v>1.0032994411150797E-2</v>
      </c>
      <c r="F52" s="500" t="str">
        <f>IF(OR(E52&gt;=0.3,E52&lt;=-0.3),"超过30%","")</f>
        <v/>
      </c>
      <c r="G52" s="499">
        <f>IF(G47&lt;G48,G48/G47-1,G47/G48-1)</f>
        <v>9.9784250269687735E-3</v>
      </c>
      <c r="H52" s="500" t="str">
        <f>IF(OR(G52&gt;=0.3,G52&lt;=-0.3),"超过30%","")</f>
        <v/>
      </c>
      <c r="I52" s="499">
        <f>IF(I47&lt;I48,I48/I47-1,I47/I48-1)</f>
        <v>1.0008896797153E-2</v>
      </c>
      <c r="J52" s="500" t="str">
        <f>IF(OR(I52&gt;=0.3,I52&lt;=-0.3),"超过30%","")</f>
        <v/>
      </c>
      <c r="K52" s="1108"/>
      <c r="L52" s="1109"/>
      <c r="M52" s="1147"/>
      <c r="N52" s="1147"/>
      <c r="O52" s="1147"/>
    </row>
    <row r="53" spans="1:29" ht="13.5" customHeight="1">
      <c r="A53" s="1147"/>
      <c r="B53" s="1147"/>
      <c r="C53" s="497" t="s">
        <v>2574</v>
      </c>
      <c r="D53" s="501"/>
      <c r="E53" s="499">
        <f>IF(E48&lt;G48,G48/E48-1,E48/G48-1)</f>
        <v>1.2810140237324852E-3</v>
      </c>
      <c r="F53" s="500" t="str">
        <f>IF(OR(E53&gt;=0.2,E53&lt;=-0.2),"超过20%","")</f>
        <v/>
      </c>
      <c r="G53" s="499">
        <f>IF(G48&lt;I48,I48/G48-1,G48/I48-1)</f>
        <v>9.9644128113878905E-2</v>
      </c>
      <c r="H53" s="500" t="str">
        <f>IF(OR(G53&gt;=0.2,G53&lt;=-0.2),"超过20%","")</f>
        <v/>
      </c>
      <c r="I53" s="499">
        <f>IF(I48&lt;E48,E48/I48-1,I48/E48-1)</f>
        <v>0.10105278766310799</v>
      </c>
      <c r="J53" s="500" t="str">
        <f>IF(OR(I53&gt;=0.2,I53&lt;=-0.2),"超过20%","")</f>
        <v/>
      </c>
      <c r="K53" s="1108"/>
      <c r="L53" s="1109"/>
      <c r="M53" s="1147"/>
      <c r="N53" s="1147"/>
      <c r="O53" s="1147"/>
    </row>
    <row r="54" spans="1:29" s="502" customFormat="1" ht="13.5" customHeight="1">
      <c r="A54" s="1148"/>
      <c r="B54" s="1148"/>
      <c r="C54" s="497" t="s">
        <v>2575</v>
      </c>
      <c r="D54" s="501"/>
      <c r="E54" s="499">
        <f>IF(E47&lt;G47,G47/E47-1,E47/G47-1)</f>
        <v>1.3351134846462109E-3</v>
      </c>
      <c r="F54" s="500" t="str">
        <f>IF(OR(E54&gt;=0.3,E54&lt;=-0.3),"超过30%","")</f>
        <v/>
      </c>
      <c r="G54" s="499">
        <f>IF(G47&lt;I47,I47/G47-1,G47/I47-1)</f>
        <v>9.9610952066358394E-2</v>
      </c>
      <c r="H54" s="500" t="str">
        <f>IF(OR(G54&gt;=0.3,G54&lt;=-0.3),"超过30%","")</f>
        <v/>
      </c>
      <c r="I54" s="499">
        <f>IF(I47&lt;E47,E47/I47-1,I47/E47-1)</f>
        <v>0.10107905747632673</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2"/>
      <c r="Q57" s="504"/>
    </row>
    <row r="58" spans="1:29" s="508" customFormat="1" ht="15">
      <c r="A58" s="505" t="s">
        <v>2577</v>
      </c>
      <c r="B58" s="506"/>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ht="15">
      <c r="A59" s="509"/>
      <c r="B59" s="2623"/>
      <c r="C59" s="1575">
        <v>100</v>
      </c>
      <c r="D59" s="511">
        <v>99</v>
      </c>
      <c r="E59" s="512">
        <v>98</v>
      </c>
      <c r="F59" s="511">
        <v>97</v>
      </c>
      <c r="G59" s="512">
        <v>96</v>
      </c>
      <c r="H59" s="511">
        <v>95</v>
      </c>
      <c r="I59" s="512">
        <v>94</v>
      </c>
      <c r="J59" s="511">
        <v>93</v>
      </c>
      <c r="K59" s="512">
        <v>92</v>
      </c>
      <c r="L59" s="511">
        <v>91</v>
      </c>
      <c r="M59" s="512">
        <v>90</v>
      </c>
      <c r="N59" s="511">
        <v>89</v>
      </c>
      <c r="O59" s="512">
        <v>88</v>
      </c>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t="str">
        <f>C9</f>
        <v>住宅</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v>0</v>
      </c>
      <c r="D68" s="549">
        <v>1</v>
      </c>
      <c r="E68" s="549">
        <v>2</v>
      </c>
      <c r="F68" s="549">
        <v>3</v>
      </c>
      <c r="G68" s="549">
        <v>4</v>
      </c>
      <c r="H68" s="549"/>
      <c r="I68" s="549"/>
      <c r="J68" s="549"/>
      <c r="K68" s="550"/>
      <c r="L68" s="551"/>
      <c r="M68" s="552"/>
      <c r="N68" s="1155"/>
      <c r="O68" s="1155"/>
      <c r="P68" s="262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26"/>
      <c r="Q85" s="504"/>
    </row>
    <row r="86" spans="1:17" s="117" customFormat="1" ht="15.75" thickTop="1">
      <c r="A86" s="579"/>
      <c r="B86" s="538" t="s">
        <v>2603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2604</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2556</v>
      </c>
      <c r="B100" s="528" t="s">
        <v>2605</v>
      </c>
      <c r="C100" s="2943" t="s">
        <v>3215</v>
      </c>
      <c r="D100" s="2943" t="s">
        <v>3216</v>
      </c>
      <c r="E100" s="2943" t="s">
        <v>3217</v>
      </c>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6"/>
      <c r="Q101" s="504"/>
    </row>
    <row r="102" spans="1:17" ht="29.25" thickTop="1">
      <c r="A102" s="534"/>
      <c r="B102" s="538" t="s">
        <v>2606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200000</v>
      </c>
      <c r="F103" s="595">
        <v>300000</v>
      </c>
      <c r="G103" s="595"/>
      <c r="H103" s="595"/>
      <c r="I103" s="595"/>
      <c r="J103" s="596"/>
      <c r="K103" s="596"/>
      <c r="L103" s="597"/>
      <c r="M103" s="598"/>
      <c r="N103" s="1157"/>
      <c r="O103" s="1157"/>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27"/>
      <c r="Q104" s="559"/>
    </row>
    <row r="105" spans="1:17" ht="15" thickTop="1">
      <c r="A105" s="599"/>
      <c r="B105" s="538" t="s">
        <v>2607</v>
      </c>
      <c r="C105" s="2957" t="s">
        <v>3218</v>
      </c>
      <c r="D105" s="2957" t="s">
        <v>3219</v>
      </c>
      <c r="E105" s="2958" t="s">
        <v>3220</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6"/>
      <c r="Q106" s="504"/>
    </row>
    <row r="107" spans="1:17" ht="15" thickTop="1">
      <c r="A107" s="599"/>
      <c r="B107" s="538" t="s">
        <v>2608</v>
      </c>
      <c r="C107" s="2958" t="s">
        <v>3221</v>
      </c>
      <c r="D107" s="2958" t="s">
        <v>3222</v>
      </c>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6"/>
      <c r="Q108" s="504"/>
    </row>
    <row r="109" spans="1:17" ht="15" thickTop="1">
      <c r="A109" s="599"/>
      <c r="B109" s="538" t="s">
        <v>2609</v>
      </c>
      <c r="C109" s="2957" t="s">
        <v>3223</v>
      </c>
      <c r="D109" s="2957" t="s">
        <v>3224</v>
      </c>
      <c r="E109" s="2957" t="s">
        <v>3225</v>
      </c>
      <c r="F109" s="2958" t="s">
        <v>3226</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7"/>
      <c r="Q113" s="559"/>
    </row>
    <row r="114" spans="1:17" ht="15" thickTop="1">
      <c r="A114" s="599"/>
      <c r="B114" s="538" t="s">
        <v>2610</v>
      </c>
      <c r="C114" s="2957" t="s">
        <v>3227</v>
      </c>
      <c r="D114" s="2957" t="s">
        <v>3228</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6"/>
      <c r="Q115" s="504"/>
    </row>
    <row r="116" spans="1:17" ht="15" thickTop="1">
      <c r="A116" s="599"/>
      <c r="B116" s="538" t="s">
        <v>2611</v>
      </c>
      <c r="C116" s="2957" t="s">
        <v>3230</v>
      </c>
      <c r="D116" s="2957" t="s">
        <v>3229</v>
      </c>
      <c r="E116" s="2957" t="s">
        <v>3231</v>
      </c>
      <c r="F116" s="2957" t="s">
        <v>3232</v>
      </c>
      <c r="G116" s="2957" t="s">
        <v>3233</v>
      </c>
      <c r="H116" s="583"/>
      <c r="I116" s="583"/>
      <c r="J116" s="583"/>
      <c r="K116" s="584"/>
      <c r="L116" s="585"/>
      <c r="M116" s="586"/>
      <c r="N116" s="1155"/>
      <c r="O116" s="1155"/>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6"/>
      <c r="Q117" s="504"/>
    </row>
    <row r="118" spans="1:17" ht="15" thickTop="1">
      <c r="A118" s="599"/>
      <c r="B118" s="538" t="s">
        <v>2612</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2613</v>
      </c>
      <c r="C122" s="2957" t="s">
        <v>3223</v>
      </c>
      <c r="D122" s="2957" t="s">
        <v>3224</v>
      </c>
      <c r="E122" s="2957" t="s">
        <v>3225</v>
      </c>
      <c r="F122" s="2958" t="s">
        <v>3226</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7">
        <v>6</v>
      </c>
      <c r="C139" s="1088">
        <v>96</v>
      </c>
      <c r="D139" s="2644" t="s">
        <v>2624</v>
      </c>
      <c r="E139" s="1089">
        <v>100</v>
      </c>
      <c r="F139" s="1090">
        <v>102.5</v>
      </c>
      <c r="G139" s="2644" t="s">
        <v>2624</v>
      </c>
      <c r="H139" s="1091">
        <v>105</v>
      </c>
      <c r="I139" s="2645" t="s">
        <v>2625</v>
      </c>
      <c r="J139" s="1088">
        <v>20</v>
      </c>
      <c r="K139" s="1092">
        <f>C145/(J139-2)</f>
        <v>4.0555555555555553E-3</v>
      </c>
    </row>
    <row r="140" spans="1:17" ht="15">
      <c r="B140" s="1093">
        <v>5</v>
      </c>
      <c r="C140" s="1094">
        <v>100</v>
      </c>
      <c r="D140" s="1094"/>
      <c r="E140" s="1095"/>
      <c r="F140" s="1096">
        <v>102</v>
      </c>
      <c r="G140" s="1094"/>
      <c r="H140" s="1097"/>
      <c r="I140" s="2646" t="s">
        <v>2626</v>
      </c>
      <c r="J140" s="315">
        <f>ROUNDUP((J139-1)/2,0)</f>
        <v>10</v>
      </c>
      <c r="K140" s="1098">
        <v>100</v>
      </c>
    </row>
    <row r="141" spans="1:17" ht="15">
      <c r="B141" s="1093">
        <v>4</v>
      </c>
      <c r="C141" s="1094">
        <v>102</v>
      </c>
      <c r="D141" s="1094"/>
      <c r="E141" s="1095"/>
      <c r="F141" s="1096">
        <v>101.5</v>
      </c>
      <c r="G141" s="1094"/>
      <c r="H141" s="1097"/>
      <c r="I141" s="2646" t="s">
        <v>2627</v>
      </c>
      <c r="J141" s="315">
        <v>1</v>
      </c>
      <c r="K141" s="1099">
        <f>ROUND(100+(J141-J140)*K139*100,1)</f>
        <v>96.4</v>
      </c>
    </row>
    <row r="142" spans="1:17" ht="15">
      <c r="B142" s="1093">
        <v>3</v>
      </c>
      <c r="C142" s="1094">
        <v>103</v>
      </c>
      <c r="D142" s="1094"/>
      <c r="E142" s="1095"/>
      <c r="F142" s="1096">
        <v>101</v>
      </c>
      <c r="G142" s="1094"/>
      <c r="H142" s="1097"/>
      <c r="I142" s="2646" t="s">
        <v>2628</v>
      </c>
      <c r="J142" s="315">
        <f>J139</f>
        <v>20</v>
      </c>
      <c r="K142" s="1100">
        <v>95</v>
      </c>
    </row>
    <row r="143" spans="1:17" ht="15">
      <c r="B143" s="1093">
        <v>2</v>
      </c>
      <c r="C143" s="1094">
        <v>100</v>
      </c>
      <c r="D143" s="1094"/>
      <c r="E143" s="1095"/>
      <c r="F143" s="1096">
        <v>100.5</v>
      </c>
      <c r="G143" s="1094"/>
      <c r="H143" s="1097"/>
      <c r="I143" s="2646" t="s">
        <v>2629</v>
      </c>
      <c r="J143" s="1094">
        <v>15</v>
      </c>
      <c r="K143" s="1099">
        <f>ROUND(100+(J143-J140)*K139*100,1)</f>
        <v>102</v>
      </c>
    </row>
    <row r="144" spans="1:17" ht="15">
      <c r="B144" s="1093">
        <v>1</v>
      </c>
      <c r="C144" s="1094">
        <v>98</v>
      </c>
      <c r="D144" s="2647" t="s">
        <v>2630</v>
      </c>
      <c r="E144" s="1095">
        <v>102</v>
      </c>
      <c r="F144" s="1101">
        <v>100</v>
      </c>
      <c r="G144" s="2647" t="s">
        <v>2630</v>
      </c>
      <c r="H144" s="1097">
        <v>105</v>
      </c>
      <c r="I144" s="2646" t="s">
        <v>2629</v>
      </c>
      <c r="J144" s="1094">
        <v>18</v>
      </c>
      <c r="K144" s="1099">
        <f>ROUND(100+(J144-J140)*K139*100,1)</f>
        <v>103.2</v>
      </c>
    </row>
    <row r="145" spans="2:11" ht="15.75" thickBot="1">
      <c r="B145" s="2648" t="s">
        <v>2631</v>
      </c>
      <c r="C145" s="1102">
        <f>ROUND(MAX(C139:C144)/MIN(C139:C144)-1,3)</f>
        <v>7.2999999999999995E-2</v>
      </c>
      <c r="D145" s="1103"/>
      <c r="E145" s="1103"/>
      <c r="F145" s="2649" t="s">
        <v>2632</v>
      </c>
      <c r="G145" s="2650"/>
      <c r="H145" s="2651"/>
      <c r="I145" s="2652" t="s">
        <v>2629</v>
      </c>
      <c r="J145" s="1104">
        <v>8</v>
      </c>
      <c r="K145" s="1105">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1611</v>
      </c>
    </row>
    <row r="2" spans="1:1">
      <c r="A2" s="1948"/>
    </row>
    <row r="3" spans="1:1" ht="18">
      <c r="A3" s="1949" t="str">
        <f>项目基本情况!B5&amp;"："</f>
        <v>天津融町房地产开发有限公司：</v>
      </c>
    </row>
    <row r="4" spans="1:1" ht="36">
      <c r="A4" s="1950" t="str">
        <f>"受贵公司委托，我公司对"&amp;项目基本情况!S1&amp;"进行了预评估。"</f>
        <v>受贵公司委托，我公司对天津市津南区北闸口镇出让国有建设用地使用权及在建建筑物房地产抵押价值进行了预评估。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2018年9月14日（评估专业人员实地查勘之日）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2635</v>
      </c>
      <c r="C1" s="1636" t="s">
        <v>2523</v>
      </c>
      <c r="D1" s="1623"/>
      <c r="E1" s="2653"/>
      <c r="F1" s="2580"/>
      <c r="G1" s="1633" t="s">
        <v>2636</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2323</v>
      </c>
      <c r="B2" s="1421" t="e">
        <f ca="1">IF(C2="——",ROUND(C49*D3/10000,0),ROUND(C49*D3/10000,0)-D2)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2325</v>
      </c>
      <c r="B3" s="609" t="e">
        <f ca="1">IF(C2="——",C49,ROUND(B2*10000/D3,0))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3"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3"/>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3"/>
      <c r="AC6" s="3176"/>
    </row>
    <row r="7" spans="1:29" s="117" customFormat="1" ht="15.75" thickBot="1">
      <c r="A7" s="408" t="s">
        <v>2541</v>
      </c>
      <c r="B7" s="409"/>
      <c r="C7" s="410">
        <f>'数据-取费表'!B2</f>
        <v>43357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2552</v>
      </c>
      <c r="B15" s="69" t="s">
        <v>2646</v>
      </c>
      <c r="C15" s="2599"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2553</v>
      </c>
      <c r="Q15" s="1812" t="str">
        <f t="shared" si="6"/>
        <v>商业繁华度</v>
      </c>
      <c r="R15" s="774" t="s">
        <v>17</v>
      </c>
      <c r="S15" s="775">
        <f t="shared" si="0"/>
        <v>100</v>
      </c>
      <c r="T15" s="774" t="s">
        <v>17</v>
      </c>
      <c r="U15" s="775">
        <f t="shared" si="1"/>
        <v>100</v>
      </c>
      <c r="V15" s="774" t="s">
        <v>17</v>
      </c>
      <c r="W15" s="775">
        <f t="shared" si="2"/>
        <v>100</v>
      </c>
      <c r="X15" s="1815"/>
      <c r="Y15" s="3169"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1813">
        <v>1</v>
      </c>
    </row>
    <row r="19" spans="1:29" ht="42.75">
      <c r="A19" s="428"/>
      <c r="B19" s="451" t="s">
        <v>2647</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1813">
        <v>1</v>
      </c>
    </row>
    <row r="21" spans="1:29" ht="42.75">
      <c r="A21" s="428"/>
      <c r="B21" s="1387" t="s">
        <v>2648</v>
      </c>
      <c r="C21" s="2603"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37"/>
      <c r="Q22" s="1812"/>
      <c r="R22" s="774"/>
      <c r="S22" s="775"/>
      <c r="T22" s="774"/>
      <c r="U22" s="775"/>
      <c r="V22" s="774"/>
      <c r="W22" s="775"/>
      <c r="X22" s="1815"/>
      <c r="Y22" s="3170"/>
      <c r="Z22" s="1816"/>
      <c r="AA22" s="1813">
        <v>1</v>
      </c>
      <c r="AB22" s="1813">
        <v>1</v>
      </c>
      <c r="AC22" s="1813">
        <v>1</v>
      </c>
    </row>
    <row r="23" spans="1:29" ht="114">
      <c r="A23" s="428"/>
      <c r="B23" s="451" t="s">
        <v>2097</v>
      </c>
      <c r="C23" s="2660" t="str">
        <f>估价对象房地状况!C9</f>
        <v>估价对象所在区域有月牙河公园，自然状况一般；所在区域无人文设施，人文环境较差；综合评价环境状况较差。</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2" t="str">
        <f>B23</f>
        <v>自然及人文环境</v>
      </c>
      <c r="R23" s="774" t="s">
        <v>17</v>
      </c>
      <c r="S23" s="775">
        <f>F23</f>
        <v>100</v>
      </c>
      <c r="T23" s="774" t="s">
        <v>17</v>
      </c>
      <c r="U23" s="775">
        <f>H23</f>
        <v>100</v>
      </c>
      <c r="V23" s="774" t="s">
        <v>17</v>
      </c>
      <c r="W23" s="775">
        <f>J23</f>
        <v>100</v>
      </c>
      <c r="X23" s="1815"/>
      <c r="Y23" s="3170"/>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2" t="str">
        <f t="shared" ref="Q25:Q46" si="11">B25</f>
        <v>临街状况</v>
      </c>
      <c r="R25" s="774" t="s">
        <v>17</v>
      </c>
      <c r="S25" s="775">
        <f>F25</f>
        <v>100</v>
      </c>
      <c r="T25" s="774" t="s">
        <v>17</v>
      </c>
      <c r="U25" s="775">
        <f>H25</f>
        <v>100</v>
      </c>
      <c r="V25" s="774" t="s">
        <v>17</v>
      </c>
      <c r="W25" s="775">
        <f>J25</f>
        <v>100</v>
      </c>
      <c r="X25" s="1815"/>
      <c r="Y25" s="3170"/>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2" t="str">
        <f t="shared" si="11"/>
        <v>平面位置/可视性</v>
      </c>
      <c r="R26" s="774" t="s">
        <v>17</v>
      </c>
      <c r="S26" s="775">
        <f>F26</f>
        <v>100</v>
      </c>
      <c r="T26" s="774" t="s">
        <v>17</v>
      </c>
      <c r="U26" s="775">
        <f>H26</f>
        <v>100</v>
      </c>
      <c r="V26" s="774" t="s">
        <v>17</v>
      </c>
      <c r="W26" s="775">
        <f>J26</f>
        <v>100</v>
      </c>
      <c r="X26" s="1815"/>
      <c r="Y26" s="3170"/>
      <c r="Z26" s="1816" t="str">
        <f>Q26</f>
        <v>平面位置/可视性</v>
      </c>
      <c r="AA26" s="1813">
        <f t="shared" si="3"/>
        <v>1</v>
      </c>
      <c r="AB26" s="1813">
        <f t="shared" si="4"/>
        <v>1</v>
      </c>
      <c r="AC26" s="1813">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37"/>
      <c r="Q27" s="1797" t="str">
        <f t="shared" si="11"/>
        <v>人流量</v>
      </c>
      <c r="R27" s="770" t="s">
        <v>17</v>
      </c>
      <c r="S27" s="771">
        <f>F27</f>
        <v>100</v>
      </c>
      <c r="T27" s="770" t="s">
        <v>17</v>
      </c>
      <c r="U27" s="771">
        <f>H27</f>
        <v>100</v>
      </c>
      <c r="V27" s="770" t="s">
        <v>17</v>
      </c>
      <c r="W27" s="771">
        <f>J27</f>
        <v>100</v>
      </c>
      <c r="X27" s="772"/>
      <c r="Y27" s="3170"/>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2">
        <f t="shared" si="11"/>
        <v>111</v>
      </c>
      <c r="R29" s="774" t="s">
        <v>17</v>
      </c>
      <c r="S29" s="775">
        <f t="shared" si="12"/>
        <v>100</v>
      </c>
      <c r="T29" s="774" t="s">
        <v>17</v>
      </c>
      <c r="U29" s="775">
        <f t="shared" si="13"/>
        <v>100</v>
      </c>
      <c r="V29" s="774" t="s">
        <v>17</v>
      </c>
      <c r="W29" s="775">
        <f t="shared" si="14"/>
        <v>100</v>
      </c>
      <c r="X29" s="1815"/>
      <c r="Y29" s="317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1813">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2" t="s">
        <v>2558</v>
      </c>
      <c r="Q32" s="1812" t="str">
        <f t="shared" si="11"/>
        <v>商业类型</v>
      </c>
      <c r="R32" s="774" t="s">
        <v>17</v>
      </c>
      <c r="S32" s="775">
        <f t="shared" si="12"/>
        <v>100</v>
      </c>
      <c r="T32" s="774" t="s">
        <v>17</v>
      </c>
      <c r="U32" s="775">
        <f t="shared" si="13"/>
        <v>100</v>
      </c>
      <c r="V32" s="774" t="s">
        <v>17</v>
      </c>
      <c r="W32" s="775">
        <f t="shared" si="14"/>
        <v>100</v>
      </c>
      <c r="X32" s="1815"/>
      <c r="Y32" s="3172"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3" t="e">
        <f t="shared" si="3"/>
        <v>#N/A</v>
      </c>
      <c r="AB33" s="1813" t="e">
        <f t="shared" si="4"/>
        <v>#N/A</v>
      </c>
      <c r="AC33" s="1813"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3"/>
      <c r="Q34" s="1812" t="str">
        <f t="shared" si="11"/>
        <v>建筑结构</v>
      </c>
      <c r="R34" s="774" t="s">
        <v>17</v>
      </c>
      <c r="S34" s="775">
        <f t="shared" si="12"/>
        <v>100</v>
      </c>
      <c r="T34" s="774" t="s">
        <v>17</v>
      </c>
      <c r="U34" s="775">
        <f t="shared" si="13"/>
        <v>100</v>
      </c>
      <c r="V34" s="774" t="s">
        <v>17</v>
      </c>
      <c r="W34" s="775">
        <f t="shared" si="14"/>
        <v>100</v>
      </c>
      <c r="X34" s="1815"/>
      <c r="Y34" s="3172"/>
      <c r="Z34" s="1816" t="str">
        <f t="shared" si="15"/>
        <v>建筑结构</v>
      </c>
      <c r="AA34" s="1813">
        <f t="shared" si="3"/>
        <v>1</v>
      </c>
      <c r="AB34" s="1813">
        <f t="shared" si="4"/>
        <v>1</v>
      </c>
      <c r="AC34" s="1813">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3"/>
      <c r="Q35" s="1812" t="str">
        <f t="shared" si="11"/>
        <v>公共部分装修</v>
      </c>
      <c r="R35" s="774" t="s">
        <v>17</v>
      </c>
      <c r="S35" s="775">
        <f t="shared" si="12"/>
        <v>100</v>
      </c>
      <c r="T35" s="774" t="s">
        <v>17</v>
      </c>
      <c r="U35" s="775">
        <f t="shared" si="13"/>
        <v>100</v>
      </c>
      <c r="V35" s="774" t="s">
        <v>17</v>
      </c>
      <c r="W35" s="775">
        <f t="shared" si="14"/>
        <v>100</v>
      </c>
      <c r="X35" s="1815"/>
      <c r="Y35" s="3172"/>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2" t="str">
        <f t="shared" si="11"/>
        <v>成新度</v>
      </c>
      <c r="R36" s="774" t="s">
        <v>17</v>
      </c>
      <c r="S36" s="775" t="e">
        <f t="shared" si="12"/>
        <v>#N/A</v>
      </c>
      <c r="T36" s="774" t="s">
        <v>17</v>
      </c>
      <c r="U36" s="775" t="e">
        <f t="shared" si="13"/>
        <v>#N/A</v>
      </c>
      <c r="V36" s="774" t="s">
        <v>17</v>
      </c>
      <c r="W36" s="775" t="e">
        <f t="shared" si="14"/>
        <v>#N/A</v>
      </c>
      <c r="X36" s="1815"/>
      <c r="Y36" s="3172"/>
      <c r="Z36" s="1816" t="str">
        <f t="shared" si="15"/>
        <v>成新度</v>
      </c>
      <c r="AA36" s="1813" t="e">
        <f t="shared" si="3"/>
        <v>#N/A</v>
      </c>
      <c r="AB36" s="1813" t="e">
        <f t="shared" si="4"/>
        <v>#N/A</v>
      </c>
      <c r="AC36" s="1813"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3"/>
      <c r="Q37" s="1797"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3" t="s">
        <v>2558</v>
      </c>
      <c r="Q38" s="1812" t="str">
        <f t="shared" si="11"/>
        <v>业态</v>
      </c>
      <c r="R38" s="774" t="s">
        <v>17</v>
      </c>
      <c r="S38" s="775">
        <f t="shared" si="12"/>
        <v>100</v>
      </c>
      <c r="T38" s="774" t="s">
        <v>17</v>
      </c>
      <c r="U38" s="775">
        <f t="shared" si="13"/>
        <v>100</v>
      </c>
      <c r="V38" s="774" t="s">
        <v>17</v>
      </c>
      <c r="W38" s="775">
        <f t="shared" si="14"/>
        <v>100</v>
      </c>
      <c r="X38" s="1815"/>
      <c r="Y38" s="3172" t="s">
        <v>2558</v>
      </c>
      <c r="Z38" s="1816" t="str">
        <f t="shared" si="15"/>
        <v>业态</v>
      </c>
      <c r="AA38" s="1813">
        <f t="shared" si="3"/>
        <v>1</v>
      </c>
      <c r="AB38" s="1813">
        <f t="shared" si="4"/>
        <v>1</v>
      </c>
      <c r="AC38" s="1813">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3"/>
      <c r="Q39" s="1812" t="str">
        <f t="shared" si="11"/>
        <v>层高</v>
      </c>
      <c r="R39" s="774" t="s">
        <v>17</v>
      </c>
      <c r="S39" s="775">
        <f t="shared" si="12"/>
        <v>100</v>
      </c>
      <c r="T39" s="774" t="s">
        <v>17</v>
      </c>
      <c r="U39" s="775">
        <f t="shared" si="13"/>
        <v>100</v>
      </c>
      <c r="V39" s="774" t="s">
        <v>17</v>
      </c>
      <c r="W39" s="775">
        <f t="shared" si="14"/>
        <v>100</v>
      </c>
      <c r="X39" s="1815"/>
      <c r="Y39" s="3172"/>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2" t="str">
        <f t="shared" si="11"/>
        <v>单套建筑面积</v>
      </c>
      <c r="R40" s="774" t="s">
        <v>17</v>
      </c>
      <c r="S40" s="775">
        <f t="shared" si="12"/>
        <v>100</v>
      </c>
      <c r="T40" s="774" t="s">
        <v>17</v>
      </c>
      <c r="U40" s="775">
        <f t="shared" si="13"/>
        <v>100</v>
      </c>
      <c r="V40" s="774" t="s">
        <v>17</v>
      </c>
      <c r="W40" s="775">
        <f t="shared" si="14"/>
        <v>100</v>
      </c>
      <c r="X40" s="1815"/>
      <c r="Y40" s="3172"/>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3">
        <f t="shared" si="3"/>
        <v>1</v>
      </c>
      <c r="AB41" s="1813">
        <f t="shared" si="4"/>
        <v>1</v>
      </c>
      <c r="AC41" s="1813">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3"/>
      <c r="Q42" s="1812" t="str">
        <f t="shared" si="11"/>
        <v>内部装修</v>
      </c>
      <c r="R42" s="774" t="s">
        <v>17</v>
      </c>
      <c r="S42" s="775">
        <f t="shared" si="12"/>
        <v>100</v>
      </c>
      <c r="T42" s="774" t="s">
        <v>17</v>
      </c>
      <c r="U42" s="775">
        <f t="shared" si="13"/>
        <v>100</v>
      </c>
      <c r="V42" s="774" t="s">
        <v>17</v>
      </c>
      <c r="W42" s="775">
        <f t="shared" si="14"/>
        <v>100</v>
      </c>
      <c r="X42" s="1815"/>
      <c r="Y42" s="3172"/>
      <c r="Z42" s="1816" t="str">
        <f t="shared" si="15"/>
        <v>内部装修</v>
      </c>
      <c r="AA42" s="1813">
        <f t="shared" si="3"/>
        <v>1</v>
      </c>
      <c r="AB42" s="1813">
        <f t="shared" si="4"/>
        <v>1</v>
      </c>
      <c r="AC42" s="1813">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3"/>
      <c r="Q43" s="1812" t="str">
        <f t="shared" si="11"/>
        <v>内部装修维护情况</v>
      </c>
      <c r="R43" s="774" t="s">
        <v>17</v>
      </c>
      <c r="S43" s="775">
        <f t="shared" si="12"/>
        <v>100</v>
      </c>
      <c r="T43" s="774" t="s">
        <v>17</v>
      </c>
      <c r="U43" s="775">
        <f t="shared" si="13"/>
        <v>100</v>
      </c>
      <c r="V43" s="774" t="s">
        <v>17</v>
      </c>
      <c r="W43" s="775">
        <f t="shared" si="14"/>
        <v>100</v>
      </c>
      <c r="X43" s="1815"/>
      <c r="Y43" s="317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7">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2">
        <f t="shared" si="11"/>
        <v>111</v>
      </c>
      <c r="R45" s="774" t="s">
        <v>17</v>
      </c>
      <c r="S45" s="775">
        <f t="shared" si="12"/>
        <v>100</v>
      </c>
      <c r="T45" s="774" t="s">
        <v>17</v>
      </c>
      <c r="U45" s="775">
        <f t="shared" si="13"/>
        <v>100</v>
      </c>
      <c r="V45" s="774" t="s">
        <v>17</v>
      </c>
      <c r="W45" s="775">
        <f t="shared" si="14"/>
        <v>100</v>
      </c>
      <c r="X45" s="1815"/>
      <c r="Y45" s="3172"/>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2">
        <f t="shared" si="11"/>
        <v>111</v>
      </c>
      <c r="R46" s="774" t="s">
        <v>17</v>
      </c>
      <c r="S46" s="775">
        <f t="shared" si="12"/>
        <v>100</v>
      </c>
      <c r="T46" s="774" t="s">
        <v>17</v>
      </c>
      <c r="U46" s="775">
        <f t="shared" si="13"/>
        <v>100</v>
      </c>
      <c r="V46" s="774" t="s">
        <v>17</v>
      </c>
      <c r="W46" s="775">
        <f t="shared" si="14"/>
        <v>100</v>
      </c>
      <c r="X46" s="1815"/>
      <c r="Y46" s="3235"/>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167" t="str">
        <f>A47</f>
        <v>成交单价（元/平方米）</v>
      </c>
      <c r="Q47" s="3167"/>
      <c r="R47" s="3173">
        <f>E47</f>
        <v>0</v>
      </c>
      <c r="S47" s="3173"/>
      <c r="T47" s="3173">
        <f>G47</f>
        <v>0</v>
      </c>
      <c r="U47" s="3173"/>
      <c r="V47" s="3173">
        <f>I47</f>
        <v>0</v>
      </c>
      <c r="W47" s="3173"/>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2541</v>
      </c>
      <c r="B58" s="506"/>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2556</v>
      </c>
      <c r="B100" s="528" t="s">
        <v>2674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2607</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2609</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2675</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2676</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2677</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2613</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2679</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246" t="s">
        <v>2644</v>
      </c>
      <c r="Q4" s="3247"/>
      <c r="R4" s="3250" t="s">
        <v>2640</v>
      </c>
      <c r="S4" s="3251"/>
      <c r="T4" s="3250" t="s">
        <v>2641</v>
      </c>
      <c r="U4" s="3251"/>
      <c r="V4" s="3252" t="s">
        <v>2642</v>
      </c>
      <c r="W4" s="3252"/>
      <c r="X4" s="2666"/>
      <c r="Y4" s="3250" t="s">
        <v>2644</v>
      </c>
      <c r="Z4" s="3251"/>
      <c r="AA4" s="3254" t="s">
        <v>2640</v>
      </c>
      <c r="AB4" s="3254" t="s">
        <v>2641</v>
      </c>
      <c r="AC4" s="3243" t="s">
        <v>2642</v>
      </c>
    </row>
    <row r="5" spans="1:29" ht="15">
      <c r="A5" s="404"/>
      <c r="B5" s="405"/>
      <c r="C5" s="3194" t="s">
        <v>2535</v>
      </c>
      <c r="D5" s="3195"/>
      <c r="E5" s="3201" t="s">
        <v>2536</v>
      </c>
      <c r="F5" s="3202"/>
      <c r="G5" s="3194" t="s">
        <v>2537</v>
      </c>
      <c r="H5" s="3195"/>
      <c r="I5" s="3194" t="s">
        <v>2538</v>
      </c>
      <c r="J5" s="3195"/>
      <c r="K5" s="610"/>
      <c r="L5" s="1133"/>
      <c r="M5" s="1134"/>
      <c r="N5" s="1134"/>
      <c r="O5" s="1134"/>
      <c r="P5" s="3248"/>
      <c r="Q5" s="3183"/>
      <c r="R5" s="3188"/>
      <c r="S5" s="3189"/>
      <c r="T5" s="3188"/>
      <c r="U5" s="3189"/>
      <c r="V5" s="3173"/>
      <c r="W5" s="3173"/>
      <c r="X5" s="1815"/>
      <c r="Y5" s="3188"/>
      <c r="Z5" s="3189"/>
      <c r="AA5" s="3175"/>
      <c r="AB5" s="3175"/>
      <c r="AC5" s="3244"/>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249"/>
      <c r="Q6" s="3185"/>
      <c r="R6" s="3188"/>
      <c r="S6" s="3189"/>
      <c r="T6" s="3190"/>
      <c r="U6" s="3191"/>
      <c r="V6" s="3173"/>
      <c r="W6" s="3173"/>
      <c r="X6" s="1815"/>
      <c r="Y6" s="3190"/>
      <c r="Z6" s="3191"/>
      <c r="AA6" s="3176"/>
      <c r="AB6" s="3176"/>
      <c r="AC6" s="3245"/>
    </row>
    <row r="7" spans="1:29" s="117" customFormat="1" ht="15.75" thickBot="1">
      <c r="A7" s="408" t="s">
        <v>2541</v>
      </c>
      <c r="B7" s="409"/>
      <c r="C7" s="410">
        <f>'数据-取费表'!B2</f>
        <v>43357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2545</v>
      </c>
      <c r="Q8" s="3197"/>
      <c r="R8" s="770" t="s">
        <v>17</v>
      </c>
      <c r="S8" s="771">
        <f t="shared" si="0"/>
        <v>0</v>
      </c>
      <c r="T8" s="770" t="s">
        <v>17</v>
      </c>
      <c r="U8" s="771">
        <f t="shared" si="1"/>
        <v>0</v>
      </c>
      <c r="V8" s="770" t="s">
        <v>17</v>
      </c>
      <c r="W8" s="771">
        <f t="shared" si="2"/>
        <v>0</v>
      </c>
      <c r="X8" s="772"/>
      <c r="Y8" s="3196" t="s">
        <v>2545</v>
      </c>
      <c r="Z8" s="3197"/>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7">
        <f t="shared" si="5"/>
        <v>1</v>
      </c>
    </row>
    <row r="15" spans="1:29" ht="15">
      <c r="A15" s="440" t="s">
        <v>2552</v>
      </c>
      <c r="B15" s="629" t="s">
        <v>2680</v>
      </c>
      <c r="C15" s="2669"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2553</v>
      </c>
      <c r="Q15" s="1812" t="str">
        <f t="shared" si="6"/>
        <v>办公集聚程度</v>
      </c>
      <c r="R15" s="774" t="s">
        <v>17</v>
      </c>
      <c r="S15" s="775">
        <f t="shared" si="0"/>
        <v>100</v>
      </c>
      <c r="T15" s="774" t="s">
        <v>17</v>
      </c>
      <c r="U15" s="775">
        <f t="shared" si="1"/>
        <v>100</v>
      </c>
      <c r="V15" s="774" t="s">
        <v>17</v>
      </c>
      <c r="W15" s="775">
        <f t="shared" si="2"/>
        <v>100</v>
      </c>
      <c r="X15" s="1815"/>
      <c r="Y15" s="3169" t="s">
        <v>2553</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2670">
        <v>1</v>
      </c>
    </row>
    <row r="17" spans="1:29" ht="99.75">
      <c r="A17" s="428"/>
      <c r="B17" s="631" t="s">
        <v>2092</v>
      </c>
      <c r="C17" s="2671" t="str">
        <f>估价对象房地状况!C6</f>
        <v>估价对象周边有152路、208路等公交线路，周边路网密集程度一般，停车便捷程度一般，综合评价交通便捷度一般。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2670">
        <v>1</v>
      </c>
    </row>
    <row r="19" spans="1:29" ht="42.75">
      <c r="A19" s="428"/>
      <c r="B19" s="631" t="s">
        <v>2681</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2670">
        <v>1</v>
      </c>
    </row>
    <row r="21" spans="1:29" ht="42.75">
      <c r="A21" s="428"/>
      <c r="B21" s="633" t="s">
        <v>2682</v>
      </c>
      <c r="C21" s="2671"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37"/>
      <c r="Q22" s="1812"/>
      <c r="R22" s="774"/>
      <c r="S22" s="775"/>
      <c r="T22" s="774"/>
      <c r="U22" s="775"/>
      <c r="V22" s="774"/>
      <c r="W22" s="775"/>
      <c r="X22" s="1815"/>
      <c r="Y22" s="3170"/>
      <c r="Z22" s="1816"/>
      <c r="AA22" s="1813">
        <v>1</v>
      </c>
      <c r="AB22" s="1813">
        <v>1</v>
      </c>
      <c r="AC22" s="2670">
        <v>1</v>
      </c>
    </row>
    <row r="23" spans="1:29" ht="99.75">
      <c r="A23" s="428"/>
      <c r="B23" s="631" t="s">
        <v>2683</v>
      </c>
      <c r="C23" s="2671" t="str">
        <f>估价对象房地状况!C9</f>
        <v>估价对象所在区域有月牙河公园，自然状况一般；所在区域无人文设施，人文环境较差；综合评价环境状况较差。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37"/>
      <c r="Q25" s="1812" t="str">
        <f>B25</f>
        <v>毗邻道路的类型与等级</v>
      </c>
      <c r="R25" s="774" t="s">
        <v>17</v>
      </c>
      <c r="S25" s="775">
        <f>F25</f>
        <v>100</v>
      </c>
      <c r="T25" s="774" t="s">
        <v>17</v>
      </c>
      <c r="U25" s="775">
        <f>H25</f>
        <v>100</v>
      </c>
      <c r="V25" s="774" t="s">
        <v>17</v>
      </c>
      <c r="W25" s="775">
        <f>J25</f>
        <v>100</v>
      </c>
      <c r="X25" s="1815"/>
      <c r="Y25" s="3170"/>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37"/>
      <c r="Q26" s="1812"/>
      <c r="R26" s="774"/>
      <c r="S26" s="775"/>
      <c r="T26" s="774"/>
      <c r="U26" s="775"/>
      <c r="V26" s="774"/>
      <c r="W26" s="775"/>
      <c r="X26" s="1815"/>
      <c r="Y26" s="3170"/>
      <c r="Z26" s="1816"/>
      <c r="AA26" s="1813">
        <v>1</v>
      </c>
      <c r="AB26" s="1813">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2" t="str">
        <f t="shared" ref="Q27:Q47" si="11">B27</f>
        <v>楼层</v>
      </c>
      <c r="R27" s="774" t="s">
        <v>17</v>
      </c>
      <c r="S27" s="775">
        <f>F27</f>
        <v>100</v>
      </c>
      <c r="T27" s="774" t="s">
        <v>17</v>
      </c>
      <c r="U27" s="775">
        <f>H27</f>
        <v>100</v>
      </c>
      <c r="V27" s="774" t="s">
        <v>17</v>
      </c>
      <c r="W27" s="775">
        <f>J27</f>
        <v>100</v>
      </c>
      <c r="X27" s="1815"/>
      <c r="Y27" s="3170"/>
      <c r="Z27" s="1816" t="str">
        <f>Q27</f>
        <v>楼层</v>
      </c>
      <c r="AA27" s="1813">
        <f t="shared" si="3"/>
        <v>1</v>
      </c>
      <c r="AB27" s="1813">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7"/>
      <c r="Q28" s="1797" t="str">
        <f t="shared" si="11"/>
        <v>朝向</v>
      </c>
      <c r="R28" s="770" t="s">
        <v>17</v>
      </c>
      <c r="S28" s="771">
        <f>F28</f>
        <v>100</v>
      </c>
      <c r="T28" s="770" t="s">
        <v>17</v>
      </c>
      <c r="U28" s="771">
        <f>H28</f>
        <v>100</v>
      </c>
      <c r="V28" s="770" t="s">
        <v>17</v>
      </c>
      <c r="W28" s="771">
        <f>J28</f>
        <v>100</v>
      </c>
      <c r="X28" s="772"/>
      <c r="Y28" s="3170"/>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7"/>
      <c r="Q29" s="1812">
        <f t="shared" si="11"/>
        <v>111</v>
      </c>
      <c r="R29" s="774" t="s">
        <v>17</v>
      </c>
      <c r="S29" s="775">
        <f t="shared" ref="S29:S47" si="12">F29</f>
        <v>100</v>
      </c>
      <c r="T29" s="774" t="s">
        <v>17</v>
      </c>
      <c r="U29" s="775">
        <f t="shared" ref="U29:U47" si="13">H29</f>
        <v>100</v>
      </c>
      <c r="V29" s="774" t="s">
        <v>17</v>
      </c>
      <c r="W29" s="775">
        <f t="shared" ref="W29:W47" si="14">J29</f>
        <v>100</v>
      </c>
      <c r="X29" s="1815"/>
      <c r="Y29" s="3170"/>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7"/>
      <c r="Q32" s="1812">
        <f t="shared" si="11"/>
        <v>111</v>
      </c>
      <c r="R32" s="774" t="s">
        <v>17</v>
      </c>
      <c r="S32" s="775">
        <f t="shared" si="12"/>
        <v>100</v>
      </c>
      <c r="T32" s="774" t="s">
        <v>17</v>
      </c>
      <c r="U32" s="775">
        <f t="shared" si="13"/>
        <v>100</v>
      </c>
      <c r="V32" s="774" t="s">
        <v>17</v>
      </c>
      <c r="W32" s="775">
        <f t="shared" si="14"/>
        <v>100</v>
      </c>
      <c r="X32" s="1815"/>
      <c r="Y32" s="3170"/>
      <c r="Z32" s="1816">
        <f t="shared" si="15"/>
        <v>111</v>
      </c>
      <c r="AA32" s="1813">
        <f t="shared" si="3"/>
        <v>1</v>
      </c>
      <c r="AB32" s="1813">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2" t="s">
        <v>2558</v>
      </c>
      <c r="Q33" s="1812" t="str">
        <f t="shared" si="11"/>
        <v>建筑类型</v>
      </c>
      <c r="R33" s="774" t="s">
        <v>17</v>
      </c>
      <c r="S33" s="775">
        <f t="shared" si="12"/>
        <v>100</v>
      </c>
      <c r="T33" s="774" t="s">
        <v>17</v>
      </c>
      <c r="U33" s="775">
        <f t="shared" si="13"/>
        <v>100</v>
      </c>
      <c r="V33" s="774" t="s">
        <v>17</v>
      </c>
      <c r="W33" s="775">
        <f t="shared" si="14"/>
        <v>100</v>
      </c>
      <c r="X33" s="1815"/>
      <c r="Y33" s="3172" t="s">
        <v>2558</v>
      </c>
      <c r="Z33" s="1816" t="str">
        <f t="shared" si="15"/>
        <v>建筑类型</v>
      </c>
      <c r="AA33" s="1813">
        <f t="shared" si="3"/>
        <v>1</v>
      </c>
      <c r="AB33" s="1813">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3" t="e">
        <f t="shared" si="3"/>
        <v>#N/A</v>
      </c>
      <c r="AB34" s="1813"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2" t="str">
        <f t="shared" si="11"/>
        <v>建筑结构</v>
      </c>
      <c r="R35" s="774" t="s">
        <v>17</v>
      </c>
      <c r="S35" s="775">
        <f t="shared" si="12"/>
        <v>100</v>
      </c>
      <c r="T35" s="774" t="s">
        <v>17</v>
      </c>
      <c r="U35" s="775">
        <f t="shared" si="13"/>
        <v>100</v>
      </c>
      <c r="V35" s="774" t="s">
        <v>17</v>
      </c>
      <c r="W35" s="775">
        <f t="shared" si="14"/>
        <v>100</v>
      </c>
      <c r="X35" s="1815"/>
      <c r="Y35" s="3172"/>
      <c r="Z35" s="1816" t="str">
        <f t="shared" si="15"/>
        <v>建筑结构</v>
      </c>
      <c r="AA35" s="1813">
        <f t="shared" si="3"/>
        <v>1</v>
      </c>
      <c r="AB35" s="1813">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2" t="str">
        <f t="shared" si="11"/>
        <v>公共部分装修</v>
      </c>
      <c r="R36" s="774" t="s">
        <v>17</v>
      </c>
      <c r="S36" s="775">
        <f t="shared" si="12"/>
        <v>100</v>
      </c>
      <c r="T36" s="774" t="s">
        <v>17</v>
      </c>
      <c r="U36" s="775">
        <f t="shared" si="13"/>
        <v>100</v>
      </c>
      <c r="V36" s="774" t="s">
        <v>17</v>
      </c>
      <c r="W36" s="775">
        <f t="shared" si="14"/>
        <v>100</v>
      </c>
      <c r="X36" s="1815"/>
      <c r="Y36" s="3172"/>
      <c r="Z36" s="1816" t="str">
        <f t="shared" si="15"/>
        <v>公共部分装修</v>
      </c>
      <c r="AA36" s="1813">
        <f t="shared" si="3"/>
        <v>1</v>
      </c>
      <c r="AB36" s="1813">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2" t="str">
        <f t="shared" si="11"/>
        <v>成新度</v>
      </c>
      <c r="R37" s="774" t="s">
        <v>17</v>
      </c>
      <c r="S37" s="775" t="e">
        <f t="shared" si="12"/>
        <v>#N/A</v>
      </c>
      <c r="T37" s="774" t="s">
        <v>17</v>
      </c>
      <c r="U37" s="775" t="e">
        <f t="shared" si="13"/>
        <v>#N/A</v>
      </c>
      <c r="V37" s="774" t="s">
        <v>17</v>
      </c>
      <c r="W37" s="775" t="e">
        <f t="shared" si="14"/>
        <v>#N/A</v>
      </c>
      <c r="X37" s="1815"/>
      <c r="Y37" s="3172"/>
      <c r="Z37" s="1816" t="str">
        <f t="shared" si="15"/>
        <v>成新度</v>
      </c>
      <c r="AA37" s="1813" t="e">
        <f t="shared" si="3"/>
        <v>#N/A</v>
      </c>
      <c r="AB37" s="1813"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7"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2558</v>
      </c>
      <c r="Q39" s="1812" t="str">
        <f t="shared" si="11"/>
        <v>物业管理</v>
      </c>
      <c r="R39" s="774" t="s">
        <v>17</v>
      </c>
      <c r="S39" s="775">
        <f t="shared" si="12"/>
        <v>100</v>
      </c>
      <c r="T39" s="774" t="s">
        <v>17</v>
      </c>
      <c r="U39" s="775">
        <f t="shared" si="13"/>
        <v>100</v>
      </c>
      <c r="V39" s="774" t="s">
        <v>17</v>
      </c>
      <c r="W39" s="775">
        <f t="shared" si="14"/>
        <v>100</v>
      </c>
      <c r="X39" s="1815"/>
      <c r="Y39" s="3172" t="s">
        <v>2558</v>
      </c>
      <c r="Z39" s="1816" t="str">
        <f t="shared" si="15"/>
        <v>物业管理</v>
      </c>
      <c r="AA39" s="1813">
        <f t="shared" si="3"/>
        <v>1</v>
      </c>
      <c r="AB39" s="1813">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2" t="str">
        <f t="shared" si="11"/>
        <v>市政基础设施</v>
      </c>
      <c r="R40" s="774" t="s">
        <v>17</v>
      </c>
      <c r="S40" s="775">
        <f t="shared" si="12"/>
        <v>100</v>
      </c>
      <c r="T40" s="774" t="s">
        <v>17</v>
      </c>
      <c r="U40" s="775">
        <f t="shared" si="13"/>
        <v>100</v>
      </c>
      <c r="V40" s="774" t="s">
        <v>17</v>
      </c>
      <c r="W40" s="775">
        <f t="shared" si="14"/>
        <v>100</v>
      </c>
      <c r="X40" s="1815"/>
      <c r="Y40" s="3172"/>
      <c r="Z40" s="1816" t="str">
        <f t="shared" si="15"/>
        <v>市政基础设施</v>
      </c>
      <c r="AA40" s="1813">
        <f t="shared" si="3"/>
        <v>1</v>
      </c>
      <c r="AB40" s="1813">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2" t="str">
        <f t="shared" si="11"/>
        <v>层高</v>
      </c>
      <c r="R41" s="774" t="s">
        <v>17</v>
      </c>
      <c r="S41" s="775">
        <f t="shared" si="12"/>
        <v>100</v>
      </c>
      <c r="T41" s="774" t="s">
        <v>17</v>
      </c>
      <c r="U41" s="775">
        <f t="shared" si="13"/>
        <v>100</v>
      </c>
      <c r="V41" s="774" t="s">
        <v>17</v>
      </c>
      <c r="W41" s="775">
        <f t="shared" si="14"/>
        <v>100</v>
      </c>
      <c r="X41" s="1815"/>
      <c r="Y41" s="3172"/>
      <c r="Z41" s="1816" t="str">
        <f t="shared" si="15"/>
        <v>层高</v>
      </c>
      <c r="AA41" s="1813">
        <f t="shared" si="3"/>
        <v>1</v>
      </c>
      <c r="AB41" s="1813">
        <f t="shared" si="4"/>
        <v>1</v>
      </c>
      <c r="AC41" s="2670">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3">
        <f t="shared" si="3"/>
        <v>1</v>
      </c>
      <c r="AB42" s="1813">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2" t="str">
        <f t="shared" si="11"/>
        <v>内部装修</v>
      </c>
      <c r="R43" s="774" t="s">
        <v>17</v>
      </c>
      <c r="S43" s="775">
        <f t="shared" si="12"/>
        <v>100</v>
      </c>
      <c r="T43" s="774" t="s">
        <v>17</v>
      </c>
      <c r="U43" s="775">
        <f t="shared" si="13"/>
        <v>100</v>
      </c>
      <c r="V43" s="774" t="s">
        <v>17</v>
      </c>
      <c r="W43" s="775">
        <f t="shared" si="14"/>
        <v>100</v>
      </c>
      <c r="X43" s="1815"/>
      <c r="Y43" s="3172"/>
      <c r="Z43" s="1816" t="str">
        <f t="shared" si="15"/>
        <v>内部装修</v>
      </c>
      <c r="AA43" s="1813">
        <f t="shared" si="3"/>
        <v>1</v>
      </c>
      <c r="AB43" s="1813">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3"/>
      <c r="Q44" s="1812" t="str">
        <f t="shared" si="11"/>
        <v>内部装修维护情况</v>
      </c>
      <c r="R44" s="774" t="s">
        <v>17</v>
      </c>
      <c r="S44" s="775">
        <f t="shared" si="12"/>
        <v>100</v>
      </c>
      <c r="T44" s="774" t="s">
        <v>17</v>
      </c>
      <c r="U44" s="775">
        <f t="shared" si="13"/>
        <v>100</v>
      </c>
      <c r="V44" s="774" t="s">
        <v>17</v>
      </c>
      <c r="W44" s="775">
        <f t="shared" si="14"/>
        <v>100</v>
      </c>
      <c r="X44" s="1815"/>
      <c r="Y44" s="3172"/>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7">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2">
        <f t="shared" si="11"/>
        <v>111</v>
      </c>
      <c r="R47" s="774" t="s">
        <v>17</v>
      </c>
      <c r="S47" s="775">
        <f t="shared" si="12"/>
        <v>100</v>
      </c>
      <c r="T47" s="774" t="s">
        <v>17</v>
      </c>
      <c r="U47" s="775">
        <f t="shared" si="13"/>
        <v>100</v>
      </c>
      <c r="V47" s="774" t="s">
        <v>17</v>
      </c>
      <c r="W47" s="775">
        <f t="shared" si="14"/>
        <v>100</v>
      </c>
      <c r="X47" s="1815"/>
      <c r="Y47" s="3235"/>
      <c r="Z47" s="1816">
        <f t="shared" si="15"/>
        <v>111</v>
      </c>
      <c r="AA47" s="1813">
        <f t="shared" si="3"/>
        <v>1</v>
      </c>
      <c r="AB47" s="1813">
        <f t="shared" si="4"/>
        <v>1</v>
      </c>
      <c r="AC47" s="2670">
        <f t="shared" si="5"/>
        <v>1</v>
      </c>
    </row>
    <row r="48" spans="1:29" ht="15">
      <c r="A48" s="479" t="s">
        <v>2570</v>
      </c>
      <c r="B48" s="480"/>
      <c r="C48" s="1410" t="s">
        <v>1</v>
      </c>
      <c r="D48" s="1411"/>
      <c r="E48" s="1412"/>
      <c r="F48" s="1413"/>
      <c r="G48" s="1414"/>
      <c r="H48" s="1415"/>
      <c r="I48" s="1412"/>
      <c r="J48" s="485"/>
      <c r="K48" s="783"/>
      <c r="L48" s="1146"/>
      <c r="M48" s="1134"/>
      <c r="N48" s="1134"/>
      <c r="O48" s="1134"/>
      <c r="P48" s="3166" t="str">
        <f>A48</f>
        <v>成交单价（元/平方米）</v>
      </c>
      <c r="Q48" s="3167"/>
      <c r="R48" s="3231">
        <f>E48</f>
        <v>0</v>
      </c>
      <c r="S48" s="3231"/>
      <c r="T48" s="3231">
        <f>G48</f>
        <v>0</v>
      </c>
      <c r="U48" s="3231"/>
      <c r="V48" s="3231">
        <f>I48</f>
        <v>0</v>
      </c>
      <c r="W48" s="3231"/>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166" t="str">
        <f>A49</f>
        <v>比较价值（元/平方米）</v>
      </c>
      <c r="Q49" s="316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77"/>
      <c r="Q58" s="504"/>
    </row>
    <row r="59" spans="1:29" s="508" customFormat="1" ht="15">
      <c r="A59" s="505" t="s">
        <v>2541</v>
      </c>
      <c r="B59" s="506"/>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2581</v>
      </c>
      <c r="B64" s="528" t="s">
        <v>2547</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2692</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2556</v>
      </c>
      <c r="B101" s="528" t="s">
        <v>2605</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2607</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2609</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2610</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2611</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2694</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2613</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2695</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2"/>
      <c r="D2" s="1127"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124616.56000000001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0"/>
      <c r="Q16" s="1812"/>
      <c r="R16" s="774"/>
      <c r="S16" s="775"/>
      <c r="T16" s="774"/>
      <c r="U16" s="775"/>
      <c r="V16" s="774"/>
      <c r="W16" s="775"/>
      <c r="X16" s="1815"/>
      <c r="Y16" s="3170"/>
      <c r="Z16" s="1816"/>
      <c r="AA16" s="1813">
        <v>1</v>
      </c>
      <c r="AB16" s="1813">
        <v>1</v>
      </c>
      <c r="AC16" s="1813">
        <v>1</v>
      </c>
    </row>
    <row r="17" spans="1:29" ht="85.5">
      <c r="A17" s="428"/>
      <c r="B17" s="451" t="s">
        <v>2092</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170"/>
      <c r="Q18" s="1812"/>
      <c r="R18" s="774"/>
      <c r="S18" s="775"/>
      <c r="T18" s="774"/>
      <c r="U18" s="775"/>
      <c r="V18" s="774"/>
      <c r="W18" s="775"/>
      <c r="X18" s="1815"/>
      <c r="Y18" s="3170"/>
      <c r="Z18" s="1816"/>
      <c r="AA18" s="1813">
        <v>1</v>
      </c>
      <c r="AB18" s="1813">
        <v>1</v>
      </c>
      <c r="AC18" s="1813">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0"/>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170"/>
      <c r="Q20" s="1812"/>
      <c r="R20" s="774"/>
      <c r="S20" s="775"/>
      <c r="T20" s="774"/>
      <c r="U20" s="775"/>
      <c r="V20" s="774"/>
      <c r="W20" s="775"/>
      <c r="X20" s="1815"/>
      <c r="Y20" s="3170"/>
      <c r="Z20" s="1816"/>
      <c r="AA20" s="1813">
        <v>1</v>
      </c>
      <c r="AB20" s="1813">
        <v>1</v>
      </c>
      <c r="AC20" s="1813">
        <v>1</v>
      </c>
    </row>
    <row r="21" spans="1:29" ht="28.5">
      <c r="A21" s="428"/>
      <c r="B21" s="1387"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0"/>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170"/>
      <c r="Q22" s="1812"/>
      <c r="R22" s="774"/>
      <c r="S22" s="775"/>
      <c r="T22" s="774"/>
      <c r="U22" s="775"/>
      <c r="V22" s="774"/>
      <c r="W22" s="775"/>
      <c r="X22" s="1815"/>
      <c r="Y22" s="3170"/>
      <c r="Z22" s="1816"/>
      <c r="AA22" s="1813">
        <v>1</v>
      </c>
      <c r="AB22" s="1813">
        <v>1</v>
      </c>
      <c r="AC22" s="1813">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0"/>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170"/>
      <c r="Q24" s="1812"/>
      <c r="R24" s="774"/>
      <c r="S24" s="775"/>
      <c r="T24" s="774"/>
      <c r="U24" s="775"/>
      <c r="V24" s="774"/>
      <c r="W24" s="775"/>
      <c r="X24" s="1815"/>
      <c r="Y24" s="317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0"/>
      <c r="Q25" s="1812">
        <f>B25</f>
        <v>111</v>
      </c>
      <c r="R25" s="774" t="s">
        <v>17</v>
      </c>
      <c r="S25" s="775">
        <f>F25</f>
        <v>100</v>
      </c>
      <c r="T25" s="774" t="s">
        <v>17</v>
      </c>
      <c r="U25" s="775">
        <f>H25</f>
        <v>100</v>
      </c>
      <c r="V25" s="774" t="s">
        <v>17</v>
      </c>
      <c r="W25" s="775">
        <f>J25</f>
        <v>100</v>
      </c>
      <c r="X25" s="1815"/>
      <c r="Y25" s="317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0"/>
      <c r="Q26" s="1812">
        <f t="shared" ref="Q26:Q40" si="11">B26</f>
        <v>111</v>
      </c>
      <c r="R26" s="774" t="s">
        <v>17</v>
      </c>
      <c r="S26" s="775">
        <f>F26</f>
        <v>100</v>
      </c>
      <c r="T26" s="774" t="s">
        <v>17</v>
      </c>
      <c r="U26" s="775">
        <f>H26</f>
        <v>100</v>
      </c>
      <c r="V26" s="774" t="s">
        <v>17</v>
      </c>
      <c r="W26" s="775">
        <f>J26</f>
        <v>100</v>
      </c>
      <c r="X26" s="1815"/>
      <c r="Y26" s="317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0"/>
      <c r="Q27" s="1797">
        <f t="shared" si="11"/>
        <v>111</v>
      </c>
      <c r="R27" s="770" t="s">
        <v>17</v>
      </c>
      <c r="S27" s="771">
        <f>F27</f>
        <v>100</v>
      </c>
      <c r="T27" s="770" t="s">
        <v>17</v>
      </c>
      <c r="U27" s="771">
        <f>H27</f>
        <v>100</v>
      </c>
      <c r="V27" s="770" t="s">
        <v>17</v>
      </c>
      <c r="W27" s="771">
        <f>J27</f>
        <v>100</v>
      </c>
      <c r="X27" s="772"/>
      <c r="Y27" s="317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0"/>
      <c r="Q28" s="1812">
        <f t="shared" si="11"/>
        <v>111</v>
      </c>
      <c r="R28" s="774" t="s">
        <v>17</v>
      </c>
      <c r="S28" s="775">
        <f t="shared" ref="S28:S40" si="12">F28</f>
        <v>100</v>
      </c>
      <c r="T28" s="774" t="s">
        <v>17</v>
      </c>
      <c r="U28" s="775">
        <f t="shared" ref="U28:U40" si="13">H28</f>
        <v>100</v>
      </c>
      <c r="V28" s="774" t="s">
        <v>17</v>
      </c>
      <c r="W28" s="775">
        <f t="shared" ref="W28:W40" si="14">J28</f>
        <v>100</v>
      </c>
      <c r="X28" s="1815"/>
      <c r="Y28" s="3170"/>
      <c r="Z28" s="1816">
        <f t="shared" ref="Z28:Z40" si="15">Q28</f>
        <v>111</v>
      </c>
      <c r="AA28" s="1813">
        <f t="shared" si="3"/>
        <v>1</v>
      </c>
      <c r="AB28" s="1813">
        <f t="shared" si="4"/>
        <v>1</v>
      </c>
      <c r="AC28" s="1813">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71" t="s">
        <v>2558</v>
      </c>
      <c r="Q29" s="1812" t="str">
        <f t="shared" si="11"/>
        <v>建筑类型</v>
      </c>
      <c r="R29" s="774" t="s">
        <v>17</v>
      </c>
      <c r="S29" s="775">
        <f t="shared" si="12"/>
        <v>100</v>
      </c>
      <c r="T29" s="774" t="s">
        <v>17</v>
      </c>
      <c r="U29" s="775">
        <f t="shared" si="13"/>
        <v>100</v>
      </c>
      <c r="V29" s="774" t="s">
        <v>17</v>
      </c>
      <c r="W29" s="775">
        <f t="shared" si="14"/>
        <v>100</v>
      </c>
      <c r="X29" s="1815"/>
      <c r="Y29" s="3172"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2" t="str">
        <f t="shared" si="11"/>
        <v>建筑结构</v>
      </c>
      <c r="R31" s="774" t="s">
        <v>17</v>
      </c>
      <c r="S31" s="775">
        <f t="shared" si="12"/>
        <v>100</v>
      </c>
      <c r="T31" s="774" t="s">
        <v>17</v>
      </c>
      <c r="U31" s="775">
        <f t="shared" si="13"/>
        <v>100</v>
      </c>
      <c r="V31" s="774" t="s">
        <v>17</v>
      </c>
      <c r="W31" s="775">
        <f t="shared" si="14"/>
        <v>100</v>
      </c>
      <c r="X31" s="1815"/>
      <c r="Y31" s="3172"/>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2" t="str">
        <f t="shared" si="11"/>
        <v>公共部分装修</v>
      </c>
      <c r="R32" s="774" t="s">
        <v>17</v>
      </c>
      <c r="S32" s="775">
        <f t="shared" si="12"/>
        <v>100</v>
      </c>
      <c r="T32" s="774" t="s">
        <v>17</v>
      </c>
      <c r="U32" s="775">
        <f t="shared" si="13"/>
        <v>100</v>
      </c>
      <c r="V32" s="774" t="s">
        <v>17</v>
      </c>
      <c r="W32" s="775">
        <f t="shared" si="14"/>
        <v>100</v>
      </c>
      <c r="X32" s="1815"/>
      <c r="Y32" s="3172"/>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2" t="str">
        <f t="shared" si="11"/>
        <v>成新度</v>
      </c>
      <c r="R33" s="774" t="s">
        <v>17</v>
      </c>
      <c r="S33" s="775" t="e">
        <f t="shared" si="12"/>
        <v>#N/A</v>
      </c>
      <c r="T33" s="774" t="s">
        <v>17</v>
      </c>
      <c r="U33" s="775" t="e">
        <f t="shared" si="13"/>
        <v>#N/A</v>
      </c>
      <c r="V33" s="774" t="s">
        <v>17</v>
      </c>
      <c r="W33" s="775" t="e">
        <f t="shared" si="14"/>
        <v>#N/A</v>
      </c>
      <c r="X33" s="1815"/>
      <c r="Y33" s="3172"/>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7"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2558</v>
      </c>
      <c r="Q35" s="1812" t="str">
        <f t="shared" si="11"/>
        <v>市政基础设施</v>
      </c>
      <c r="R35" s="774" t="s">
        <v>17</v>
      </c>
      <c r="S35" s="775">
        <f t="shared" si="12"/>
        <v>100</v>
      </c>
      <c r="T35" s="774" t="s">
        <v>17</v>
      </c>
      <c r="U35" s="775">
        <f t="shared" si="13"/>
        <v>100</v>
      </c>
      <c r="V35" s="774" t="s">
        <v>17</v>
      </c>
      <c r="W35" s="775">
        <f t="shared" si="14"/>
        <v>100</v>
      </c>
      <c r="X35" s="1815"/>
      <c r="Y35" s="3172"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2" t="str">
        <f t="shared" si="11"/>
        <v>内部装修</v>
      </c>
      <c r="R36" s="774" t="s">
        <v>17</v>
      </c>
      <c r="S36" s="775">
        <f t="shared" si="12"/>
        <v>100</v>
      </c>
      <c r="T36" s="774" t="s">
        <v>17</v>
      </c>
      <c r="U36" s="775">
        <f t="shared" si="13"/>
        <v>100</v>
      </c>
      <c r="V36" s="774" t="s">
        <v>17</v>
      </c>
      <c r="W36" s="775">
        <f t="shared" si="14"/>
        <v>100</v>
      </c>
      <c r="X36" s="1815"/>
      <c r="Y36" s="3172"/>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2" t="str">
        <f t="shared" si="11"/>
        <v>内部装修状况</v>
      </c>
      <c r="R37" s="774" t="s">
        <v>17</v>
      </c>
      <c r="S37" s="775">
        <f t="shared" si="12"/>
        <v>100</v>
      </c>
      <c r="T37" s="774" t="s">
        <v>17</v>
      </c>
      <c r="U37" s="775">
        <f t="shared" si="13"/>
        <v>100</v>
      </c>
      <c r="V37" s="774" t="s">
        <v>17</v>
      </c>
      <c r="W37" s="775">
        <f t="shared" si="14"/>
        <v>100</v>
      </c>
      <c r="X37" s="1815"/>
      <c r="Y37" s="317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2">
        <f t="shared" si="11"/>
        <v>111</v>
      </c>
      <c r="R39" s="774" t="s">
        <v>17</v>
      </c>
      <c r="S39" s="775">
        <f t="shared" si="12"/>
        <v>100</v>
      </c>
      <c r="T39" s="774" t="s">
        <v>17</v>
      </c>
      <c r="U39" s="775">
        <f t="shared" si="13"/>
        <v>100</v>
      </c>
      <c r="V39" s="774" t="s">
        <v>17</v>
      </c>
      <c r="W39" s="775">
        <f t="shared" si="14"/>
        <v>100</v>
      </c>
      <c r="X39" s="1815"/>
      <c r="Y39" s="3172"/>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2">
        <f t="shared" si="11"/>
        <v>111</v>
      </c>
      <c r="R40" s="774" t="s">
        <v>17</v>
      </c>
      <c r="S40" s="775">
        <f t="shared" si="12"/>
        <v>100</v>
      </c>
      <c r="T40" s="774" t="s">
        <v>17</v>
      </c>
      <c r="U40" s="775">
        <f t="shared" si="13"/>
        <v>100</v>
      </c>
      <c r="V40" s="774" t="s">
        <v>17</v>
      </c>
      <c r="W40" s="775">
        <f t="shared" si="14"/>
        <v>100</v>
      </c>
      <c r="X40" s="1815"/>
      <c r="Y40" s="3235"/>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167" t="str">
        <f>A41</f>
        <v>成交单价（元/平方米）</v>
      </c>
      <c r="Q41" s="3167"/>
      <c r="R41" s="3231">
        <f>E41</f>
        <v>0</v>
      </c>
      <c r="S41" s="3231"/>
      <c r="T41" s="3231">
        <f>G41</f>
        <v>0</v>
      </c>
      <c r="U41" s="3231"/>
      <c r="V41" s="3231">
        <f>I41</f>
        <v>0</v>
      </c>
      <c r="W41" s="3231"/>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67" t="str">
        <f>A42</f>
        <v>比较价值（元/平方米）</v>
      </c>
      <c r="Q42" s="316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61" t="str">
        <f>A43</f>
        <v>估价对象XX用房的比较价值（楼面单价，元/平方米）</v>
      </c>
      <c r="Q43" s="3162"/>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24"/>
      <c r="F1" s="2580"/>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14">
      <c r="A14" s="401" t="s">
        <v>2552</v>
      </c>
      <c r="B14" s="62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0"/>
      <c r="Q15" s="1812"/>
      <c r="R15" s="774"/>
      <c r="S15" s="775"/>
      <c r="T15" s="774"/>
      <c r="U15" s="775"/>
      <c r="V15" s="774"/>
      <c r="W15" s="775"/>
      <c r="X15" s="1815"/>
      <c r="Y15" s="3170"/>
      <c r="Z15" s="1816"/>
      <c r="AA15" s="1813">
        <v>1</v>
      </c>
      <c r="AB15" s="1813">
        <v>1</v>
      </c>
      <c r="AC15" s="1813">
        <v>1</v>
      </c>
    </row>
    <row r="16" spans="1:29" ht="42.75">
      <c r="A16" s="404"/>
      <c r="B16" s="631" t="s">
        <v>2681</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170"/>
      <c r="Q17" s="1812"/>
      <c r="R17" s="774"/>
      <c r="S17" s="775"/>
      <c r="T17" s="774"/>
      <c r="U17" s="775"/>
      <c r="V17" s="774"/>
      <c r="W17" s="775"/>
      <c r="X17" s="1815"/>
      <c r="Y17" s="3170"/>
      <c r="Z17" s="1816"/>
      <c r="AA17" s="1813">
        <v>1</v>
      </c>
      <c r="AB17" s="1813">
        <v>1</v>
      </c>
      <c r="AC17" s="1813">
        <v>1</v>
      </c>
    </row>
    <row r="18" spans="1:29" ht="42.75">
      <c r="A18" s="404"/>
      <c r="B18" s="633" t="s">
        <v>2682</v>
      </c>
      <c r="C18" s="2603"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170"/>
      <c r="Q19" s="1812"/>
      <c r="R19" s="774"/>
      <c r="S19" s="775"/>
      <c r="T19" s="774"/>
      <c r="U19" s="775"/>
      <c r="V19" s="774"/>
      <c r="W19" s="775"/>
      <c r="X19" s="1815"/>
      <c r="Y19" s="3170"/>
      <c r="Z19" s="1816"/>
      <c r="AA19" s="1813">
        <v>1</v>
      </c>
      <c r="AB19" s="1813">
        <v>1</v>
      </c>
      <c r="AC19" s="1813">
        <v>1</v>
      </c>
    </row>
    <row r="20" spans="1:29" ht="114">
      <c r="A20" s="404"/>
      <c r="B20" s="63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0"/>
      <c r="Q21" s="1812"/>
      <c r="R21" s="774"/>
      <c r="S21" s="775"/>
      <c r="T21" s="774"/>
      <c r="U21" s="775"/>
      <c r="V21" s="774"/>
      <c r="W21" s="775"/>
      <c r="X21" s="1815"/>
      <c r="Y21" s="3170"/>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0"/>
      <c r="Q24" s="1812">
        <f t="shared" ref="Q24:Q36"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1"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2" t="s">
        <v>2558</v>
      </c>
      <c r="Z26" s="1816" t="str">
        <f t="shared" ref="Z26:Z36" si="15">Q26</f>
        <v>配套类型</v>
      </c>
      <c r="AA26" s="1813">
        <f t="shared" si="3"/>
        <v>1</v>
      </c>
      <c r="AB26" s="1813">
        <f t="shared" si="4"/>
        <v>1</v>
      </c>
      <c r="AC26" s="1813">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3">
        <f t="shared" si="3"/>
        <v>1</v>
      </c>
      <c r="AB27" s="1813">
        <f t="shared" si="4"/>
        <v>1</v>
      </c>
      <c r="AC27" s="1813">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2" t="str">
        <f t="shared" si="11"/>
        <v>公共部分装修</v>
      </c>
      <c r="R28" s="774" t="s">
        <v>17</v>
      </c>
      <c r="S28" s="775">
        <f t="shared" si="12"/>
        <v>100</v>
      </c>
      <c r="T28" s="774" t="s">
        <v>17</v>
      </c>
      <c r="U28" s="775">
        <f t="shared" si="13"/>
        <v>100</v>
      </c>
      <c r="V28" s="774" t="s">
        <v>17</v>
      </c>
      <c r="W28" s="775">
        <f t="shared" si="14"/>
        <v>100</v>
      </c>
      <c r="X28" s="1815"/>
      <c r="Y28" s="3172"/>
      <c r="Z28" s="1816" t="str">
        <f t="shared" si="15"/>
        <v>公共部分装修</v>
      </c>
      <c r="AA28" s="1813">
        <f t="shared" si="3"/>
        <v>1</v>
      </c>
      <c r="AB28" s="1813">
        <f t="shared" si="4"/>
        <v>1</v>
      </c>
      <c r="AC28" s="1813">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2" t="str">
        <f t="shared" si="11"/>
        <v>成新率</v>
      </c>
      <c r="R29" s="774" t="s">
        <v>17</v>
      </c>
      <c r="S29" s="775" t="e">
        <f t="shared" si="12"/>
        <v>#N/A</v>
      </c>
      <c r="T29" s="774" t="s">
        <v>17</v>
      </c>
      <c r="U29" s="775" t="e">
        <f t="shared" si="13"/>
        <v>#N/A</v>
      </c>
      <c r="V29" s="774" t="s">
        <v>17</v>
      </c>
      <c r="W29" s="775" t="e">
        <f t="shared" si="14"/>
        <v>#N/A</v>
      </c>
      <c r="X29" s="1815"/>
      <c r="Y29" s="3172"/>
      <c r="Z29" s="1816" t="str">
        <f t="shared" si="15"/>
        <v>成新率</v>
      </c>
      <c r="AA29" s="1813" t="e">
        <f t="shared" si="3"/>
        <v>#N/A</v>
      </c>
      <c r="AB29" s="1813" t="e">
        <f t="shared" si="4"/>
        <v>#N/A</v>
      </c>
      <c r="AC29" s="1813"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2" t="str">
        <f t="shared" si="11"/>
        <v>物业等级</v>
      </c>
      <c r="R30" s="774" t="s">
        <v>17</v>
      </c>
      <c r="S30" s="775">
        <f t="shared" si="12"/>
        <v>100</v>
      </c>
      <c r="T30" s="774" t="s">
        <v>17</v>
      </c>
      <c r="U30" s="775">
        <f t="shared" si="13"/>
        <v>100</v>
      </c>
      <c r="V30" s="774" t="s">
        <v>17</v>
      </c>
      <c r="W30" s="775">
        <f t="shared" si="14"/>
        <v>100</v>
      </c>
      <c r="X30" s="1815"/>
      <c r="Y30" s="3172"/>
      <c r="Z30" s="1816" t="str">
        <f t="shared" si="15"/>
        <v>物业等级</v>
      </c>
      <c r="AA30" s="1813">
        <f t="shared" si="3"/>
        <v>1</v>
      </c>
      <c r="AB30" s="1813">
        <f t="shared" si="4"/>
        <v>1</v>
      </c>
      <c r="AC30" s="1813">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7"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2558</v>
      </c>
      <c r="Q32" s="1812" t="str">
        <f t="shared" si="11"/>
        <v>车位类型</v>
      </c>
      <c r="R32" s="774" t="s">
        <v>17</v>
      </c>
      <c r="S32" s="775">
        <f t="shared" si="12"/>
        <v>100</v>
      </c>
      <c r="T32" s="774" t="s">
        <v>17</v>
      </c>
      <c r="U32" s="775">
        <f t="shared" si="13"/>
        <v>100</v>
      </c>
      <c r="V32" s="774" t="s">
        <v>17</v>
      </c>
      <c r="W32" s="775">
        <f t="shared" si="14"/>
        <v>100</v>
      </c>
      <c r="X32" s="1815"/>
      <c r="Y32" s="3172" t="s">
        <v>2558</v>
      </c>
      <c r="Z32" s="1816" t="str">
        <f t="shared" si="15"/>
        <v>车位类型</v>
      </c>
      <c r="AA32" s="1813">
        <f t="shared" si="3"/>
        <v>1</v>
      </c>
      <c r="AB32" s="1813">
        <f t="shared" si="4"/>
        <v>1</v>
      </c>
      <c r="AC32" s="1813">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2" t="str">
        <f t="shared" si="11"/>
        <v>是否直接入户</v>
      </c>
      <c r="R33" s="774" t="s">
        <v>17</v>
      </c>
      <c r="S33" s="775">
        <f t="shared" si="12"/>
        <v>100</v>
      </c>
      <c r="T33" s="774" t="s">
        <v>17</v>
      </c>
      <c r="U33" s="775">
        <f t="shared" si="13"/>
        <v>100</v>
      </c>
      <c r="V33" s="774" t="s">
        <v>17</v>
      </c>
      <c r="W33" s="775">
        <f t="shared" si="14"/>
        <v>100</v>
      </c>
      <c r="X33" s="1815"/>
      <c r="Y33" s="317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2">
        <f t="shared" si="11"/>
        <v>111</v>
      </c>
      <c r="R36" s="774" t="s">
        <v>17</v>
      </c>
      <c r="S36" s="775">
        <f t="shared" si="12"/>
        <v>100</v>
      </c>
      <c r="T36" s="774" t="s">
        <v>17</v>
      </c>
      <c r="U36" s="775">
        <f t="shared" si="13"/>
        <v>100</v>
      </c>
      <c r="V36" s="774" t="s">
        <v>17</v>
      </c>
      <c r="W36" s="775">
        <f t="shared" si="14"/>
        <v>100</v>
      </c>
      <c r="X36" s="1815"/>
      <c r="Y36" s="3172"/>
      <c r="Z36" s="1816">
        <f t="shared" si="15"/>
        <v>111</v>
      </c>
      <c r="AA36" s="1813">
        <f t="shared" si="3"/>
        <v>1</v>
      </c>
      <c r="AB36" s="1813">
        <f t="shared" si="4"/>
        <v>1</v>
      </c>
      <c r="AC36" s="1813">
        <f t="shared" si="5"/>
        <v>1</v>
      </c>
    </row>
    <row r="37" spans="1:29" ht="15">
      <c r="A37" s="479" t="s">
        <v>2713</v>
      </c>
      <c r="B37" s="2691" t="s">
        <v>2714</v>
      </c>
      <c r="C37" s="1410" t="s">
        <v>1</v>
      </c>
      <c r="D37" s="1411"/>
      <c r="E37" s="1412"/>
      <c r="F37" s="1413"/>
      <c r="G37" s="1414"/>
      <c r="H37" s="1415"/>
      <c r="I37" s="1412"/>
      <c r="J37" s="1415"/>
      <c r="K37" s="619"/>
      <c r="L37" s="1146"/>
      <c r="M37" s="1147"/>
      <c r="N37" s="1134"/>
      <c r="O37" s="1147"/>
      <c r="P37" s="3167" t="str">
        <f>A37</f>
        <v>成交单价</v>
      </c>
      <c r="Q37" s="3167"/>
      <c r="R37" s="3231">
        <f>E37</f>
        <v>0</v>
      </c>
      <c r="S37" s="3231"/>
      <c r="T37" s="3231">
        <f>G37</f>
        <v>0</v>
      </c>
      <c r="U37" s="3231"/>
      <c r="V37" s="3231">
        <f>I37</f>
        <v>0</v>
      </c>
      <c r="W37" s="3231"/>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7" t="str">
        <f>A38</f>
        <v>比较价值（元/平方米）</v>
      </c>
      <c r="Q38" s="316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14">
      <c r="A14" s="440" t="s">
        <v>2552</v>
      </c>
      <c r="B14" s="6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0"/>
      <c r="Q15" s="1812"/>
      <c r="R15" s="774"/>
      <c r="S15" s="775"/>
      <c r="T15" s="774"/>
      <c r="U15" s="775"/>
      <c r="V15" s="774"/>
      <c r="W15" s="775"/>
      <c r="X15" s="1815"/>
      <c r="Y15" s="3170"/>
      <c r="Z15" s="1816"/>
      <c r="AA15" s="1813">
        <v>1</v>
      </c>
      <c r="AB15" s="1813">
        <v>1</v>
      </c>
      <c r="AC15" s="1813">
        <v>1</v>
      </c>
    </row>
    <row r="16" spans="1:29" ht="42.75">
      <c r="A16" s="428"/>
      <c r="B16" s="451" t="s">
        <v>2681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170"/>
      <c r="Q17" s="1812"/>
      <c r="R17" s="774"/>
      <c r="S17" s="775"/>
      <c r="T17" s="774"/>
      <c r="U17" s="775"/>
      <c r="V17" s="774"/>
      <c r="W17" s="775"/>
      <c r="X17" s="1815"/>
      <c r="Y17" s="3170"/>
      <c r="Z17" s="1816"/>
      <c r="AA17" s="1813">
        <v>1</v>
      </c>
      <c r="AB17" s="1813">
        <v>1</v>
      </c>
      <c r="AC17" s="1813">
        <v>1</v>
      </c>
    </row>
    <row r="18" spans="1:29" ht="42.75">
      <c r="A18" s="428"/>
      <c r="B18" s="1387" t="s">
        <v>2682</v>
      </c>
      <c r="C18" s="2603"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170"/>
      <c r="Q19" s="1812"/>
      <c r="R19" s="774"/>
      <c r="S19" s="775"/>
      <c r="T19" s="774"/>
      <c r="U19" s="775"/>
      <c r="V19" s="774"/>
      <c r="W19" s="775"/>
      <c r="X19" s="1815"/>
      <c r="Y19" s="3170"/>
      <c r="Z19" s="1816"/>
      <c r="AA19" s="1813">
        <v>1</v>
      </c>
      <c r="AB19" s="1813">
        <v>1</v>
      </c>
      <c r="AC19" s="1813">
        <v>1</v>
      </c>
    </row>
    <row r="20" spans="1:29" ht="114">
      <c r="A20" s="428"/>
      <c r="B20" s="45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0"/>
      <c r="Q21" s="1812"/>
      <c r="R21" s="774"/>
      <c r="S21" s="775"/>
      <c r="T21" s="774"/>
      <c r="U21" s="775"/>
      <c r="V21" s="774"/>
      <c r="W21" s="775"/>
      <c r="X21" s="1815"/>
      <c r="Y21" s="3170"/>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0"/>
      <c r="Q24" s="1812">
        <f t="shared" ref="Q24:Q34"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71"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2"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2" t="str">
        <f t="shared" si="11"/>
        <v>物业等级</v>
      </c>
      <c r="R28" s="774" t="s">
        <v>17</v>
      </c>
      <c r="S28" s="775">
        <f t="shared" si="12"/>
        <v>100</v>
      </c>
      <c r="T28" s="774" t="s">
        <v>17</v>
      </c>
      <c r="U28" s="775">
        <f t="shared" si="13"/>
        <v>100</v>
      </c>
      <c r="V28" s="774" t="s">
        <v>17</v>
      </c>
      <c r="W28" s="775">
        <f t="shared" si="14"/>
        <v>100</v>
      </c>
      <c r="X28" s="1815"/>
      <c r="Y28" s="3172"/>
      <c r="Z28" s="1816" t="str">
        <f t="shared" si="15"/>
        <v>物业等级</v>
      </c>
      <c r="AA28" s="1813">
        <f t="shared" si="3"/>
        <v>1</v>
      </c>
      <c r="AB28" s="1813">
        <f t="shared" si="4"/>
        <v>1</v>
      </c>
      <c r="AC28" s="1813">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2" t="str">
        <f t="shared" si="11"/>
        <v>有无电梯</v>
      </c>
      <c r="R29" s="774" t="s">
        <v>17</v>
      </c>
      <c r="S29" s="775">
        <f t="shared" si="12"/>
        <v>100</v>
      </c>
      <c r="T29" s="774" t="s">
        <v>17</v>
      </c>
      <c r="U29" s="775">
        <f t="shared" si="13"/>
        <v>100</v>
      </c>
      <c r="V29" s="774" t="s">
        <v>17</v>
      </c>
      <c r="W29" s="775">
        <f t="shared" si="14"/>
        <v>100</v>
      </c>
      <c r="X29" s="1815"/>
      <c r="Y29" s="3172"/>
      <c r="Z29" s="1816" t="str">
        <f t="shared" si="15"/>
        <v>有无电梯</v>
      </c>
      <c r="AA29" s="1813">
        <f t="shared" si="3"/>
        <v>1</v>
      </c>
      <c r="AB29" s="1813">
        <f t="shared" si="4"/>
        <v>1</v>
      </c>
      <c r="AC29" s="1813">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2" t="str">
        <f t="shared" si="11"/>
        <v>建筑面积</v>
      </c>
      <c r="R30" s="774" t="s">
        <v>17</v>
      </c>
      <c r="S30" s="775" t="e">
        <f t="shared" si="12"/>
        <v>#N/A</v>
      </c>
      <c r="T30" s="774" t="s">
        <v>17</v>
      </c>
      <c r="U30" s="775" t="e">
        <f t="shared" si="13"/>
        <v>#N/A</v>
      </c>
      <c r="V30" s="774" t="s">
        <v>17</v>
      </c>
      <c r="W30" s="775" t="e">
        <f t="shared" si="14"/>
        <v>#N/A</v>
      </c>
      <c r="X30" s="1815"/>
      <c r="Y30" s="3172"/>
      <c r="Z30" s="1816" t="str">
        <f t="shared" si="15"/>
        <v>建筑面积</v>
      </c>
      <c r="AA30" s="1813" t="e">
        <f t="shared" si="3"/>
        <v>#N/A</v>
      </c>
      <c r="AB30" s="1813" t="e">
        <f t="shared" si="4"/>
        <v>#N/A</v>
      </c>
      <c r="AC30" s="1813"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7"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2558</v>
      </c>
      <c r="Q32" s="1812">
        <f t="shared" si="11"/>
        <v>111</v>
      </c>
      <c r="R32" s="774" t="s">
        <v>17</v>
      </c>
      <c r="S32" s="775">
        <f t="shared" si="12"/>
        <v>100</v>
      </c>
      <c r="T32" s="774" t="s">
        <v>17</v>
      </c>
      <c r="U32" s="775">
        <f t="shared" si="13"/>
        <v>100</v>
      </c>
      <c r="V32" s="774" t="s">
        <v>17</v>
      </c>
      <c r="W32" s="775">
        <f t="shared" si="14"/>
        <v>100</v>
      </c>
      <c r="X32" s="1815"/>
      <c r="Y32" s="3172" t="s">
        <v>2558</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2">
        <f t="shared" si="11"/>
        <v>111</v>
      </c>
      <c r="R33" s="774" t="s">
        <v>17</v>
      </c>
      <c r="S33" s="775">
        <f t="shared" si="12"/>
        <v>100</v>
      </c>
      <c r="T33" s="774" t="s">
        <v>17</v>
      </c>
      <c r="U33" s="775">
        <f t="shared" si="13"/>
        <v>100</v>
      </c>
      <c r="V33" s="774" t="s">
        <v>17</v>
      </c>
      <c r="W33" s="775">
        <f t="shared" si="14"/>
        <v>100</v>
      </c>
      <c r="X33" s="1815"/>
      <c r="Y33" s="3172"/>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167" t="str">
        <f>A35</f>
        <v>成交单价（元/平方米）</v>
      </c>
      <c r="Q35" s="3167"/>
      <c r="R35" s="3231">
        <f>E35</f>
        <v>0</v>
      </c>
      <c r="S35" s="3231"/>
      <c r="T35" s="3231">
        <f>G35</f>
        <v>0</v>
      </c>
      <c r="U35" s="3231"/>
      <c r="V35" s="3231">
        <f>I35</f>
        <v>0</v>
      </c>
      <c r="W35" s="3231"/>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67" t="str">
        <f>A36</f>
        <v>比较价值（元/平方米）</v>
      </c>
      <c r="Q36" s="316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255" t="s">
        <v>2790</v>
      </c>
      <c r="D6" s="3256"/>
      <c r="E6" s="3257" t="s">
        <v>2790</v>
      </c>
      <c r="F6" s="3258"/>
      <c r="G6" s="3255" t="s">
        <v>2790</v>
      </c>
      <c r="H6" s="3256"/>
      <c r="I6" s="3255" t="s">
        <v>2790</v>
      </c>
      <c r="J6" s="3256"/>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0"/>
      <c r="Q19" s="1812" t="str">
        <f t="shared" ref="Q19:Q33" si="8">B19</f>
        <v>区域土地利用方向</v>
      </c>
      <c r="R19" s="774" t="s">
        <v>17</v>
      </c>
      <c r="S19" s="775">
        <f>F19</f>
        <v>100</v>
      </c>
      <c r="T19" s="774" t="s">
        <v>17</v>
      </c>
      <c r="U19" s="775">
        <f>H19</f>
        <v>100</v>
      </c>
      <c r="V19" s="774" t="s">
        <v>17</v>
      </c>
      <c r="W19" s="775">
        <f>J19</f>
        <v>100</v>
      </c>
      <c r="X19" s="1815"/>
      <c r="Y19" s="3170"/>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170"/>
      <c r="Q20" s="1812"/>
      <c r="R20" s="774"/>
      <c r="S20" s="775"/>
      <c r="T20" s="774"/>
      <c r="U20" s="775"/>
      <c r="V20" s="774"/>
      <c r="W20" s="775"/>
      <c r="X20" s="1815"/>
      <c r="Y20" s="3170"/>
      <c r="Z20" s="1816"/>
      <c r="AA20" s="1813"/>
      <c r="AB20" s="1813"/>
      <c r="AC20" s="1813"/>
    </row>
    <row r="21" spans="1:29" ht="71.25">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0"/>
      <c r="Q21" s="1812" t="str">
        <f t="shared" si="8"/>
        <v>环境状况</v>
      </c>
      <c r="R21" s="774" t="s">
        <v>17</v>
      </c>
      <c r="S21" s="775">
        <f>F21</f>
        <v>100</v>
      </c>
      <c r="T21" s="774" t="s">
        <v>17</v>
      </c>
      <c r="U21" s="775">
        <f>H21</f>
        <v>100</v>
      </c>
      <c r="V21" s="774" t="s">
        <v>17</v>
      </c>
      <c r="W21" s="775">
        <f>J21</f>
        <v>100</v>
      </c>
      <c r="X21" s="1815"/>
      <c r="Y21" s="3170"/>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0"/>
      <c r="Q23" s="1797" t="str">
        <f t="shared" si="8"/>
        <v>公共配套设施</v>
      </c>
      <c r="R23" s="770" t="s">
        <v>17</v>
      </c>
      <c r="S23" s="771">
        <f>F23</f>
        <v>100</v>
      </c>
      <c r="T23" s="770" t="s">
        <v>17</v>
      </c>
      <c r="U23" s="771">
        <f>H23</f>
        <v>100</v>
      </c>
      <c r="V23" s="770" t="s">
        <v>17</v>
      </c>
      <c r="W23" s="771">
        <f>J23</f>
        <v>100</v>
      </c>
      <c r="X23" s="772"/>
      <c r="Y23" s="3170"/>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170"/>
      <c r="Q24" s="1797"/>
      <c r="R24" s="770"/>
      <c r="S24" s="771"/>
      <c r="T24" s="770"/>
      <c r="U24" s="771"/>
      <c r="V24" s="770"/>
      <c r="W24" s="771"/>
      <c r="X24" s="772"/>
      <c r="Y24" s="3170"/>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0"/>
      <c r="Q25" s="1797"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170"/>
      <c r="Q26" s="1797"/>
      <c r="R26" s="770"/>
      <c r="S26" s="771"/>
      <c r="T26" s="770"/>
      <c r="U26" s="771"/>
      <c r="V26" s="770"/>
      <c r="W26" s="771"/>
      <c r="X26" s="772"/>
      <c r="Y26" s="3170"/>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0"/>
      <c r="Z27" s="1816" t="str">
        <f t="shared" ref="Z27:Z40" si="13">Q27</f>
        <v>临街状况</v>
      </c>
      <c r="AA27" s="1813">
        <f t="shared" si="3"/>
        <v>1</v>
      </c>
      <c r="AB27" s="1813">
        <f t="shared" si="4"/>
        <v>1</v>
      </c>
      <c r="AC27" s="1813">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0"/>
      <c r="Q28" s="1812" t="str">
        <f t="shared" si="8"/>
        <v>毗邻道路的类型与等级</v>
      </c>
      <c r="R28" s="774" t="s">
        <v>17</v>
      </c>
      <c r="S28" s="775">
        <f t="shared" si="10"/>
        <v>100</v>
      </c>
      <c r="T28" s="774" t="s">
        <v>17</v>
      </c>
      <c r="U28" s="775">
        <f t="shared" si="11"/>
        <v>100</v>
      </c>
      <c r="V28" s="774" t="s">
        <v>17</v>
      </c>
      <c r="W28" s="775">
        <f t="shared" si="12"/>
        <v>100</v>
      </c>
      <c r="X28" s="1815"/>
      <c r="Y28" s="3170"/>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170"/>
      <c r="Q29" s="1812"/>
      <c r="R29" s="774"/>
      <c r="S29" s="775"/>
      <c r="T29" s="774"/>
      <c r="U29" s="775"/>
      <c r="V29" s="774"/>
      <c r="W29" s="775"/>
      <c r="X29" s="1815"/>
      <c r="Y29" s="3170"/>
      <c r="Z29" s="1816"/>
      <c r="AA29" s="1813">
        <v>1</v>
      </c>
      <c r="AB29" s="1813">
        <v>1</v>
      </c>
      <c r="AC29" s="1813">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0"/>
      <c r="Q30" s="1812" t="str">
        <f t="shared" si="8"/>
        <v>土地级别</v>
      </c>
      <c r="R30" s="774" t="s">
        <v>17</v>
      </c>
      <c r="S30" s="775">
        <f t="shared" si="10"/>
        <v>100</v>
      </c>
      <c r="T30" s="774" t="s">
        <v>17</v>
      </c>
      <c r="U30" s="775">
        <f t="shared" si="11"/>
        <v>100</v>
      </c>
      <c r="V30" s="774" t="s">
        <v>17</v>
      </c>
      <c r="W30" s="775">
        <f t="shared" si="12"/>
        <v>100</v>
      </c>
      <c r="X30" s="1815"/>
      <c r="Y30" s="3170"/>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0"/>
      <c r="Q31" s="1812">
        <f t="shared" si="8"/>
        <v>111</v>
      </c>
      <c r="R31" s="774" t="s">
        <v>17</v>
      </c>
      <c r="S31" s="775">
        <f t="shared" si="10"/>
        <v>100</v>
      </c>
      <c r="T31" s="774" t="s">
        <v>17</v>
      </c>
      <c r="U31" s="775">
        <f t="shared" si="11"/>
        <v>100</v>
      </c>
      <c r="V31" s="774" t="s">
        <v>17</v>
      </c>
      <c r="W31" s="775">
        <f t="shared" si="12"/>
        <v>100</v>
      </c>
      <c r="X31" s="1815"/>
      <c r="Y31" s="3170"/>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1" t="s">
        <v>2558</v>
      </c>
      <c r="Q32" s="1812">
        <f t="shared" si="8"/>
        <v>111</v>
      </c>
      <c r="R32" s="774" t="s">
        <v>17</v>
      </c>
      <c r="S32" s="775">
        <f t="shared" si="10"/>
        <v>100</v>
      </c>
      <c r="T32" s="774" t="s">
        <v>17</v>
      </c>
      <c r="U32" s="775">
        <f t="shared" si="11"/>
        <v>100</v>
      </c>
      <c r="V32" s="774" t="s">
        <v>17</v>
      </c>
      <c r="W32" s="775">
        <f t="shared" si="12"/>
        <v>100</v>
      </c>
      <c r="X32" s="1815"/>
      <c r="Y32" s="3172" t="s">
        <v>2558</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2">
        <f t="shared" si="8"/>
        <v>111</v>
      </c>
      <c r="R33" s="777" t="s">
        <v>17</v>
      </c>
      <c r="S33" s="778">
        <f t="shared" si="10"/>
        <v>100</v>
      </c>
      <c r="T33" s="777" t="s">
        <v>17</v>
      </c>
      <c r="U33" s="778">
        <f t="shared" si="11"/>
        <v>100</v>
      </c>
      <c r="V33" s="777" t="s">
        <v>17</v>
      </c>
      <c r="W33" s="778">
        <f t="shared" si="12"/>
        <v>100</v>
      </c>
      <c r="X33" s="779"/>
      <c r="Y33" s="3172"/>
      <c r="Z33" s="780">
        <f t="shared" si="13"/>
        <v>111</v>
      </c>
      <c r="AA33" s="1813">
        <f t="shared" si="3"/>
        <v>1</v>
      </c>
      <c r="AB33" s="1813">
        <f t="shared" si="4"/>
        <v>1</v>
      </c>
      <c r="AC33" s="1813">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2" t="str">
        <f>B34</f>
        <v>宗地面积</v>
      </c>
      <c r="R34" s="774" t="s">
        <v>17</v>
      </c>
      <c r="S34" s="775" t="e">
        <f t="shared" si="10"/>
        <v>#N/A</v>
      </c>
      <c r="T34" s="774" t="s">
        <v>17</v>
      </c>
      <c r="U34" s="775" t="e">
        <f t="shared" si="11"/>
        <v>#N/A</v>
      </c>
      <c r="V34" s="774" t="s">
        <v>17</v>
      </c>
      <c r="W34" s="775" t="e">
        <f t="shared" si="12"/>
        <v>#N/A</v>
      </c>
      <c r="X34" s="1815"/>
      <c r="Y34" s="3172"/>
      <c r="Z34" s="1816" t="str">
        <f t="shared" si="13"/>
        <v>宗地面积</v>
      </c>
      <c r="AA34" s="1813" t="e">
        <f t="shared" si="3"/>
        <v>#N/A</v>
      </c>
      <c r="AB34" s="1813" t="e">
        <f t="shared" si="4"/>
        <v>#N/A</v>
      </c>
      <c r="AC34" s="1813"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172"/>
      <c r="Q35" s="1812" t="str">
        <f t="shared" ref="Q35:Q40" si="14">B35</f>
        <v>宗地形状</v>
      </c>
      <c r="R35" s="774" t="s">
        <v>17</v>
      </c>
      <c r="S35" s="775">
        <f t="shared" si="10"/>
        <v>100</v>
      </c>
      <c r="T35" s="774" t="s">
        <v>17</v>
      </c>
      <c r="U35" s="775">
        <f t="shared" si="11"/>
        <v>100</v>
      </c>
      <c r="V35" s="774" t="s">
        <v>17</v>
      </c>
      <c r="W35" s="775">
        <f t="shared" si="12"/>
        <v>100</v>
      </c>
      <c r="X35" s="1815"/>
      <c r="Y35" s="3172"/>
      <c r="Z35" s="1816" t="str">
        <f t="shared" si="13"/>
        <v>宗地形状</v>
      </c>
      <c r="AA35" s="1813">
        <f t="shared" si="3"/>
        <v>1</v>
      </c>
      <c r="AB35" s="1813">
        <f t="shared" si="4"/>
        <v>1</v>
      </c>
      <c r="AC35" s="1813">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72"/>
      <c r="Q36" s="1812"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172" t="s">
        <v>2558</v>
      </c>
      <c r="Q37" s="1812" t="str">
        <f t="shared" si="14"/>
        <v>工程地质条件</v>
      </c>
      <c r="R37" s="774" t="s">
        <v>17</v>
      </c>
      <c r="S37" s="775">
        <f t="shared" si="10"/>
        <v>100</v>
      </c>
      <c r="T37" s="774" t="s">
        <v>17</v>
      </c>
      <c r="U37" s="775">
        <f t="shared" si="11"/>
        <v>100</v>
      </c>
      <c r="V37" s="774" t="s">
        <v>17</v>
      </c>
      <c r="W37" s="775">
        <f t="shared" si="12"/>
        <v>100</v>
      </c>
      <c r="X37" s="1815"/>
      <c r="Y37" s="3172"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2">
        <f t="shared" si="14"/>
        <v>111</v>
      </c>
      <c r="R38" s="774" t="s">
        <v>17</v>
      </c>
      <c r="S38" s="775">
        <f t="shared" si="10"/>
        <v>100</v>
      </c>
      <c r="T38" s="774" t="s">
        <v>17</v>
      </c>
      <c r="U38" s="775">
        <f t="shared" si="11"/>
        <v>100</v>
      </c>
      <c r="V38" s="774" t="s">
        <v>17</v>
      </c>
      <c r="W38" s="775">
        <f t="shared" si="12"/>
        <v>100</v>
      </c>
      <c r="X38" s="1815"/>
      <c r="Y38" s="317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2">
        <f t="shared" si="14"/>
        <v>111</v>
      </c>
      <c r="R39" s="774" t="s">
        <v>17</v>
      </c>
      <c r="S39" s="775">
        <f t="shared" si="10"/>
        <v>100</v>
      </c>
      <c r="T39" s="774" t="s">
        <v>17</v>
      </c>
      <c r="U39" s="775">
        <f t="shared" si="11"/>
        <v>100</v>
      </c>
      <c r="V39" s="774" t="s">
        <v>17</v>
      </c>
      <c r="W39" s="775">
        <f t="shared" si="12"/>
        <v>100</v>
      </c>
      <c r="X39" s="1815"/>
      <c r="Y39" s="3172"/>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2">
        <f t="shared" si="14"/>
        <v>111</v>
      </c>
      <c r="R40" s="777" t="s">
        <v>17</v>
      </c>
      <c r="S40" s="778">
        <f t="shared" si="10"/>
        <v>100</v>
      </c>
      <c r="T40" s="777" t="s">
        <v>17</v>
      </c>
      <c r="U40" s="778">
        <f t="shared" si="11"/>
        <v>100</v>
      </c>
      <c r="V40" s="777" t="s">
        <v>17</v>
      </c>
      <c r="W40" s="778">
        <f t="shared" si="12"/>
        <v>100</v>
      </c>
      <c r="X40" s="779"/>
      <c r="Y40" s="3172"/>
      <c r="Z40" s="780">
        <f t="shared" si="13"/>
        <v>111</v>
      </c>
      <c r="AA40" s="1813">
        <f t="shared" si="3"/>
        <v>1</v>
      </c>
      <c r="AB40" s="1813">
        <f t="shared" si="4"/>
        <v>1</v>
      </c>
      <c r="AC40" s="1813">
        <f t="shared" si="5"/>
        <v>1</v>
      </c>
    </row>
    <row r="41" spans="1:29" ht="15">
      <c r="A41" s="479" t="s">
        <v>2713</v>
      </c>
      <c r="B41" s="2700" t="s">
        <v>2793</v>
      </c>
      <c r="C41" s="682" t="s">
        <v>1</v>
      </c>
      <c r="D41" s="481"/>
      <c r="E41" s="482"/>
      <c r="F41" s="483"/>
      <c r="G41" s="484"/>
      <c r="H41" s="485"/>
      <c r="I41" s="482"/>
      <c r="J41" s="485"/>
      <c r="K41" s="783"/>
      <c r="L41" s="1146"/>
      <c r="M41" s="1134"/>
      <c r="N41" s="1134"/>
      <c r="O41" s="1147"/>
      <c r="P41" s="3167" t="str">
        <f>A41</f>
        <v>成交单价</v>
      </c>
      <c r="Q41" s="3167"/>
      <c r="R41" s="3173">
        <f>E41</f>
        <v>0</v>
      </c>
      <c r="S41" s="3173"/>
      <c r="T41" s="3173">
        <f>G41</f>
        <v>0</v>
      </c>
      <c r="U41" s="3173"/>
      <c r="V41" s="3173">
        <f>I41</f>
        <v>0</v>
      </c>
      <c r="W41" s="3173"/>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160" t="e">
        <f>ROUND(PRODUCT(R41,AA7:AA40),0)</f>
        <v>#DIV/0!</v>
      </c>
      <c r="S42" s="3160"/>
      <c r="T42" s="3160" t="e">
        <f>ROUND(PRODUCT(T41,AB7:AB40),0)</f>
        <v>#DIV/0!</v>
      </c>
      <c r="U42" s="3160"/>
      <c r="V42" s="3160" t="e">
        <f>ROUND(PRODUCT(V41,AC7:AC40),0)</f>
        <v>#DIV/0!</v>
      </c>
      <c r="W42" s="3160"/>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163" t="e">
        <f>ROUND(AVERAGE(R42:V42),0)</f>
        <v>#DIV/0!</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1" t="s">
        <v>2753</v>
      </c>
      <c r="D50" s="2702" t="s">
        <v>2754</v>
      </c>
      <c r="E50" s="686" t="s">
        <v>2755</v>
      </c>
      <c r="F50" s="687" t="s">
        <v>2756</v>
      </c>
      <c r="G50" s="3164" t="s">
        <v>2757</v>
      </c>
      <c r="H50" s="3165"/>
      <c r="I50" s="1816" t="s">
        <v>2794</v>
      </c>
      <c r="J50" s="1816" t="str">
        <f>项目基本情况!F35</f>
        <v>天津市</v>
      </c>
      <c r="K50" s="2704" t="s">
        <v>2759</v>
      </c>
      <c r="L50" s="1109"/>
      <c r="M50" s="1147"/>
      <c r="N50" s="1147"/>
      <c r="O50" s="1147"/>
    </row>
    <row r="51" spans="1:17" s="692" customFormat="1">
      <c r="A51" s="688" t="s">
        <v>2760</v>
      </c>
      <c r="B51" s="689" t="e">
        <f>C43</f>
        <v>#DIV/0!</v>
      </c>
      <c r="C51" s="690">
        <v>1</v>
      </c>
      <c r="D51" s="1166">
        <v>1</v>
      </c>
      <c r="E51" s="690">
        <f>'数据-汇总表'!E8+'数据-汇总表'!E9</f>
        <v>74713.14</v>
      </c>
      <c r="F51" s="691" t="e">
        <f t="shared" ref="F51:F60" si="15">ROUND(B51*E51/10000,0)</f>
        <v>#DIV/0!</v>
      </c>
      <c r="G51" s="3166"/>
      <c r="H51" s="3167"/>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168"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168"/>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168"/>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168"/>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05"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44560.56</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05"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06"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64266.3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07" t="s">
        <v>2775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2"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625" style="2792" customWidth="1"/>
    <col min="2" max="2" width="19.125" style="2898" customWidth="1"/>
    <col min="3" max="4" width="12" style="2716"/>
    <col min="5" max="5" width="14.625" style="2716" customWidth="1"/>
    <col min="6" max="8" width="12" style="2716"/>
    <col min="9" max="9" width="12.125" style="2716" bestFit="1" customWidth="1"/>
    <col min="10" max="10" width="12" style="2716"/>
    <col min="11" max="11" width="8.125" style="2784" customWidth="1"/>
    <col min="12" max="12" width="12" style="2716"/>
    <col min="13" max="13" width="8.5" style="2716" customWidth="1"/>
    <col min="14" max="14" width="9.62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2797</v>
      </c>
      <c r="B1" s="241"/>
      <c r="C1" s="245" t="s">
        <v>2798</v>
      </c>
      <c r="D1" s="388">
        <f>SUM(D29:D30,D33:D39)</f>
        <v>0</v>
      </c>
      <c r="E1" s="2713"/>
      <c r="F1" s="2713"/>
      <c r="G1" s="2713"/>
      <c r="H1" s="2713"/>
      <c r="I1" s="2713"/>
      <c r="J1" s="2713"/>
      <c r="K1" s="1373"/>
      <c r="L1" s="2714" t="s">
        <v>2799</v>
      </c>
      <c r="M1" s="1083">
        <f>SUMPRODUCT((区片价!B5:B9=I2)*(区片价!C3:F3=E2)*(区片价!C5:F9))</f>
        <v>0</v>
      </c>
      <c r="N1" s="1086">
        <f>SUMPRODUCT((因素修正幅度!B5:B9=I2)*(因素修正幅度!C3:F3=E2)*(因素修正幅度!C5:F9))</f>
        <v>0</v>
      </c>
      <c r="O1" s="2715"/>
      <c r="P1" s="2715"/>
      <c r="Q1" s="1373"/>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17" t="s">
        <v>2806</v>
      </c>
      <c r="D2" s="2718" t="s">
        <v>2807</v>
      </c>
      <c r="E2" s="2719"/>
      <c r="F2" s="2718" t="s">
        <v>2808</v>
      </c>
      <c r="G2" s="2720">
        <f>IF(E2="商业",项目基本情况!B37,IF(E2="办公",项目基本情况!C37,IF(E2="住宅",项目基本情况!D37,项目基本情况!E37)))</f>
        <v>0</v>
      </c>
      <c r="H2" s="2718" t="s">
        <v>2809</v>
      </c>
      <c r="I2" s="2720">
        <f>IF(E2="商业",项目基本情况!B38,IF(E2="办公",项目基本情况!C38,IF(E2="住宅",项目基本情况!D38,项目基本情况!E38)))</f>
        <v>0</v>
      </c>
      <c r="J2" s="2721"/>
      <c r="K2" s="1373"/>
      <c r="L2" s="2722" t="s">
        <v>2810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17" t="s">
        <v>2812</v>
      </c>
      <c r="D3" s="2718" t="s">
        <v>2813</v>
      </c>
      <c r="E3" s="2723"/>
      <c r="F3" s="2724" t="s">
        <v>2814</v>
      </c>
      <c r="G3" s="916">
        <f>IF(F3="宗地容积率",'数据-汇总表'!I4,IF(F3="估价对象容积率",'数据-汇总表'!I6,'数据-汇总表'!I7))</f>
        <v>1.19</v>
      </c>
      <c r="H3" s="198" t="s">
        <v>2815</v>
      </c>
      <c r="I3" s="947"/>
      <c r="J3" s="2721" t="s">
        <v>2816</v>
      </c>
      <c r="K3" s="1373"/>
      <c r="L3" s="2722" t="s">
        <v>2817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2"/>
      <c r="B4" s="3263"/>
      <c r="C4" s="3263"/>
      <c r="D4" s="3264"/>
      <c r="E4" s="3264"/>
      <c r="F4" s="3264"/>
      <c r="G4" s="3264"/>
      <c r="H4" s="3264"/>
      <c r="I4" s="3264"/>
      <c r="J4" s="3265"/>
      <c r="K4" s="1373"/>
      <c r="L4" s="2722" t="s">
        <v>2818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2819</v>
      </c>
      <c r="C5" s="917" t="e">
        <f>ROUND(IF(E2="商业",IF(F16="增加",C6*C7+C16,C6*C7-C16),IF(E2="住宅",IF(F16="增加",C6*C12+C16,C6*C12-C16),IF(F16="增加",C6+C16,C6-C16))),0)</f>
        <v>#DIV/0!</v>
      </c>
      <c r="D5" s="1789">
        <f>ROUND(IF(E2="商业",IF(F16="增加",C6+C16,C6-C16)),0)</f>
        <v>0</v>
      </c>
      <c r="E5" s="2727"/>
      <c r="F5" s="2727"/>
      <c r="G5" s="2728"/>
      <c r="H5" s="2728"/>
      <c r="I5" s="2728"/>
      <c r="J5" s="2729"/>
      <c r="K5" s="2730"/>
      <c r="L5" s="2722" t="s">
        <v>2820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5.75" thickBot="1">
      <c r="A6" s="2735" t="s">
        <v>2821</v>
      </c>
      <c r="B6" s="2736" t="s">
        <v>2822</v>
      </c>
      <c r="C6" s="918">
        <f>SUMIF(L1:L12,G2,M1:M12)</f>
        <v>0</v>
      </c>
      <c r="D6" s="2737" t="s">
        <v>2823</v>
      </c>
      <c r="E6" s="2738"/>
      <c r="F6" s="2738"/>
      <c r="G6" s="2739"/>
      <c r="H6" s="2739"/>
      <c r="I6" s="2739"/>
      <c r="J6" s="2740"/>
      <c r="K6" s="1844"/>
      <c r="L6" s="2722" t="s">
        <v>2824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24">
      <c r="A7" s="3266" t="str">
        <f>IF(E2="商业",IF(C8="不临58条商业街","",2),"")</f>
        <v/>
      </c>
      <c r="B7" s="2741" t="s">
        <v>2825</v>
      </c>
      <c r="C7" s="919" t="e">
        <f>IF(C8="不临58条商业街",1,ROUND(1+(1.6*E8+1.2*E9+0.8*E10+0.4*E11)*C9,4))</f>
        <v>#DIV/0!</v>
      </c>
      <c r="D7" s="2742" t="s">
        <v>2826</v>
      </c>
      <c r="E7" s="948"/>
      <c r="F7" s="2743"/>
      <c r="G7" s="2744"/>
      <c r="H7" s="2744"/>
      <c r="I7" s="2744"/>
      <c r="J7" s="2745"/>
      <c r="K7" s="1844"/>
      <c r="L7" s="2722" t="s">
        <v>2827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2828</v>
      </c>
      <c r="X7" s="1606">
        <f>G2</f>
        <v>0</v>
      </c>
      <c r="Y7" s="1606" t="s">
        <v>2829</v>
      </c>
      <c r="Z7" s="1607">
        <f>G3</f>
        <v>1.19</v>
      </c>
      <c r="AA7" s="1608"/>
      <c r="AB7" s="1608"/>
      <c r="AC7" s="1609"/>
      <c r="AD7" s="1610"/>
      <c r="AE7" s="1610"/>
      <c r="AF7" s="1610"/>
      <c r="AG7" s="1610"/>
      <c r="AH7" s="1610"/>
      <c r="AI7" s="1610"/>
      <c r="AJ7" s="1611"/>
    </row>
    <row r="8" spans="1:36" ht="15">
      <c r="A8" s="3267"/>
      <c r="B8" s="198" t="s">
        <v>2830</v>
      </c>
      <c r="C8" s="2746"/>
      <c r="D8" s="920" t="s">
        <v>139</v>
      </c>
      <c r="E8" s="921" t="e">
        <f>ROUND(C11/E7,4)</f>
        <v>#DIV/0!</v>
      </c>
      <c r="F8" s="2747" t="s">
        <v>2831</v>
      </c>
      <c r="G8" s="2748"/>
      <c r="H8" s="2748"/>
      <c r="I8" s="2748"/>
      <c r="J8" s="2749"/>
      <c r="K8" s="1373"/>
      <c r="L8" s="2722" t="s">
        <v>2832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9" t="s">
        <v>2833</v>
      </c>
      <c r="X8" s="3260"/>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67"/>
      <c r="B9" s="198" t="s">
        <v>2846</v>
      </c>
      <c r="C9" s="922">
        <f>SUMIF(修正!C59:C119,C8,修正!E59:E119)</f>
        <v>0</v>
      </c>
      <c r="D9" s="200" t="s">
        <v>140</v>
      </c>
      <c r="E9" s="200" t="e">
        <f>ROUND(C11/E7,4)</f>
        <v>#DIV/0!</v>
      </c>
      <c r="F9" s="2747" t="s">
        <v>2847</v>
      </c>
      <c r="G9" s="2748"/>
      <c r="H9" s="2748"/>
      <c r="I9" s="2748"/>
      <c r="J9" s="2749"/>
      <c r="K9" s="1373"/>
      <c r="L9" s="2722" t="s">
        <v>2848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1"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7"/>
      <c r="B10" s="198" t="s">
        <v>2851</v>
      </c>
      <c r="C10" s="200">
        <f>SUMIF(修正!C59:C119,C8,修正!F59:F119)</f>
        <v>0</v>
      </c>
      <c r="D10" s="200" t="s">
        <v>141</v>
      </c>
      <c r="E10" s="200" t="e">
        <f>ROUND(C11/E7,4)</f>
        <v>#DIV/0!</v>
      </c>
      <c r="F10" s="2747" t="s">
        <v>2852</v>
      </c>
      <c r="G10" s="2748"/>
      <c r="H10" s="2748"/>
      <c r="I10" s="2748"/>
      <c r="J10" s="2749"/>
      <c r="K10" s="1373"/>
      <c r="L10" s="2722" t="s">
        <v>2853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7"/>
      <c r="B11" s="2750" t="s">
        <v>2854</v>
      </c>
      <c r="C11" s="923">
        <f>C10/4</f>
        <v>0</v>
      </c>
      <c r="D11" s="923" t="s">
        <v>142</v>
      </c>
      <c r="E11" s="923" t="e">
        <f>ROUND(C11/E7,4)</f>
        <v>#DIV/0!</v>
      </c>
      <c r="F11" s="2751" t="s">
        <v>2855</v>
      </c>
      <c r="G11" s="2752"/>
      <c r="H11" s="2752"/>
      <c r="I11" s="2752"/>
      <c r="J11" s="2753"/>
      <c r="K11" s="1373"/>
      <c r="L11" s="2722" t="s">
        <v>2856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1" t="s">
        <v>2857</v>
      </c>
      <c r="X11" s="1616" t="s">
        <v>2858</v>
      </c>
      <c r="Y11" s="1617">
        <f>$G$3</f>
        <v>1.19</v>
      </c>
      <c r="Z11" s="1617">
        <f t="shared" ref="Z11:AJ11" si="3">$G$3</f>
        <v>1.19</v>
      </c>
      <c r="AA11" s="1617">
        <f t="shared" si="3"/>
        <v>1.19</v>
      </c>
      <c r="AB11" s="1617">
        <f t="shared" si="3"/>
        <v>1.19</v>
      </c>
      <c r="AC11" s="1617">
        <f t="shared" si="3"/>
        <v>1.19</v>
      </c>
      <c r="AD11" s="1617">
        <f t="shared" si="3"/>
        <v>1.19</v>
      </c>
      <c r="AE11" s="1617">
        <f t="shared" si="3"/>
        <v>1.19</v>
      </c>
      <c r="AF11" s="1617">
        <f t="shared" si="3"/>
        <v>1.19</v>
      </c>
      <c r="AG11" s="1617">
        <f t="shared" si="3"/>
        <v>1.19</v>
      </c>
      <c r="AH11" s="1617">
        <f t="shared" si="3"/>
        <v>1.19</v>
      </c>
      <c r="AI11" s="1617">
        <f t="shared" si="3"/>
        <v>1.19</v>
      </c>
      <c r="AJ11" s="1617">
        <f t="shared" si="3"/>
        <v>1.19</v>
      </c>
    </row>
    <row r="12" spans="1:36" ht="25.5" thickBot="1">
      <c r="A12" s="3266" t="s">
        <v>2859</v>
      </c>
      <c r="B12" s="2754" t="s">
        <v>2860</v>
      </c>
      <c r="C12" s="919">
        <f>ROUND(C15*D15*E15*F15*G15*H15*I15*J15,4)</f>
        <v>1</v>
      </c>
      <c r="D12" s="2755" t="s">
        <v>2861</v>
      </c>
      <c r="E12" s="2756"/>
      <c r="F12" s="2756"/>
      <c r="G12" s="2757"/>
      <c r="H12" s="2757"/>
      <c r="I12" s="2757"/>
      <c r="J12" s="2758"/>
      <c r="K12" s="1373"/>
      <c r="L12" s="2759" t="s">
        <v>2862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1"/>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0" t="s">
        <v>2864</v>
      </c>
      <c r="C13" s="2761" t="s">
        <v>2865</v>
      </c>
      <c r="D13" s="1810" t="s">
        <v>2866</v>
      </c>
      <c r="E13" s="1810" t="s">
        <v>2867</v>
      </c>
      <c r="F13" s="30" t="s">
        <v>2868</v>
      </c>
      <c r="G13" s="2762" t="s">
        <v>2869</v>
      </c>
      <c r="H13" s="2762" t="s">
        <v>2869</v>
      </c>
      <c r="I13" s="2762" t="s">
        <v>2869</v>
      </c>
      <c r="J13" s="2763" t="s">
        <v>2869</v>
      </c>
      <c r="K13" s="1373"/>
      <c r="L13" s="1373"/>
      <c r="M13" s="1373"/>
      <c r="N13" s="1373"/>
      <c r="O13" s="1373"/>
      <c r="P13" s="1373"/>
      <c r="Q13" s="1373"/>
      <c r="R13" s="1604">
        <v>12</v>
      </c>
      <c r="S13" s="1605"/>
      <c r="T13" s="1604" t="e">
        <f t="shared" si="0"/>
        <v>#DIV/0!</v>
      </c>
      <c r="U13" s="1605"/>
      <c r="V13" s="1604" t="e">
        <f t="shared" si="1"/>
        <v>#DIV/0!</v>
      </c>
      <c r="W13" s="3261"/>
      <c r="X13" s="1618"/>
      <c r="Y13" s="1615">
        <f>(-0.163*(Y12^2)-0.59*Y12+7617)*(10^(-4))/Y11</f>
        <v>0.64008403361344546</v>
      </c>
      <c r="Z13" s="1615">
        <f t="shared" ref="Z13:AJ13" si="5">(-0.163*(Z12^2)-0.59*Z12+7617)*(10^(-4))/Z11</f>
        <v>0.64008403361344546</v>
      </c>
      <c r="AA13" s="1615">
        <f t="shared" si="5"/>
        <v>0.64008403361344546</v>
      </c>
      <c r="AB13" s="1615">
        <f t="shared" si="5"/>
        <v>0.64008403361344546</v>
      </c>
      <c r="AC13" s="1615">
        <f t="shared" si="5"/>
        <v>0.64008403361344546</v>
      </c>
      <c r="AD13" s="1615">
        <f t="shared" si="5"/>
        <v>0.64008403361344546</v>
      </c>
      <c r="AE13" s="1615">
        <f t="shared" si="5"/>
        <v>0.64008403361344546</v>
      </c>
      <c r="AF13" s="1615">
        <f t="shared" si="5"/>
        <v>0.64008403361344546</v>
      </c>
      <c r="AG13" s="1615">
        <f t="shared" si="5"/>
        <v>0.64008403361344546</v>
      </c>
      <c r="AH13" s="1615">
        <f t="shared" si="5"/>
        <v>0.64008403361344546</v>
      </c>
      <c r="AI13" s="1615">
        <f t="shared" si="5"/>
        <v>0.64008403361344546</v>
      </c>
      <c r="AJ13" s="1615">
        <f t="shared" si="5"/>
        <v>0.64008403361344546</v>
      </c>
    </row>
    <row r="14" spans="1:36" ht="15">
      <c r="A14" s="3268"/>
      <c r="B14" s="2764"/>
      <c r="C14" s="2765"/>
      <c r="D14" s="2766"/>
      <c r="E14" s="2766"/>
      <c r="F14" s="2767"/>
      <c r="G14" s="2768" t="s">
        <v>2870</v>
      </c>
      <c r="H14" s="2769"/>
      <c r="I14" s="2770"/>
      <c r="J14" s="277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72" t="s">
        <v>2871</v>
      </c>
      <c r="C15" s="229">
        <f>IF(C14="有",1.1,1)</f>
        <v>1</v>
      </c>
      <c r="D15" s="229">
        <f>IF(D14="有",1.1,1)</f>
        <v>1</v>
      </c>
      <c r="E15" s="229">
        <f>IF(E14="有",1.1,1)</f>
        <v>1</v>
      </c>
      <c r="F15" s="229">
        <f>IF(F14="500米范围内",1.2,IF(F14="500-1000米",1.1,1))</f>
        <v>1</v>
      </c>
      <c r="G15" s="949">
        <v>1</v>
      </c>
      <c r="H15" s="949">
        <v>1</v>
      </c>
      <c r="I15" s="949">
        <v>1</v>
      </c>
      <c r="J15" s="950">
        <v>1</v>
      </c>
      <c r="K15" s="1373"/>
      <c r="L15" s="2773" t="s">
        <v>2807</v>
      </c>
      <c r="M15" s="920" t="s">
        <v>2872</v>
      </c>
      <c r="N15" s="920" t="s">
        <v>2873</v>
      </c>
      <c r="O15" s="920" t="s">
        <v>2874</v>
      </c>
      <c r="P15" s="2774" t="s">
        <v>2875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6" t="s">
        <v>2876</v>
      </c>
      <c r="B16" s="2741" t="s">
        <v>2877</v>
      </c>
      <c r="C16" s="1803" t="e">
        <f>ROUND(SUM(G17:J17)/C17,0)</f>
        <v>#DIV/0!</v>
      </c>
      <c r="D16" s="2775" t="s">
        <v>2878</v>
      </c>
      <c r="E16" s="2776"/>
      <c r="F16" s="2777"/>
      <c r="G16" s="2778"/>
      <c r="H16" s="2778"/>
      <c r="I16" s="2778"/>
      <c r="J16" s="2779"/>
      <c r="K16" s="1373"/>
      <c r="L16" s="2780" t="s">
        <v>2879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7"/>
      <c r="B17" s="2781" t="s">
        <v>2880</v>
      </c>
      <c r="C17" s="924">
        <f>SUMPRODUCT((修正!A2:A5=E2)*(修正!B1:M1=G2)*(修正!B2:M5))</f>
        <v>0</v>
      </c>
      <c r="D17" s="2782"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2884</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2885</v>
      </c>
      <c r="C19" s="927" t="e">
        <f>ROUND(IF(H19="按公示增长率计算",SUMPRODUCT((地价!A3:A23=YEAR(G19)&amp;"-"&amp;ROUNDUP(MONTH(G19)/3,0))*(地价!X2:AB2=E2)*(地价!X3:AB23)),IF(H19="地价指数",M20/M19,(1+I19)^O19)),4)</f>
        <v>#DIV/0!</v>
      </c>
      <c r="D19" s="2793" t="s">
        <v>2886</v>
      </c>
      <c r="E19" s="928">
        <v>41640</v>
      </c>
      <c r="F19" s="2793" t="s">
        <v>2887</v>
      </c>
      <c r="G19" s="929">
        <f>'数据-取费表'!B2</f>
        <v>43357</v>
      </c>
      <c r="H19" s="2794" t="s">
        <v>2888</v>
      </c>
      <c r="I19" s="930" t="str">
        <f>IF(H19="季度增幅（自定义）",SUMIF(N21:N24,E2,O21:O24),"")</f>
        <v/>
      </c>
      <c r="J19" s="2791"/>
      <c r="K19" s="1380"/>
      <c r="L19" s="2795" t="s">
        <v>2889</v>
      </c>
      <c r="M19" s="1736">
        <f>ROUND(SUMIF(地价!B2:F2,E2,地价!B23:F23),0)</f>
        <v>0</v>
      </c>
      <c r="N19" s="2796"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2891</v>
      </c>
      <c r="C20" s="932" t="e">
        <f>ROUND(POWER(1+G20,J20-I20)*(POWER(1+G20,I20)-1)/(POWER(1+G20,J20)-1),4)</f>
        <v>#DIV/0!</v>
      </c>
      <c r="D20" s="2802" t="s">
        <v>2892</v>
      </c>
      <c r="E20" s="1770">
        <f ca="1">存贷款利率!D4/100</f>
        <v>4.3499999999999997E-2</v>
      </c>
      <c r="F20" s="2802" t="s">
        <v>2883</v>
      </c>
      <c r="G20" s="937">
        <f>SUMIF(M15:P15,E2,M17:P17)</f>
        <v>0</v>
      </c>
      <c r="H20" s="2802" t="s">
        <v>2893</v>
      </c>
      <c r="I20" s="938" t="e">
        <f>SUMIF('数据-取费表'!C6:C15,E2,'数据-取费表'!F6:F15)/COUNTIF('数据-取费表'!C6:C15,E2)</f>
        <v>#DIV/0!</v>
      </c>
      <c r="J20" s="939">
        <f>IF(E2="住宅",70,IF(E2="商业",40,50))</f>
        <v>50</v>
      </c>
      <c r="K20" s="1380"/>
      <c r="L20" s="2803" t="s">
        <v>2894</v>
      </c>
      <c r="M20" s="1737">
        <f>ROUND(SUMPRODUCT((地价!A4:A23=YEAR(G19)&amp;"-"&amp;ROUNDUP(MONTH(G19)/3,0))*(地价!B2:F2=E2)*(地价!B4:F23)),0)</f>
        <v>0</v>
      </c>
      <c r="N20" s="2804" t="s">
        <v>2895</v>
      </c>
      <c r="O20" s="2805" t="s">
        <v>2896</v>
      </c>
      <c r="P20" s="2806" t="s">
        <v>2897</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2898</v>
      </c>
      <c r="C21" s="940">
        <f>IF(B21="容积率修正",IF(G3&lt;=10,D22,J22),C23)</f>
        <v>0</v>
      </c>
      <c r="D21" s="2809"/>
      <c r="E21" s="2809"/>
      <c r="F21" s="2809"/>
      <c r="G21" s="2809"/>
      <c r="H21" s="2809"/>
      <c r="I21" s="2809"/>
      <c r="J21" s="2810"/>
      <c r="K21" s="1380"/>
      <c r="N21" s="2811"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2900</v>
      </c>
      <c r="B22" s="2812" t="s">
        <v>2901</v>
      </c>
      <c r="C22" s="1812" t="s">
        <v>2902</v>
      </c>
      <c r="D22" s="1812">
        <f>IF(E22=G22,F22,IF(G3&lt;=10,ROUND(F22+(H22-F22)*(G3-E22)/(G22-E22),4),"——"))</f>
        <v>0</v>
      </c>
      <c r="E22" s="916">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1"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2904</v>
      </c>
      <c r="B23" s="2813" t="s">
        <v>2905</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2907</v>
      </c>
      <c r="C24" s="927">
        <f>SUMIF(A45:A88,E2,B45:B88)</f>
        <v>0</v>
      </c>
      <c r="D24" s="2789"/>
      <c r="E24" s="2819"/>
      <c r="F24" s="2819"/>
      <c r="G24" s="2819"/>
      <c r="H24" s="2819"/>
      <c r="I24" s="2819"/>
      <c r="J24" s="2820"/>
      <c r="K24" s="1380"/>
      <c r="N24" s="2821"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2909</v>
      </c>
      <c r="C25" s="933"/>
      <c r="D25" s="2744"/>
      <c r="E25" s="2744"/>
      <c r="F25" s="2823"/>
      <c r="G25" s="2744"/>
      <c r="H25" s="2744"/>
      <c r="I25" s="2744"/>
      <c r="J25" s="2745"/>
      <c r="K25" s="1373"/>
      <c r="N25" s="2824"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2911</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2912</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2913</v>
      </c>
      <c r="C28" s="2836" t="s">
        <v>2914</v>
      </c>
      <c r="D28" s="2836" t="s">
        <v>2915</v>
      </c>
      <c r="E28" s="2837" t="s">
        <v>2916</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2917</v>
      </c>
      <c r="C29" s="206" t="e">
        <f>ROUND(C5*C18*C19*C20*C21*C24,0)</f>
        <v>#DIV/0!</v>
      </c>
      <c r="D29" s="2841"/>
      <c r="E29" s="945" t="e">
        <f>ROUND(C29*D29/10000,0)</f>
        <v>#DIV/0!</v>
      </c>
      <c r="F29" s="2842" t="s">
        <v>2918</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2919</v>
      </c>
      <c r="C30" s="229" t="e">
        <f>ROUND(IF(E2="工业",C29*M39,C29*M38),0)</f>
        <v>#DIV/0!</v>
      </c>
      <c r="D30" s="2847"/>
      <c r="E30" s="945" t="e">
        <f>ROUND(C30*D30/10000,0)</f>
        <v>#DIV/0!</v>
      </c>
      <c r="F30" s="2848" t="s">
        <v>2920</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2921</v>
      </c>
      <c r="C31" s="2853" t="s">
        <v>2922</v>
      </c>
      <c r="D31" s="2757"/>
      <c r="E31" s="2853"/>
      <c r="F31" s="2853"/>
      <c r="G31" s="2755" t="s">
        <v>2923</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2914</v>
      </c>
      <c r="D32" s="498" t="s">
        <v>2915</v>
      </c>
      <c r="E32" s="498" t="s">
        <v>2916</v>
      </c>
      <c r="F32" s="388" t="s">
        <v>2924</v>
      </c>
      <c r="G32" s="2856" t="s">
        <v>2914</v>
      </c>
      <c r="H32" s="2856" t="s">
        <v>2915</v>
      </c>
      <c r="I32" s="2856"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76" t="s">
        <v>2925</v>
      </c>
      <c r="B33" s="2857" t="s">
        <v>2926</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61" t="s">
        <v>2927</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61" t="s">
        <v>2928</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78"/>
      <c r="B36" s="2761" t="s">
        <v>2929</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2930</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2931</v>
      </c>
      <c r="M37" s="2861"/>
      <c r="N37" s="1373"/>
      <c r="O37" s="1373"/>
      <c r="P37" s="1373"/>
      <c r="Q37" s="1373"/>
      <c r="R37" s="1373"/>
      <c r="S37" s="1373"/>
      <c r="T37" s="1373"/>
      <c r="U37" s="1373"/>
      <c r="V37" s="1373"/>
      <c r="W37" s="1373"/>
      <c r="X37" s="1373"/>
      <c r="Y37" s="1373"/>
      <c r="Z37" s="1374"/>
    </row>
    <row r="38" spans="1:37">
      <c r="A38" s="2859"/>
      <c r="B38" s="2761" t="s">
        <v>2932</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89" t="s">
        <v>2933</v>
      </c>
      <c r="M38" s="2862">
        <v>0.25</v>
      </c>
      <c r="N38" s="1373"/>
      <c r="O38" s="1373"/>
      <c r="P38" s="1373"/>
      <c r="Q38" s="1373"/>
      <c r="R38" s="1373"/>
      <c r="S38" s="1373"/>
      <c r="T38" s="1373"/>
      <c r="U38" s="1373"/>
      <c r="V38" s="1373"/>
      <c r="W38" s="1373"/>
      <c r="X38" s="1373"/>
      <c r="Y38" s="1373"/>
      <c r="Z38" s="1374"/>
    </row>
    <row r="39" spans="1:37" ht="13.5" thickBot="1">
      <c r="A39" s="2845"/>
      <c r="B39" s="2863" t="s">
        <v>2934</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2875</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2935</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2936</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2937</v>
      </c>
      <c r="B47" s="1811" t="s">
        <v>2938</v>
      </c>
      <c r="C47" s="1811" t="s">
        <v>2939</v>
      </c>
      <c r="D47" s="1811" t="s">
        <v>2940</v>
      </c>
      <c r="E47" s="819" t="s">
        <v>2941</v>
      </c>
      <c r="F47" s="2875" t="s">
        <v>2942</v>
      </c>
      <c r="G47" s="1811" t="s">
        <v>754</v>
      </c>
      <c r="H47" s="2876" t="s">
        <v>2943</v>
      </c>
      <c r="I47" s="1811" t="s">
        <v>2944</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4" t="s">
        <v>2945</v>
      </c>
      <c r="B48" s="2877" t="str">
        <f>估价对象房地状况!C4</f>
        <v>——</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4" t="s">
        <v>2946</v>
      </c>
      <c r="B49" s="2878" t="str">
        <f>估价对象房地状况!C18</f>
        <v>估价对象周边有152路、208路等公交线路，周边路网密集程度一般，停车便捷程度一般，综合评价交通便捷度一般。</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2947</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2948</v>
      </c>
      <c r="B51" s="2879" t="s">
        <v>2949</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2950</v>
      </c>
      <c r="B52" s="2878" t="str">
        <f>估价对象房地状况!C24</f>
        <v>城市支路—泽惠道</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2951</v>
      </c>
      <c r="B53" s="2880" t="s">
        <v>2952</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2953</v>
      </c>
      <c r="B54" s="1727" t="str">
        <f>估价对象房地状况!C21</f>
        <v>估价对象所在区域公共配套设施齐备情况较好。</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2954</v>
      </c>
      <c r="B55" s="2878" t="str">
        <f>估价对象房地状况!C22</f>
        <v>估价对象所在区域基础设施水平达“七通”。</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2" t="s">
        <v>2955</v>
      </c>
      <c r="B56" s="2883" t="str">
        <f>估价对象房地状况!C20</f>
        <v>估价对象所在区域有月牙河公园，自然状况一般；所在区域无人文设施，人文环境较差；综合评价环境状况较差。</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2956</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2937</v>
      </c>
      <c r="B58" s="1811"/>
      <c r="C58" s="1811" t="s">
        <v>2939</v>
      </c>
      <c r="D58" s="1811" t="s">
        <v>2940</v>
      </c>
      <c r="E58" s="819" t="s">
        <v>2941</v>
      </c>
      <c r="F58" s="2875" t="s">
        <v>2957</v>
      </c>
      <c r="G58" s="1811" t="s">
        <v>754</v>
      </c>
      <c r="H58" s="2876" t="s">
        <v>2943</v>
      </c>
      <c r="I58" s="1811" t="s">
        <v>2944</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4" t="s">
        <v>2958</v>
      </c>
      <c r="B59" s="2877" t="str">
        <f>估价对象房地状况!C17</f>
        <v>——</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4" t="s">
        <v>2946</v>
      </c>
      <c r="B60" s="2878" t="str">
        <f>估价对象房地状况!C18</f>
        <v>估价对象周边有152路、208路等公交线路，周边路网密集程度一般，停车便捷程度一般，综合评价交通便捷度一般。</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2947</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2948</v>
      </c>
      <c r="B62" s="2879" t="s">
        <v>2949</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2950</v>
      </c>
      <c r="B63" s="2878" t="str">
        <f>估价对象房地状况!C24</f>
        <v>城市支路—泽惠道</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2951</v>
      </c>
      <c r="B64" s="2880" t="s">
        <v>2952</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2953</v>
      </c>
      <c r="B65" s="1727" t="str">
        <f>估价对象房地状况!C21</f>
        <v>估价对象所在区域公共配套设施齐备情况较好。</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2954</v>
      </c>
      <c r="B66" s="1727" t="str">
        <f>估价对象房地状况!C22</f>
        <v>估价对象所在区域基础设施水平达“七通”。</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2" t="s">
        <v>2955</v>
      </c>
      <c r="B67" s="2884" t="str">
        <f>估价对象房地状况!C20</f>
        <v>估价对象所在区域有月牙河公园，自然状况一般；所在区域无人文设施，人文环境较差；综合评价环境状况较差。</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2959</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2937</v>
      </c>
      <c r="B69" s="1811"/>
      <c r="C69" s="1811" t="s">
        <v>2939</v>
      </c>
      <c r="D69" s="1811" t="s">
        <v>2940</v>
      </c>
      <c r="E69" s="819" t="s">
        <v>2941</v>
      </c>
      <c r="F69" s="2875" t="s">
        <v>2957</v>
      </c>
      <c r="G69" s="1811" t="s">
        <v>754</v>
      </c>
      <c r="H69" s="2876" t="s">
        <v>2943</v>
      </c>
      <c r="I69" s="1811" t="s">
        <v>2944</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76.5">
      <c r="A70" s="2874" t="s">
        <v>2960</v>
      </c>
      <c r="B70" s="2877" t="str">
        <f>估价对象房地状况!C15</f>
        <v>估价对象周边有钱隆学府、宣惠园社区等住宅项目，规模一般，入住率一般，分布密集程度一般，综合评价居住社区成熟度一般。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4" t="s">
        <v>2946</v>
      </c>
      <c r="B71" s="2878" t="str">
        <f>估价对象房地状况!C18</f>
        <v>估价对象周边有152路、208路等公交线路，周边路网密集程度一般，停车便捷程度一般，综合评价交通便捷度一般。</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2947</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2961</v>
      </c>
      <c r="B73" s="2878" t="str">
        <f>估价对象房地状况!C24</f>
        <v>城市支路—泽惠道</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2953</v>
      </c>
      <c r="B74" s="1727" t="str">
        <f>估价对象房地状况!C21</f>
        <v>估价对象所在区域公共配套设施齐备情况较好。</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2954</v>
      </c>
      <c r="B75" s="1727" t="str">
        <f>估价对象房地状况!C22</f>
        <v>估价对象所在区域基础设施水平达“七通”。</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2951</v>
      </c>
      <c r="B76" s="2880" t="s">
        <v>2952</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63.75">
      <c r="A77" s="2874" t="s">
        <v>2955</v>
      </c>
      <c r="B77" s="2877" t="str">
        <f>估价对象房地状况!C20</f>
        <v>估价对象所在区域有月牙河公园，自然状况一般；所在区域无人文设施，人文环境较差；综合评价环境状况较差。</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2962</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2963</v>
      </c>
      <c r="B79" s="2871">
        <f>1+E81</f>
        <v>1</v>
      </c>
      <c r="C79" s="814"/>
      <c r="D79" s="814"/>
      <c r="E79" s="815"/>
      <c r="F79" s="2873"/>
      <c r="G79" s="6"/>
      <c r="H79" s="6"/>
      <c r="I79" s="6"/>
      <c r="J79" s="7"/>
      <c r="K79" s="7"/>
      <c r="L79" s="7"/>
      <c r="M79" s="7"/>
      <c r="N79" s="7"/>
      <c r="Z79" s="2716"/>
      <c r="AA79" s="2792"/>
      <c r="AG79" s="1375"/>
      <c r="AK79" s="2792"/>
    </row>
    <row r="80" spans="1:37" ht="24.75">
      <c r="A80" s="2874" t="s">
        <v>2937</v>
      </c>
      <c r="B80" s="1811"/>
      <c r="C80" s="1811" t="s">
        <v>2939</v>
      </c>
      <c r="D80" s="1811" t="s">
        <v>2940</v>
      </c>
      <c r="E80" s="819" t="s">
        <v>2941</v>
      </c>
      <c r="F80" s="2875" t="s">
        <v>2957</v>
      </c>
      <c r="G80" s="1811" t="s">
        <v>754</v>
      </c>
      <c r="H80" s="2876" t="s">
        <v>2943</v>
      </c>
      <c r="I80" s="1811" t="s">
        <v>2944</v>
      </c>
      <c r="J80" s="603" t="s">
        <v>2590</v>
      </c>
      <c r="K80" s="603" t="s">
        <v>2591</v>
      </c>
      <c r="L80" s="603" t="s">
        <v>2592</v>
      </c>
      <c r="M80" s="603" t="s">
        <v>2593</v>
      </c>
      <c r="N80" s="603" t="s">
        <v>2594</v>
      </c>
      <c r="Z80" s="2716"/>
      <c r="AA80" s="2792"/>
      <c r="AG80" s="1375"/>
      <c r="AK80" s="2792"/>
    </row>
    <row r="81" spans="1:37" ht="38.25">
      <c r="A81" s="2874" t="s">
        <v>2964</v>
      </c>
      <c r="B81" s="2878" t="str">
        <f>估价对象房地状况!G15</f>
        <v>估价对象位于XX开发区，园区建设成熟度XX，产业集聚程度XX</v>
      </c>
      <c r="C81" s="2766"/>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2946</v>
      </c>
      <c r="B82" s="2878" t="str">
        <f>估价对象房地状况!G16</f>
        <v>估价对象周边道路状况、公共交通通达情况、停车便捷程度，综合评价交通便捷度较好</v>
      </c>
      <c r="C82" s="2766"/>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2947</v>
      </c>
      <c r="B83" s="2878">
        <f>估价对象房地状况!G17</f>
        <v>0</v>
      </c>
      <c r="C83" s="2766"/>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2961</v>
      </c>
      <c r="B84" s="2878">
        <f>估价对象房地状况!G22</f>
        <v>0</v>
      </c>
      <c r="C84" s="2766"/>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2953</v>
      </c>
      <c r="B85" s="1727" t="str">
        <f>估价对象房地状况!G19</f>
        <v>估价对象所在区域公共配套设施齐备情况</v>
      </c>
      <c r="C85" s="2766"/>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2954</v>
      </c>
      <c r="B86" s="1727" t="str">
        <f>估价对象房地状况!G20</f>
        <v>估价对象所在区域基础设施水平</v>
      </c>
      <c r="C86" s="2766"/>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2951</v>
      </c>
      <c r="B87" s="2880" t="s">
        <v>2965</v>
      </c>
      <c r="C87" s="2766"/>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2966</v>
      </c>
      <c r="B88" s="2887" t="str">
        <f>估价对象房地状况!G18</f>
        <v>该园区内是否有污染型企业，绿化情况，卫生条件，整体环境状况判断</v>
      </c>
      <c r="C88" s="2766"/>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70" t="s">
        <v>2967</v>
      </c>
      <c r="B90" s="3270"/>
      <c r="C90" s="3270"/>
      <c r="D90" s="3270"/>
      <c r="E90" s="3270"/>
      <c r="F90" s="3270"/>
      <c r="G90" s="3270"/>
      <c r="H90" s="3270"/>
      <c r="I90" s="3270"/>
      <c r="J90" s="3270"/>
      <c r="K90" s="2888"/>
      <c r="L90" s="2888"/>
      <c r="M90" s="2888"/>
      <c r="N90" s="2888"/>
    </row>
    <row r="91" spans="1:37">
      <c r="A91" s="3272" t="s">
        <v>2968</v>
      </c>
      <c r="B91" s="3272" t="s">
        <v>2969</v>
      </c>
      <c r="C91" s="2842" t="s">
        <v>2970</v>
      </c>
      <c r="D91" s="2843"/>
      <c r="E91" s="2843"/>
      <c r="F91" s="2843"/>
      <c r="G91" s="2843"/>
      <c r="H91" s="2843"/>
      <c r="I91" s="2843"/>
      <c r="J91" s="2889"/>
      <c r="K91" s="2890"/>
      <c r="L91" s="2890"/>
      <c r="M91" s="2890"/>
      <c r="N91" s="2890"/>
    </row>
    <row r="92" spans="1:37">
      <c r="A92" s="3272"/>
      <c r="B92" s="3272"/>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73"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4"/>
      <c r="B99" s="2891" t="s">
        <v>2850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3" t="s">
        <v>2972</v>
      </c>
      <c r="B101" s="2895" t="s">
        <v>2973</v>
      </c>
      <c r="C101" s="2896">
        <f>$G$3</f>
        <v>1.19</v>
      </c>
      <c r="D101" s="2896">
        <f t="shared" ref="D101:N101" si="31">$G$3</f>
        <v>1.19</v>
      </c>
      <c r="E101" s="2896">
        <f t="shared" si="31"/>
        <v>1.19</v>
      </c>
      <c r="F101" s="2896">
        <f t="shared" si="31"/>
        <v>1.19</v>
      </c>
      <c r="G101" s="2896">
        <f t="shared" si="31"/>
        <v>1.19</v>
      </c>
      <c r="H101" s="2896">
        <f t="shared" si="31"/>
        <v>1.19</v>
      </c>
      <c r="I101" s="2896">
        <f t="shared" si="31"/>
        <v>1.19</v>
      </c>
      <c r="J101" s="2896">
        <f t="shared" si="31"/>
        <v>1.19</v>
      </c>
      <c r="K101" s="2896">
        <f t="shared" si="31"/>
        <v>1.19</v>
      </c>
      <c r="L101" s="2896">
        <f t="shared" si="31"/>
        <v>1.19</v>
      </c>
      <c r="M101" s="2896">
        <f t="shared" si="31"/>
        <v>1.19</v>
      </c>
      <c r="N101" s="2896">
        <f t="shared" si="31"/>
        <v>1.19</v>
      </c>
    </row>
    <row r="102" spans="1:14">
      <c r="A102" s="3274"/>
      <c r="B102" s="2891">
        <v>1</v>
      </c>
      <c r="C102" s="2892">
        <f>1.9362/C101</f>
        <v>1.6270588235294117</v>
      </c>
      <c r="D102" s="2892">
        <f>1.9362/D101</f>
        <v>1.6270588235294117</v>
      </c>
      <c r="E102" s="2892">
        <f>1.8629/E101</f>
        <v>1.5654621848739496</v>
      </c>
      <c r="F102" s="2892">
        <f>1.8629/F101</f>
        <v>1.5654621848739496</v>
      </c>
      <c r="G102" s="2892">
        <f>1.8629/G101</f>
        <v>1.5654621848739496</v>
      </c>
      <c r="H102" s="2892">
        <f>1.8629/H101</f>
        <v>1.5654621848739496</v>
      </c>
      <c r="I102" s="2892">
        <f>1.8629/I101</f>
        <v>1.5654621848739496</v>
      </c>
      <c r="J102" s="2892">
        <f>1.942/J101</f>
        <v>1.6319327731092437</v>
      </c>
      <c r="K102" s="2892">
        <f>1.942/K101</f>
        <v>1.6319327731092437</v>
      </c>
      <c r="L102" s="2892">
        <f>1.942/L101</f>
        <v>1.6319327731092437</v>
      </c>
      <c r="M102" s="2892">
        <f>1.942/M101</f>
        <v>1.6319327731092437</v>
      </c>
      <c r="N102" s="2892">
        <f>1.942/N101</f>
        <v>1.6319327731092437</v>
      </c>
    </row>
    <row r="103" spans="1:14">
      <c r="A103" s="3274"/>
      <c r="B103" s="2891">
        <v>2</v>
      </c>
      <c r="C103" s="2892">
        <f>1.4198/C101</f>
        <v>1.1931092436974791</v>
      </c>
      <c r="D103" s="2892">
        <f>1.4198/D101</f>
        <v>1.1931092436974791</v>
      </c>
      <c r="E103" s="2892">
        <f>1.3372/E101</f>
        <v>1.1236974789915966</v>
      </c>
      <c r="F103" s="2892">
        <f>1.3372/F101</f>
        <v>1.1236974789915966</v>
      </c>
      <c r="G103" s="2892">
        <f>1.3372/G101</f>
        <v>1.1236974789915966</v>
      </c>
      <c r="H103" s="2892">
        <f>1.3372/H101</f>
        <v>1.1236974789915966</v>
      </c>
      <c r="I103" s="2892">
        <f>1.3372/I101</f>
        <v>1.1236974789915966</v>
      </c>
      <c r="J103" s="2892">
        <f>1.2799/J101</f>
        <v>1.075546218487395</v>
      </c>
      <c r="K103" s="2892">
        <f>1.2799/K101</f>
        <v>1.075546218487395</v>
      </c>
      <c r="L103" s="2892">
        <f>1.2799/L101</f>
        <v>1.075546218487395</v>
      </c>
      <c r="M103" s="2892">
        <f>1.2799/M101</f>
        <v>1.075546218487395</v>
      </c>
      <c r="N103" s="2892">
        <f>1.2799/N101</f>
        <v>1.075546218487395</v>
      </c>
    </row>
    <row r="104" spans="1:14">
      <c r="A104" s="3274"/>
      <c r="B104" s="2891">
        <v>3</v>
      </c>
      <c r="C104" s="2892">
        <f>1.1594/C101</f>
        <v>0.97428571428571431</v>
      </c>
      <c r="D104" s="2892">
        <f>1.1594/D101</f>
        <v>0.97428571428571431</v>
      </c>
      <c r="E104" s="2892">
        <f>1.0788/E101</f>
        <v>0.90655462184873947</v>
      </c>
      <c r="F104" s="2892">
        <f>1.0788/F101</f>
        <v>0.90655462184873947</v>
      </c>
      <c r="G104" s="2892">
        <f>1.0788/G101</f>
        <v>0.90655462184873947</v>
      </c>
      <c r="H104" s="2892">
        <f>1.0788/H101</f>
        <v>0.90655462184873947</v>
      </c>
      <c r="I104" s="2892">
        <f>1.0788/I101</f>
        <v>0.90655462184873947</v>
      </c>
      <c r="J104" s="2892">
        <f>1.0072/J101</f>
        <v>0.84638655462184886</v>
      </c>
      <c r="K104" s="2892">
        <f>1.0072/K101</f>
        <v>0.84638655462184886</v>
      </c>
      <c r="L104" s="2892">
        <f>1.0072/L101</f>
        <v>0.84638655462184886</v>
      </c>
      <c r="M104" s="2892">
        <f>1.0072/M101</f>
        <v>0.84638655462184886</v>
      </c>
      <c r="N104" s="2892">
        <f>1.0072/N101</f>
        <v>0.84638655462184886</v>
      </c>
    </row>
    <row r="105" spans="1:14">
      <c r="A105" s="3274"/>
      <c r="B105" s="2891">
        <v>4</v>
      </c>
      <c r="C105" s="2892">
        <f>0.9622/C101</f>
        <v>0.80857142857142861</v>
      </c>
      <c r="D105" s="2892">
        <f>0.9622/D101</f>
        <v>0.80857142857142861</v>
      </c>
      <c r="E105" s="2892">
        <f>0.8656/E101</f>
        <v>0.72739495798319331</v>
      </c>
      <c r="F105" s="2892">
        <f>0.8656/F101</f>
        <v>0.72739495798319331</v>
      </c>
      <c r="G105" s="2892">
        <f>0.8656/G101</f>
        <v>0.72739495798319331</v>
      </c>
      <c r="H105" s="2892">
        <f>0.8656/H101</f>
        <v>0.72739495798319331</v>
      </c>
      <c r="I105" s="2892">
        <f>0.8656/I101</f>
        <v>0.72739495798319331</v>
      </c>
      <c r="J105" s="2892">
        <f>0.7525/J101</f>
        <v>0.63235294117647056</v>
      </c>
      <c r="K105" s="2892">
        <f>0.7525/K101</f>
        <v>0.63235294117647056</v>
      </c>
      <c r="L105" s="2892">
        <f>0.7525/L101</f>
        <v>0.63235294117647056</v>
      </c>
      <c r="M105" s="2892">
        <f>0.7525/M101</f>
        <v>0.63235294117647056</v>
      </c>
      <c r="N105" s="2892">
        <f>0.7525/N101</f>
        <v>0.63235294117647056</v>
      </c>
    </row>
    <row r="106" spans="1:14">
      <c r="A106" s="3274"/>
      <c r="B106" s="2891">
        <v>5</v>
      </c>
      <c r="C106" s="2892">
        <f>0.8417/C101</f>
        <v>0.70731092436974796</v>
      </c>
      <c r="D106" s="2892">
        <f>0.8417/D101</f>
        <v>0.70731092436974796</v>
      </c>
      <c r="E106" s="2892">
        <f>0.7371/E101</f>
        <v>0.61941176470588233</v>
      </c>
      <c r="F106" s="2892">
        <f>0.7371/F101</f>
        <v>0.61941176470588233</v>
      </c>
      <c r="G106" s="2892">
        <f>0.7371/G101</f>
        <v>0.61941176470588233</v>
      </c>
      <c r="H106" s="2892">
        <f>0.7371/H101</f>
        <v>0.61941176470588233</v>
      </c>
      <c r="I106" s="2892">
        <f>0.7371/I101</f>
        <v>0.61941176470588233</v>
      </c>
      <c r="J106" s="2892">
        <f>0.5659/J101</f>
        <v>0.47554621848739492</v>
      </c>
      <c r="K106" s="2892">
        <f>0.5659/K101</f>
        <v>0.47554621848739492</v>
      </c>
      <c r="L106" s="2892">
        <f>0.5659/L101</f>
        <v>0.47554621848739492</v>
      </c>
      <c r="M106" s="2892">
        <f>0.5659/M101</f>
        <v>0.47554621848739492</v>
      </c>
      <c r="N106" s="2892">
        <f>0.5659/N101</f>
        <v>0.47554621848739492</v>
      </c>
    </row>
    <row r="107" spans="1:14">
      <c r="A107" s="3274"/>
      <c r="B107" s="2891">
        <v>6</v>
      </c>
      <c r="C107" s="2892">
        <f>0.7608/C101</f>
        <v>0.63932773109243701</v>
      </c>
      <c r="D107" s="2892">
        <f>0.7608/D101</f>
        <v>0.63932773109243701</v>
      </c>
      <c r="E107" s="2892">
        <f>0.6482/E101</f>
        <v>0.54470588235294115</v>
      </c>
      <c r="F107" s="2892">
        <f>0.6482/F101</f>
        <v>0.54470588235294115</v>
      </c>
      <c r="G107" s="2892">
        <f>0.6482/G101</f>
        <v>0.54470588235294115</v>
      </c>
      <c r="H107" s="2892">
        <f>0.6482/H101</f>
        <v>0.54470588235294115</v>
      </c>
      <c r="I107" s="2892">
        <f>0.6482/I101</f>
        <v>0.54470588235294115</v>
      </c>
      <c r="J107" s="2892">
        <f>0.4525/J101</f>
        <v>0.38025210084033617</v>
      </c>
      <c r="K107" s="2892">
        <f>0.4525/K101</f>
        <v>0.38025210084033617</v>
      </c>
      <c r="L107" s="2892">
        <f>0.4525/L101</f>
        <v>0.38025210084033617</v>
      </c>
      <c r="M107" s="2892">
        <f>0.4525/M101</f>
        <v>0.38025210084033617</v>
      </c>
      <c r="N107" s="2892">
        <f>0.4525/N101</f>
        <v>0.38025210084033617</v>
      </c>
    </row>
    <row r="108" spans="1:14">
      <c r="A108" s="3274"/>
      <c r="B108" s="3130" t="s">
        <v>2974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31"/>
      <c r="C109" s="2894">
        <f>(-0.163*(C108^2)-0.59*C108+7617)*(10^(-4))/C101</f>
        <v>0.64008403361344546</v>
      </c>
      <c r="D109" s="2894">
        <f>(-0.163*(D108^2)-0.59*D108+7617)*(10^(-4))/D101</f>
        <v>0.64008403361344546</v>
      </c>
      <c r="E109" s="2894">
        <f>(-0.161*(E108^2)-7.509*E108+6533)*(10^(-4))/E101</f>
        <v>0.54899159663865549</v>
      </c>
      <c r="F109" s="2894">
        <f>(-0.161*(F108^2)-7.509*F108+6533)*(10^(-4))/F101</f>
        <v>0.54899159663865549</v>
      </c>
      <c r="G109" s="2894">
        <f>(-0.161*(G108^2)-7.509*G108+6533)*(10^(-4))/G101</f>
        <v>0.54899159663865549</v>
      </c>
      <c r="H109" s="2894">
        <f>(-0.161*(H108^2)-7.509*H108+6533)*(10^(-4))/H101</f>
        <v>0.54899159663865549</v>
      </c>
      <c r="I109" s="2894">
        <f>(-0.161*(I108^2)-7.509*I108+6533)*(10^(-4))/I101</f>
        <v>0.54899159663865549</v>
      </c>
      <c r="J109" s="2894">
        <f>(-0.214*(J108^2)-21.991*J108+4665)*(10^(-4))/J101</f>
        <v>0.39201680672268913</v>
      </c>
      <c r="K109" s="2894">
        <f>(-0.214*(K108^2)-21.991*K108+4665)*(10^(-4))/K101</f>
        <v>0.39201680672268913</v>
      </c>
      <c r="L109" s="2894">
        <f>(-0.214*(L108^2)-21.991*L108+4665)*(10^(-4))/L101</f>
        <v>0.39201680672268913</v>
      </c>
      <c r="M109" s="2894">
        <f>(-0.214*(M108^2)-21.991*M108+4665)*(10^(-4))/M101</f>
        <v>0.39201680672268913</v>
      </c>
      <c r="N109" s="2894">
        <f>(-0.214*(N108^2)-21.991*N108+4665)*(10^(-4))/N101</f>
        <v>0.39201680672268913</v>
      </c>
    </row>
    <row r="110" spans="1:14">
      <c r="A110" s="3271" t="s">
        <v>2975</v>
      </c>
      <c r="B110" s="3271"/>
      <c r="C110" s="3271"/>
      <c r="D110" s="3271"/>
      <c r="E110" s="3271"/>
      <c r="F110" s="3271"/>
      <c r="G110" s="3271"/>
      <c r="H110" s="3271"/>
      <c r="I110" s="3271"/>
      <c r="J110" s="3271"/>
      <c r="K110" s="2897"/>
      <c r="L110" s="2897"/>
      <c r="M110" s="2897"/>
      <c r="N110" s="2897"/>
    </row>
    <row r="112" spans="1:14" ht="13.5" thickBot="1"/>
    <row r="113" spans="1:13" ht="25.5" thickBot="1">
      <c r="A113" s="903" t="s">
        <v>2976</v>
      </c>
      <c r="B113" s="1290">
        <f>G3</f>
        <v>1.19</v>
      </c>
      <c r="C113" s="904" t="s">
        <v>2977</v>
      </c>
      <c r="D113" s="905">
        <f>SUMPRODUCT((A115:A118=F113)*(B114:M114=H113)*B115:M118)</f>
        <v>0</v>
      </c>
      <c r="E113" s="2720" t="s">
        <v>2807</v>
      </c>
      <c r="F113" s="2899">
        <f>E2</f>
        <v>0</v>
      </c>
      <c r="G113" s="2720" t="s">
        <v>2808</v>
      </c>
      <c r="H113" s="2899">
        <f>G2</f>
        <v>0</v>
      </c>
      <c r="I113" s="2720"/>
      <c r="J113" s="2900"/>
      <c r="K113" s="2900"/>
      <c r="L113" s="2900"/>
      <c r="M113" s="2900"/>
    </row>
    <row r="114" spans="1:13">
      <c r="A114" s="908"/>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c r="A115" s="909" t="s">
        <v>2872</v>
      </c>
      <c r="B115" s="910">
        <f>ROUND(0.9335-0.0094*B113,4)</f>
        <v>0.92230000000000001</v>
      </c>
      <c r="C115" s="910">
        <f>B115</f>
        <v>0.92230000000000001</v>
      </c>
      <c r="D115" s="910">
        <f>ROUND(0.8331-0.0109*B113,4)</f>
        <v>0.82010000000000005</v>
      </c>
      <c r="E115" s="910">
        <f>D115</f>
        <v>0.82010000000000005</v>
      </c>
      <c r="F115" s="910">
        <f>E115</f>
        <v>0.82010000000000005</v>
      </c>
      <c r="G115" s="910">
        <f>F115</f>
        <v>0.82010000000000005</v>
      </c>
      <c r="H115" s="910">
        <f>G115</f>
        <v>0.82010000000000005</v>
      </c>
      <c r="I115" s="910">
        <f>ROUND(0.689-0.0155*B113,4)</f>
        <v>0.67059999999999997</v>
      </c>
      <c r="J115" s="910">
        <f t="shared" ref="J115:M118" si="33">I115</f>
        <v>0.67059999999999997</v>
      </c>
      <c r="K115" s="910">
        <f t="shared" si="33"/>
        <v>0.67059999999999997</v>
      </c>
      <c r="L115" s="910">
        <f t="shared" si="33"/>
        <v>0.67059999999999997</v>
      </c>
      <c r="M115" s="911">
        <f t="shared" si="33"/>
        <v>0.67059999999999997</v>
      </c>
    </row>
    <row r="116" spans="1:13">
      <c r="A116" s="909" t="s">
        <v>2873</v>
      </c>
      <c r="B116" s="910">
        <f>ROUND(0.949-0.012*B113,4)</f>
        <v>0.93469999999999998</v>
      </c>
      <c r="C116" s="910">
        <f>B116</f>
        <v>0.93469999999999998</v>
      </c>
      <c r="D116" s="910">
        <f>ROUND(0.8567-0.013*B113,4)</f>
        <v>0.84119999999999995</v>
      </c>
      <c r="E116" s="910">
        <f t="shared" ref="E116:H117" si="34">D116</f>
        <v>0.84119999999999995</v>
      </c>
      <c r="F116" s="910">
        <f t="shared" si="34"/>
        <v>0.84119999999999995</v>
      </c>
      <c r="G116" s="910">
        <f t="shared" si="34"/>
        <v>0.84119999999999995</v>
      </c>
      <c r="H116" s="910">
        <f t="shared" si="34"/>
        <v>0.84119999999999995</v>
      </c>
      <c r="I116" s="910">
        <f>ROUND(0.7694-0.014*B113,4)</f>
        <v>0.75270000000000004</v>
      </c>
      <c r="J116" s="910">
        <f t="shared" si="33"/>
        <v>0.75270000000000004</v>
      </c>
      <c r="K116" s="910">
        <f t="shared" si="33"/>
        <v>0.75270000000000004</v>
      </c>
      <c r="L116" s="910">
        <f t="shared" si="33"/>
        <v>0.75270000000000004</v>
      </c>
      <c r="M116" s="911">
        <f t="shared" si="33"/>
        <v>0.75270000000000004</v>
      </c>
    </row>
    <row r="117" spans="1:13">
      <c r="A117" s="909" t="s">
        <v>2874</v>
      </c>
      <c r="B117" s="910">
        <f>ROUND(0.8808-0.006*B113,4)</f>
        <v>0.87370000000000003</v>
      </c>
      <c r="C117" s="910">
        <f>B117</f>
        <v>0.87370000000000003</v>
      </c>
      <c r="D117" s="910">
        <f>ROUND(0.8748-0.008*B113,4)</f>
        <v>0.86529999999999996</v>
      </c>
      <c r="E117" s="910">
        <f t="shared" si="34"/>
        <v>0.86529999999999996</v>
      </c>
      <c r="F117" s="910">
        <f t="shared" si="34"/>
        <v>0.86529999999999996</v>
      </c>
      <c r="G117" s="910">
        <f t="shared" si="34"/>
        <v>0.86529999999999996</v>
      </c>
      <c r="H117" s="910">
        <f t="shared" si="34"/>
        <v>0.86529999999999996</v>
      </c>
      <c r="I117" s="910">
        <f>ROUND(0.7412-0.0095*B113,4)</f>
        <v>0.72989999999999999</v>
      </c>
      <c r="J117" s="910">
        <f t="shared" si="33"/>
        <v>0.72989999999999999</v>
      </c>
      <c r="K117" s="910">
        <f t="shared" si="33"/>
        <v>0.72989999999999999</v>
      </c>
      <c r="L117" s="910">
        <f t="shared" si="33"/>
        <v>0.72989999999999999</v>
      </c>
      <c r="M117" s="911">
        <f t="shared" si="33"/>
        <v>0.72989999999999999</v>
      </c>
    </row>
    <row r="118" spans="1:13" ht="13.5" thickBot="1">
      <c r="A118" s="714" t="s">
        <v>2875</v>
      </c>
      <c r="B118" s="912">
        <f>ROUND(0.7275-0.01*B113,4)</f>
        <v>0.71560000000000001</v>
      </c>
      <c r="C118" s="912">
        <f>B118</f>
        <v>0.71560000000000001</v>
      </c>
      <c r="D118" s="912">
        <f>ROUND(0.7043-0.012*B113,4)</f>
        <v>0.69</v>
      </c>
      <c r="E118" s="912">
        <f>D118</f>
        <v>0.69</v>
      </c>
      <c r="F118" s="912">
        <f>E118</f>
        <v>0.69</v>
      </c>
      <c r="G118" s="912">
        <f>ROUND(0.6299-0.0122*B113,4)</f>
        <v>0.61539999999999995</v>
      </c>
      <c r="H118" s="912">
        <f>G118</f>
        <v>0.61539999999999995</v>
      </c>
      <c r="I118" s="912">
        <f>ROUND(0.5667-0.0136*B113,4)</f>
        <v>0.55049999999999999</v>
      </c>
      <c r="J118" s="912">
        <f t="shared" si="33"/>
        <v>0.55049999999999999</v>
      </c>
      <c r="K118" s="912">
        <f t="shared" si="33"/>
        <v>0.55049999999999999</v>
      </c>
      <c r="L118" s="912">
        <f t="shared" si="33"/>
        <v>0.55049999999999999</v>
      </c>
      <c r="M118" s="913">
        <f t="shared" si="33"/>
        <v>0.55049999999999999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2998</v>
      </c>
    </row>
    <row r="2" spans="1:5" ht="15.75">
      <c r="A2" s="2906" t="s">
        <v>2990</v>
      </c>
      <c r="B2" s="2907" t="e">
        <f ca="1">SUMIF(B6:B13,"&lt;&gt;#ref!",B6:B13)</f>
        <v>#DIV/0!</v>
      </c>
      <c r="C2" s="2906" t="s">
        <v>2991</v>
      </c>
      <c r="D2" s="2906" t="s">
        <v>2992</v>
      </c>
      <c r="E2" s="2907">
        <f ca="1">SUMIF(E6:E13,"&lt;&gt;#ref!",E6:E13)</f>
        <v>0</v>
      </c>
    </row>
    <row r="3" spans="1:5" ht="15.75">
      <c r="A3" s="2906" t="s">
        <v>2993</v>
      </c>
      <c r="B3" s="2907" t="e">
        <f ca="1">ROUND(B2*10000/E2,0)</f>
        <v>#DIV/0!</v>
      </c>
      <c r="C3" s="2906" t="s">
        <v>2999</v>
      </c>
      <c r="D3" s="2908"/>
      <c r="E3" s="2908"/>
    </row>
    <row r="4" spans="1:5" ht="15.75">
      <c r="A4" s="2909"/>
      <c r="B4" s="2908"/>
      <c r="C4" s="2908"/>
      <c r="D4" s="2908"/>
      <c r="E4" s="2908"/>
    </row>
    <row r="5" spans="1:5" ht="28.5">
      <c r="A5" s="2910" t="s">
        <v>2994</v>
      </c>
      <c r="B5" s="2906" t="s">
        <v>2995</v>
      </c>
      <c r="C5" s="2907"/>
      <c r="D5" s="2908"/>
      <c r="E5" s="2906" t="s">
        <v>2996</v>
      </c>
    </row>
    <row r="6" spans="1:5" ht="15.75">
      <c r="A6" s="2911" t="s">
        <v>2997</v>
      </c>
      <c r="B6" s="2907" t="e">
        <f ca="1">SUMIF(INDIRECT("'"&amp;A6&amp;"'"&amp;"!A:A"),"总价",INDIRECT("'"&amp;A6&amp;"'"&amp;"!B:B"))</f>
        <v>#DIV/0!</v>
      </c>
      <c r="C6" s="2906" t="s">
        <v>2991</v>
      </c>
      <c r="D6" s="2908"/>
      <c r="E6" s="2571">
        <f ca="1">SUMIF(INDIRECT("'"&amp;A6&amp;"'"&amp;"!C:C"),"建筑面积",INDIRECT("'"&amp;A6&amp;"'"&amp;"!D:D"))</f>
        <v>0</v>
      </c>
    </row>
    <row r="7" spans="1:5" ht="15.75">
      <c r="A7" s="2911"/>
      <c r="B7" s="2907" t="e">
        <f ca="1">SUMIF(INDIRECT("'"&amp;A7&amp;"'"&amp;"!A:A"),"总价",INDIRECT("'"&amp;A7&amp;"'"&amp;"!B:B"))</f>
        <v>#REF!</v>
      </c>
      <c r="C7" s="2906" t="s">
        <v>2991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2991</v>
      </c>
      <c r="D8" s="2908"/>
      <c r="E8" s="2571" t="e">
        <f t="shared" ca="1" si="0"/>
        <v>#REF!</v>
      </c>
    </row>
    <row r="9" spans="1:5" ht="15.75">
      <c r="A9" s="2911"/>
      <c r="B9" s="2907" t="e">
        <f t="shared" ca="1" si="1"/>
        <v>#REF!</v>
      </c>
      <c r="C9" s="2906" t="s">
        <v>2991</v>
      </c>
      <c r="D9" s="2908"/>
      <c r="E9" s="2571" t="e">
        <f t="shared" ca="1" si="0"/>
        <v>#REF!</v>
      </c>
    </row>
    <row r="10" spans="1:5" ht="15.75">
      <c r="A10" s="2911"/>
      <c r="B10" s="2907" t="e">
        <f t="shared" ca="1" si="1"/>
        <v>#REF!</v>
      </c>
      <c r="C10" s="2906" t="s">
        <v>2991</v>
      </c>
      <c r="D10" s="2908"/>
      <c r="E10" s="2571" t="e">
        <f t="shared" ca="1" si="0"/>
        <v>#REF!</v>
      </c>
    </row>
    <row r="11" spans="1:5" ht="15.75">
      <c r="A11" s="2911"/>
      <c r="B11" s="2907" t="e">
        <f t="shared" ca="1" si="1"/>
        <v>#REF!</v>
      </c>
      <c r="C11" s="2906" t="s">
        <v>2991</v>
      </c>
      <c r="D11" s="2908"/>
      <c r="E11" s="2571" t="e">
        <f t="shared" ca="1" si="0"/>
        <v>#REF!</v>
      </c>
    </row>
    <row r="12" spans="1:5" ht="15.75">
      <c r="A12" s="2911"/>
      <c r="B12" s="2907" t="e">
        <f t="shared" ca="1" si="1"/>
        <v>#REF!</v>
      </c>
      <c r="C12" s="2906" t="s">
        <v>2991</v>
      </c>
      <c r="D12" s="2908"/>
      <c r="E12" s="2571" t="e">
        <f t="shared" ca="1" si="0"/>
        <v>#REF!</v>
      </c>
    </row>
    <row r="13" spans="1:5" ht="15.75">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125" style="1962" customWidth="1"/>
    <col min="3" max="3" width="11.375" style="1962" customWidth="1"/>
    <col min="4" max="4" width="31.62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3"/>
      <c r="B4" s="2975" t="s">
        <v>1630</v>
      </c>
      <c r="C4" s="2975"/>
      <c r="D4" s="2975"/>
      <c r="E4" s="1963"/>
    </row>
    <row r="5" spans="1:5" ht="16.5" thickTop="1">
      <c r="A5" s="1961"/>
      <c r="B5" s="2973" t="s">
        <v>1622</v>
      </c>
      <c r="C5" s="1964" t="s">
        <v>1623</v>
      </c>
      <c r="D5" s="1043">
        <f ca="1">结果表!H101</f>
        <v>92399</v>
      </c>
      <c r="E5" s="1961"/>
    </row>
    <row r="6" spans="1:5" ht="15.75">
      <c r="A6" s="1961"/>
      <c r="B6" s="2973"/>
      <c r="C6" s="1964" t="s">
        <v>1624</v>
      </c>
      <c r="D6" s="1043" t="str">
        <f ca="1">NUMBERSTRING(INT(D5*10000),2)&amp;"元整"</f>
        <v>玖亿贰仟叁佰玖拾玖万元整</v>
      </c>
      <c r="E6" s="1961"/>
    </row>
    <row r="7" spans="1:5" ht="15.75">
      <c r="A7" s="1961"/>
      <c r="B7" s="2978"/>
      <c r="C7" s="1965" t="s">
        <v>1625</v>
      </c>
      <c r="D7" s="1044">
        <f ca="1">结果表!H102</f>
        <v>7415</v>
      </c>
      <c r="E7" s="1961"/>
    </row>
    <row r="8" spans="1:5" ht="15.75">
      <c r="A8" s="1961"/>
      <c r="B8" s="2979" t="str">
        <f>结果表!E103</f>
        <v>2.估价师知悉的法定优先受偿款</v>
      </c>
      <c r="C8" s="1966" t="s">
        <v>1626</v>
      </c>
      <c r="D8" s="1044">
        <f>结果表!H103</f>
        <v>0</v>
      </c>
      <c r="E8" s="1961"/>
    </row>
    <row r="9" spans="1:5" ht="15.75">
      <c r="A9" s="1961"/>
      <c r="B9" s="298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2" t="str">
        <f>结果表!E107</f>
        <v>3.房地产抵押价值</v>
      </c>
      <c r="C13" s="1969" t="s">
        <v>1623</v>
      </c>
      <c r="D13" s="1046">
        <f ca="1">结果表!H107</f>
        <v>92399</v>
      </c>
      <c r="E13" s="1961"/>
    </row>
    <row r="14" spans="1:5" ht="15.75">
      <c r="A14" s="1961"/>
      <c r="B14" s="2973"/>
      <c r="C14" s="1964" t="s">
        <v>1624</v>
      </c>
      <c r="D14" s="1043" t="str">
        <f ca="1">NUMBERSTRING(INT(D13*10000),2)&amp;"元整"</f>
        <v>玖亿贰仟叁佰玖拾玖万元整</v>
      </c>
      <c r="E14" s="1961"/>
    </row>
    <row r="15" spans="1:5" ht="15">
      <c r="A15" s="1961"/>
      <c r="B15" s="2978"/>
      <c r="C15" s="1965" t="s">
        <v>1634</v>
      </c>
      <c r="D15" s="1055">
        <f ca="1">结果表!H108</f>
        <v>7415</v>
      </c>
      <c r="E15" s="1961"/>
    </row>
    <row r="16" spans="1:5" ht="15">
      <c r="A16" s="1961"/>
      <c r="B16" s="2979" t="str">
        <f>结果表!E109</f>
        <v>——</v>
      </c>
      <c r="C16" s="1969" t="s">
        <v>1635</v>
      </c>
      <c r="D16" s="1970" t="str">
        <f>结果表!H109</f>
        <v>——</v>
      </c>
      <c r="E16" s="1961"/>
    </row>
    <row r="17" spans="1:5" ht="15.75">
      <c r="A17" s="1961"/>
      <c r="B17" s="2980"/>
      <c r="C17" s="1964" t="s">
        <v>1636</v>
      </c>
      <c r="D17" s="1043" t="e">
        <f>NUMBERSTRING(INT(D16*10000),2)&amp;"元整"</f>
        <v>#VALUE!</v>
      </c>
      <c r="E17" s="1961"/>
    </row>
    <row r="18" spans="1:5" ht="15">
      <c r="A18" s="1961"/>
      <c r="B18" s="2981"/>
      <c r="C18" s="1965" t="s">
        <v>1625</v>
      </c>
      <c r="D18" s="1055" t="str">
        <f>结果表!H110</f>
        <v>——</v>
      </c>
      <c r="E18" s="1961"/>
    </row>
    <row r="19" spans="1:5" ht="15.75">
      <c r="A19" s="1961"/>
      <c r="B19" s="2972" t="str">
        <f>结果表!E111</f>
        <v>——</v>
      </c>
      <c r="C19" s="1969" t="s">
        <v>1623</v>
      </c>
      <c r="D19" s="1044" t="str">
        <f>结果表!H111</f>
        <v>——</v>
      </c>
      <c r="E19" s="1961"/>
    </row>
    <row r="20" spans="1:5" ht="15.75">
      <c r="A20" s="1961"/>
      <c r="B20" s="2973"/>
      <c r="C20" s="1964" t="s">
        <v>1636</v>
      </c>
      <c r="D20" s="1043" t="e">
        <f>NUMBERSTRING(INT(D19*10000),2)&amp;"元整"</f>
        <v>#VALUE!</v>
      </c>
      <c r="E20" s="1961"/>
    </row>
    <row r="21" spans="1:5" ht="15.75" thickBot="1">
      <c r="A21" s="1961"/>
      <c r="B21" s="297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1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1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7">
        <v>2018</v>
      </c>
      <c r="H5" s="1732">
        <v>3</v>
      </c>
      <c r="I5" s="2920">
        <v>0</v>
      </c>
      <c r="J5" s="2920">
        <v>0</v>
      </c>
      <c r="K5" s="2920">
        <v>0</v>
      </c>
      <c r="L5" s="2920">
        <v>0</v>
      </c>
      <c r="N5" s="1470">
        <f>I5/100</f>
        <v>0</v>
      </c>
      <c r="O5" s="1470">
        <f t="shared" ref="O5" si="7">J5/100</f>
        <v>0</v>
      </c>
      <c r="P5" s="1470">
        <f t="shared" ref="P5" si="8">K5/100</f>
        <v>0</v>
      </c>
      <c r="Q5" s="1470">
        <f t="shared" ref="Q5" si="9">L5/100</f>
        <v>0</v>
      </c>
      <c r="R5" s="1734"/>
      <c r="S5" s="1735"/>
      <c r="T5" s="1734"/>
      <c r="U5" s="1734"/>
      <c r="V5" s="1734"/>
      <c r="W5" s="2924" t="s">
        <v>3034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3029</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91" t="s">
        <v>3001</v>
      </c>
      <c r="D1" s="3292"/>
      <c r="E1" s="3292"/>
      <c r="F1" s="3292"/>
      <c r="G1" s="3292"/>
      <c r="H1" s="3292"/>
      <c r="I1" s="3292"/>
      <c r="J1" s="3292"/>
      <c r="K1" s="3292"/>
      <c r="L1" s="3292"/>
      <c r="M1" s="3292"/>
      <c r="N1" s="3292"/>
      <c r="O1" s="3292"/>
      <c r="P1" s="3292"/>
      <c r="Q1" s="3292"/>
      <c r="R1" s="3292"/>
      <c r="S1" s="3293"/>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3010</v>
      </c>
      <c r="B17" s="2913"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3012</v>
      </c>
      <c r="E19" s="1794"/>
      <c r="F19" s="1794"/>
      <c r="G19" s="1794"/>
      <c r="H19" s="1283"/>
      <c r="I19" s="168"/>
      <c r="J19" s="168"/>
      <c r="K19" s="168"/>
      <c r="L19" s="168"/>
      <c r="M19" s="168"/>
      <c r="N19" s="168"/>
      <c r="O19" s="168"/>
      <c r="P19" s="168"/>
      <c r="Q19" s="168"/>
      <c r="R19" s="788"/>
      <c r="S19" s="138"/>
    </row>
    <row r="20" spans="1:45" ht="16.5" thickBot="1">
      <c r="A20" s="715" t="s">
        <v>3013</v>
      </c>
      <c r="B20" s="338" t="e">
        <f ca="1">IF(D20="——",S22,S22-F20)</f>
        <v>#REF!</v>
      </c>
      <c r="C20" s="168"/>
      <c r="D20" s="2915" t="s">
        <v>3014</v>
      </c>
      <c r="E20" s="1795"/>
      <c r="F20" s="1207" t="e">
        <f ca="1">SUMIF(INDIRECT("'"&amp;H20&amp;"'"&amp;"!A:A"),"承租人权益价值",INDIRECT("'"&amp;H20&amp;"'"&amp;"!c:c"))</f>
        <v>#REF!</v>
      </c>
      <c r="G20" s="1207" t="s">
        <v>3015</v>
      </c>
      <c r="H20" s="2916"/>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2" t="s">
        <v>33</v>
      </c>
      <c r="D22" s="3153"/>
      <c r="E22" s="3153"/>
      <c r="F22" s="3153"/>
      <c r="G22" s="3153"/>
      <c r="H22" s="3153"/>
      <c r="I22" s="3153"/>
      <c r="J22" s="3153"/>
      <c r="K22" s="3153"/>
      <c r="L22" s="3153"/>
      <c r="M22" s="3153"/>
      <c r="N22" s="3153"/>
      <c r="O22" s="3153"/>
      <c r="P22" s="3153"/>
      <c r="Q22" s="329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35177</v>
      </c>
      <c r="C2" s="2" t="s">
        <v>133</v>
      </c>
      <c r="D2" s="243"/>
      <c r="E2" s="243"/>
      <c r="F2" s="243"/>
      <c r="G2" s="243"/>
    </row>
    <row r="3" spans="1:7" s="244" customFormat="1" ht="18" customHeight="1" thickBot="1">
      <c r="A3" s="247" t="s">
        <v>85</v>
      </c>
      <c r="B3" s="248">
        <f ca="1">ROUND(B2*10000/'数据-汇总表'!E3,0)</f>
        <v>2823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1233</v>
      </c>
      <c r="D9" s="1035">
        <f>'数据-汇总表'!E5</f>
        <v>74713.14</v>
      </c>
      <c r="E9" s="269">
        <f>'数据-取费表'!B27</f>
        <v>165</v>
      </c>
      <c r="F9" s="265"/>
      <c r="G9" s="270"/>
    </row>
    <row r="10" spans="1:7" s="258" customFormat="1" ht="13.5" customHeight="1">
      <c r="A10" s="953" t="s">
        <v>801</v>
      </c>
      <c r="B10" s="268" t="s">
        <v>94</v>
      </c>
      <c r="C10" s="269">
        <f>ROUND(D10*E10/10000,0)</f>
        <v>998</v>
      </c>
      <c r="D10" s="1035">
        <f>'数据-汇总表'!E6</f>
        <v>49903.420000000013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2492</v>
      </c>
      <c r="D19" s="1039">
        <f>'数据-汇总表'!E3</f>
        <v>124616.56000000001</v>
      </c>
      <c r="E19" s="255">
        <f>'数据-取费表'!B31</f>
        <v>200</v>
      </c>
      <c r="F19" s="275"/>
      <c r="G19" s="1" t="s">
        <v>1074</v>
      </c>
    </row>
    <row r="20" spans="1:7" s="258" customFormat="1" ht="13.5" customHeight="1">
      <c r="A20" s="951" t="s">
        <v>1057</v>
      </c>
      <c r="B20" s="254" t="s">
        <v>104</v>
      </c>
      <c r="C20" s="276">
        <f>ROUND((C5+C19)*F20,0)</f>
        <v>578</v>
      </c>
      <c r="D20" s="276"/>
      <c r="E20" s="276"/>
      <c r="F20" s="277">
        <f>'数据-取费表'!B37</f>
        <v>2.5000000000000001E-2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549</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58</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395</v>
      </c>
      <c r="D27" s="279">
        <f>C29</f>
        <v>2.0000000000000001E-4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395</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5.5500000000000008E-2</v>
      </c>
      <c r="D30" s="280" t="s">
        <v>127</v>
      </c>
      <c r="E30" s="285"/>
      <c r="F30" s="281">
        <f>'数据-取费表'!B41</f>
        <v>5.5500000000000008E-2</v>
      </c>
      <c r="G30" s="278" t="s">
        <v>113</v>
      </c>
    </row>
    <row r="31" spans="1:7" ht="16.5" customHeight="1">
      <c r="A31" s="253">
        <v>1</v>
      </c>
      <c r="B31" s="254" t="s">
        <v>128</v>
      </c>
      <c r="C31" s="255">
        <f ca="1">ROUND((C5+C19+C20+C22+C27)/(1-C21-D22-D27-C30/(1+'数据-取费表'!B42)),0)</f>
        <v>26284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6596</v>
      </c>
      <c r="D34" s="261"/>
      <c r="E34" s="264"/>
      <c r="F34" s="301">
        <f>IF('数据-取费表'!B24=0,1,'数据-取费表'!N16)</f>
        <v>0.27600000000000002</v>
      </c>
      <c r="G34" s="263" t="s">
        <v>116</v>
      </c>
    </row>
    <row r="35" spans="1:7" ht="13.5" customHeight="1">
      <c r="A35" s="954" t="s">
        <v>796</v>
      </c>
      <c r="B35" s="259" t="s">
        <v>60</v>
      </c>
      <c r="C35" s="264">
        <f>ROUND(C34*F35,0)</f>
        <v>198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v>
      </c>
      <c r="D36" s="264"/>
      <c r="E36" s="264"/>
      <c r="F36" s="303">
        <f>'数据-取费表'!B34</f>
        <v>0.02</v>
      </c>
      <c r="G36" s="304" t="s">
        <v>62</v>
      </c>
    </row>
    <row r="37" spans="1:7" s="302" customFormat="1" ht="13.5" customHeight="1">
      <c r="A37" s="954" t="s">
        <v>798</v>
      </c>
      <c r="B37" s="259" t="s">
        <v>118</v>
      </c>
      <c r="C37" s="293">
        <f>ROUND(E37*D37*F34/10000,0)</f>
        <v>688</v>
      </c>
      <c r="D37" s="261">
        <f>'数据-汇总表'!E3</f>
        <v>124616.56000000001</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191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91</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89</v>
      </c>
      <c r="D42" s="282"/>
      <c r="E42" s="282"/>
      <c r="F42" s="283"/>
      <c r="G42" s="3157" t="s">
        <v>121</v>
      </c>
    </row>
    <row r="43" spans="1:7" ht="13.5" customHeight="1">
      <c r="A43" s="954" t="s">
        <v>792</v>
      </c>
      <c r="B43" s="259" t="s">
        <v>1064</v>
      </c>
      <c r="C43" s="282">
        <f ca="1">ROUND(IF('数据-取费表'!B22&lt;=1,C39*F22*'数据-取费表'!B21/2,C39*(POWER((1+F22),'数据-取费表'!B21/2)-1)),0)</f>
        <v>2</v>
      </c>
      <c r="D43" s="282"/>
      <c r="E43" s="282"/>
      <c r="F43" s="283"/>
      <c r="G43" s="3158"/>
    </row>
    <row r="44" spans="1:7" ht="13.5" customHeight="1">
      <c r="A44" s="954" t="s">
        <v>793</v>
      </c>
      <c r="B44" s="259" t="s">
        <v>1066</v>
      </c>
      <c r="C44" s="282">
        <f ca="1">ROUND(IF('数据-取费表'!B22&lt;=1,C40*F22*'数据-取费表'!B21/2,C40*(POWER((1+F22),'数据-取费表'!B21/2)-1)),4)</f>
        <v>1E-4</v>
      </c>
      <c r="D44" s="282"/>
      <c r="E44" s="282"/>
      <c r="F44" s="283"/>
      <c r="G44" s="3159"/>
    </row>
    <row r="45" spans="1:7" s="258" customFormat="1" ht="13.5" customHeight="1">
      <c r="A45" s="951" t="s">
        <v>786</v>
      </c>
      <c r="B45" s="288" t="s">
        <v>112</v>
      </c>
      <c r="C45" s="289">
        <f>C46</f>
        <v>392</v>
      </c>
      <c r="D45" s="279">
        <f>C47</f>
        <v>5.0000000000000001E-4</v>
      </c>
      <c r="E45" s="280" t="s">
        <v>129</v>
      </c>
      <c r="F45" s="290"/>
      <c r="G45" s="291" t="s">
        <v>1072</v>
      </c>
    </row>
    <row r="46" spans="1:7" s="258" customFormat="1" ht="13.5" customHeight="1">
      <c r="A46" s="954" t="s">
        <v>794</v>
      </c>
      <c r="B46" s="292" t="s">
        <v>1065</v>
      </c>
      <c r="C46" s="293">
        <f>ROUND((C33+C39)*F27,0)</f>
        <v>392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5.5500000000000008E-2</v>
      </c>
      <c r="D48" s="280" t="s">
        <v>130</v>
      </c>
      <c r="E48" s="276"/>
      <c r="F48" s="281"/>
      <c r="G48" s="278" t="s">
        <v>123</v>
      </c>
    </row>
    <row r="49" spans="1:7" ht="16.5" customHeight="1">
      <c r="A49" s="951" t="s">
        <v>788</v>
      </c>
      <c r="B49" s="254" t="s">
        <v>131</v>
      </c>
      <c r="C49" s="276">
        <f ca="1">ROUND((C33+C39+C41+C45)/(1-C40-D41-D45-C48/(1+'数据-取费表'!B42)),0)</f>
        <v>8893</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8893</v>
      </c>
      <c r="D51" s="276"/>
      <c r="E51" s="276"/>
      <c r="F51" s="308"/>
      <c r="G51" s="278" t="s">
        <v>64</v>
      </c>
    </row>
    <row r="52" spans="1:7" s="252" customFormat="1" ht="16.5" thickBot="1">
      <c r="A52" s="309" t="s">
        <v>65</v>
      </c>
      <c r="B52" s="310"/>
      <c r="C52" s="311">
        <f ca="1">C31+C51</f>
        <v>35177</v>
      </c>
      <c r="D52" s="310"/>
      <c r="E52" s="310"/>
      <c r="F52" s="310"/>
      <c r="G52" s="312"/>
    </row>
    <row r="55" spans="1:7" ht="15">
      <c r="B55" s="314" t="s">
        <v>66</v>
      </c>
      <c r="C55" s="315"/>
    </row>
    <row r="56" spans="1:7">
      <c r="B56" s="317" t="s">
        <v>67</v>
      </c>
      <c r="C56" s="318">
        <f ca="1">ROUND(C51/C52,3)</f>
        <v>0.253</v>
      </c>
    </row>
    <row r="57" spans="1:7">
      <c r="B57" s="317" t="s">
        <v>68</v>
      </c>
      <c r="C57" s="319">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24.75" thickBot="1">
      <c r="A72" s="840" t="s">
        <v>137</v>
      </c>
      <c r="B72" s="834" t="s">
        <v>885</v>
      </c>
      <c r="C72" s="1080"/>
      <c r="D72" s="1080"/>
      <c r="E72" s="1080"/>
      <c r="F72" s="1068">
        <v>0.05</v>
      </c>
    </row>
    <row r="73" spans="1:6" ht="24.75" thickBot="1">
      <c r="A73" s="840" t="s">
        <v>137</v>
      </c>
      <c r="B73" s="834" t="s">
        <v>886</v>
      </c>
      <c r="C73" s="1080"/>
      <c r="D73" s="1080"/>
      <c r="E73" s="1080"/>
      <c r="F73" s="1068">
        <v>0.05</v>
      </c>
    </row>
    <row r="74" spans="1:6" ht="24.75" thickBot="1">
      <c r="A74" s="840" t="s">
        <v>137</v>
      </c>
      <c r="B74" s="834" t="s">
        <v>887</v>
      </c>
      <c r="C74" s="1080"/>
      <c r="D74" s="1080"/>
      <c r="E74" s="1080"/>
      <c r="F74" s="1068">
        <v>0.05</v>
      </c>
    </row>
    <row r="75" spans="1:6" ht="24.7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24.7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24.7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40" customWidth="1"/>
    <col min="2" max="2" width="13.1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125" style="1646" customWidth="1"/>
    <col min="9" max="9" width="9" style="1646"/>
    <col min="10" max="10" width="9.375" style="1646" bestFit="1" customWidth="1"/>
    <col min="11" max="11" width="4" style="1640" customWidth="1"/>
    <col min="12" max="12" width="5.125" style="1646" customWidth="1"/>
    <col min="13" max="13" width="13.625" style="1646" customWidth="1"/>
    <col min="14" max="256" width="9" style="1646"/>
    <col min="257" max="257" width="4.875" style="1637" customWidth="1"/>
    <col min="258" max="258" width="13.1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625" style="1637" customWidth="1"/>
    <col min="270" max="512" width="9" style="1637"/>
    <col min="513" max="513" width="4.875" style="1637" customWidth="1"/>
    <col min="514" max="514" width="13.1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625" style="1637" customWidth="1"/>
    <col min="526" max="768" width="9" style="1637"/>
    <col min="769" max="769" width="4.875" style="1637" customWidth="1"/>
    <col min="770" max="770" width="13.1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625" style="1637" customWidth="1"/>
    <col min="782" max="1024" width="9" style="1637"/>
    <col min="1025" max="1025" width="4.875" style="1637" customWidth="1"/>
    <col min="1026" max="1026" width="13.1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625" style="1637" customWidth="1"/>
    <col min="1038" max="1280" width="9" style="1637"/>
    <col min="1281" max="1281" width="4.875" style="1637" customWidth="1"/>
    <col min="1282" max="1282" width="13.1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625" style="1637" customWidth="1"/>
    <col min="1294" max="1536" width="9" style="1637"/>
    <col min="1537" max="1537" width="4.875" style="1637" customWidth="1"/>
    <col min="1538" max="1538" width="13.1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625" style="1637" customWidth="1"/>
    <col min="1550" max="1792" width="9" style="1637"/>
    <col min="1793" max="1793" width="4.875" style="1637" customWidth="1"/>
    <col min="1794" max="1794" width="13.1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625" style="1637" customWidth="1"/>
    <col min="1806" max="2048" width="9" style="1637"/>
    <col min="2049" max="2049" width="4.875" style="1637" customWidth="1"/>
    <col min="2050" max="2050" width="13.1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625" style="1637" customWidth="1"/>
    <col min="2062" max="2304" width="9" style="1637"/>
    <col min="2305" max="2305" width="4.875" style="1637" customWidth="1"/>
    <col min="2306" max="2306" width="13.1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625" style="1637" customWidth="1"/>
    <col min="2318" max="2560" width="9" style="1637"/>
    <col min="2561" max="2561" width="4.875" style="1637" customWidth="1"/>
    <col min="2562" max="2562" width="13.1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625" style="1637" customWidth="1"/>
    <col min="2574" max="2816" width="9" style="1637"/>
    <col min="2817" max="2817" width="4.875" style="1637" customWidth="1"/>
    <col min="2818" max="2818" width="13.1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625" style="1637" customWidth="1"/>
    <col min="2830" max="3072" width="9" style="1637"/>
    <col min="3073" max="3073" width="4.875" style="1637" customWidth="1"/>
    <col min="3074" max="3074" width="13.1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625" style="1637" customWidth="1"/>
    <col min="3086" max="3328" width="9" style="1637"/>
    <col min="3329" max="3329" width="4.875" style="1637" customWidth="1"/>
    <col min="3330" max="3330" width="13.1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625" style="1637" customWidth="1"/>
    <col min="3342" max="3584" width="9" style="1637"/>
    <col min="3585" max="3585" width="4.875" style="1637" customWidth="1"/>
    <col min="3586" max="3586" width="13.1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625" style="1637" customWidth="1"/>
    <col min="3598" max="3840" width="9" style="1637"/>
    <col min="3841" max="3841" width="4.875" style="1637" customWidth="1"/>
    <col min="3842" max="3842" width="13.1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625" style="1637" customWidth="1"/>
    <col min="3854" max="4096" width="9" style="1637"/>
    <col min="4097" max="4097" width="4.875" style="1637" customWidth="1"/>
    <col min="4098" max="4098" width="13.1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625" style="1637" customWidth="1"/>
    <col min="4110" max="4352" width="9" style="1637"/>
    <col min="4353" max="4353" width="4.875" style="1637" customWidth="1"/>
    <col min="4354" max="4354" width="13.1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625" style="1637" customWidth="1"/>
    <col min="4366" max="4608" width="9" style="1637"/>
    <col min="4609" max="4609" width="4.875" style="1637" customWidth="1"/>
    <col min="4610" max="4610" width="13.1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625" style="1637" customWidth="1"/>
    <col min="4622" max="4864" width="9" style="1637"/>
    <col min="4865" max="4865" width="4.875" style="1637" customWidth="1"/>
    <col min="4866" max="4866" width="13.1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625" style="1637" customWidth="1"/>
    <col min="4878" max="5120" width="9" style="1637"/>
    <col min="5121" max="5121" width="4.875" style="1637" customWidth="1"/>
    <col min="5122" max="5122" width="13.1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625" style="1637" customWidth="1"/>
    <col min="5134" max="5376" width="9" style="1637"/>
    <col min="5377" max="5377" width="4.875" style="1637" customWidth="1"/>
    <col min="5378" max="5378" width="13.1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625" style="1637" customWidth="1"/>
    <col min="5390" max="5632" width="9" style="1637"/>
    <col min="5633" max="5633" width="4.875" style="1637" customWidth="1"/>
    <col min="5634" max="5634" width="13.1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625" style="1637" customWidth="1"/>
    <col min="5646" max="5888" width="9" style="1637"/>
    <col min="5889" max="5889" width="4.875" style="1637" customWidth="1"/>
    <col min="5890" max="5890" width="13.1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625" style="1637" customWidth="1"/>
    <col min="5902" max="6144" width="9" style="1637"/>
    <col min="6145" max="6145" width="4.875" style="1637" customWidth="1"/>
    <col min="6146" max="6146" width="13.1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625" style="1637" customWidth="1"/>
    <col min="6158" max="6400" width="9" style="1637"/>
    <col min="6401" max="6401" width="4.875" style="1637" customWidth="1"/>
    <col min="6402" max="6402" width="13.1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625" style="1637" customWidth="1"/>
    <col min="6414" max="6656" width="9" style="1637"/>
    <col min="6657" max="6657" width="4.875" style="1637" customWidth="1"/>
    <col min="6658" max="6658" width="13.1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625" style="1637" customWidth="1"/>
    <col min="6670" max="6912" width="9" style="1637"/>
    <col min="6913" max="6913" width="4.875" style="1637" customWidth="1"/>
    <col min="6914" max="6914" width="13.1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625" style="1637" customWidth="1"/>
    <col min="6926" max="7168" width="9" style="1637"/>
    <col min="7169" max="7169" width="4.875" style="1637" customWidth="1"/>
    <col min="7170" max="7170" width="13.1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625" style="1637" customWidth="1"/>
    <col min="7182" max="7424" width="9" style="1637"/>
    <col min="7425" max="7425" width="4.875" style="1637" customWidth="1"/>
    <col min="7426" max="7426" width="13.1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625" style="1637" customWidth="1"/>
    <col min="7438" max="7680" width="9" style="1637"/>
    <col min="7681" max="7681" width="4.875" style="1637" customWidth="1"/>
    <col min="7682" max="7682" width="13.1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625" style="1637" customWidth="1"/>
    <col min="7694" max="7936" width="9" style="1637"/>
    <col min="7937" max="7937" width="4.875" style="1637" customWidth="1"/>
    <col min="7938" max="7938" width="13.1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625" style="1637" customWidth="1"/>
    <col min="7950" max="8192" width="9" style="1637"/>
    <col min="8193" max="8193" width="4.875" style="1637" customWidth="1"/>
    <col min="8194" max="8194" width="13.1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625" style="1637" customWidth="1"/>
    <col min="8206" max="8448" width="9" style="1637"/>
    <col min="8449" max="8449" width="4.875" style="1637" customWidth="1"/>
    <col min="8450" max="8450" width="13.1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625" style="1637" customWidth="1"/>
    <col min="8462" max="8704" width="9" style="1637"/>
    <col min="8705" max="8705" width="4.875" style="1637" customWidth="1"/>
    <col min="8706" max="8706" width="13.1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625" style="1637" customWidth="1"/>
    <col min="8718" max="8960" width="9" style="1637"/>
    <col min="8961" max="8961" width="4.875" style="1637" customWidth="1"/>
    <col min="8962" max="8962" width="13.1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625" style="1637" customWidth="1"/>
    <col min="8974" max="9216" width="9" style="1637"/>
    <col min="9217" max="9217" width="4.875" style="1637" customWidth="1"/>
    <col min="9218" max="9218" width="13.1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625" style="1637" customWidth="1"/>
    <col min="9230" max="9472" width="9" style="1637"/>
    <col min="9473" max="9473" width="4.875" style="1637" customWidth="1"/>
    <col min="9474" max="9474" width="13.1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625" style="1637" customWidth="1"/>
    <col min="9486" max="9728" width="9" style="1637"/>
    <col min="9729" max="9729" width="4.875" style="1637" customWidth="1"/>
    <col min="9730" max="9730" width="13.1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625" style="1637" customWidth="1"/>
    <col min="9742" max="9984" width="9" style="1637"/>
    <col min="9985" max="9985" width="4.875" style="1637" customWidth="1"/>
    <col min="9986" max="9986" width="13.1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625" style="1637" customWidth="1"/>
    <col min="9998" max="10240" width="9" style="1637"/>
    <col min="10241" max="10241" width="4.875" style="1637" customWidth="1"/>
    <col min="10242" max="10242" width="13.1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625" style="1637" customWidth="1"/>
    <col min="10254" max="10496" width="9" style="1637"/>
    <col min="10497" max="10497" width="4.875" style="1637" customWidth="1"/>
    <col min="10498" max="10498" width="13.1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625" style="1637" customWidth="1"/>
    <col min="10510" max="10752" width="9" style="1637"/>
    <col min="10753" max="10753" width="4.875" style="1637" customWidth="1"/>
    <col min="10754" max="10754" width="13.1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625" style="1637" customWidth="1"/>
    <col min="10766" max="11008" width="9" style="1637"/>
    <col min="11009" max="11009" width="4.875" style="1637" customWidth="1"/>
    <col min="11010" max="11010" width="13.1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625" style="1637" customWidth="1"/>
    <col min="11022" max="11264" width="9" style="1637"/>
    <col min="11265" max="11265" width="4.875" style="1637" customWidth="1"/>
    <col min="11266" max="11266" width="13.1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625" style="1637" customWidth="1"/>
    <col min="11278" max="11520" width="9" style="1637"/>
    <col min="11521" max="11521" width="4.875" style="1637" customWidth="1"/>
    <col min="11522" max="11522" width="13.1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625" style="1637" customWidth="1"/>
    <col min="11534" max="11776" width="9" style="1637"/>
    <col min="11777" max="11777" width="4.875" style="1637" customWidth="1"/>
    <col min="11778" max="11778" width="13.1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625" style="1637" customWidth="1"/>
    <col min="11790" max="12032" width="9" style="1637"/>
    <col min="12033" max="12033" width="4.875" style="1637" customWidth="1"/>
    <col min="12034" max="12034" width="13.1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625" style="1637" customWidth="1"/>
    <col min="12046" max="12288" width="9" style="1637"/>
    <col min="12289" max="12289" width="4.875" style="1637" customWidth="1"/>
    <col min="12290" max="12290" width="13.1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625" style="1637" customWidth="1"/>
    <col min="12302" max="12544" width="9" style="1637"/>
    <col min="12545" max="12545" width="4.875" style="1637" customWidth="1"/>
    <col min="12546" max="12546" width="13.1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625" style="1637" customWidth="1"/>
    <col min="12558" max="12800" width="9" style="1637"/>
    <col min="12801" max="12801" width="4.875" style="1637" customWidth="1"/>
    <col min="12802" max="12802" width="13.1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625" style="1637" customWidth="1"/>
    <col min="12814" max="13056" width="9" style="1637"/>
    <col min="13057" max="13057" width="4.875" style="1637" customWidth="1"/>
    <col min="13058" max="13058" width="13.1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625" style="1637" customWidth="1"/>
    <col min="13070" max="13312" width="9" style="1637"/>
    <col min="13313" max="13313" width="4.875" style="1637" customWidth="1"/>
    <col min="13314" max="13314" width="13.1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625" style="1637" customWidth="1"/>
    <col min="13326" max="13568" width="9" style="1637"/>
    <col min="13569" max="13569" width="4.875" style="1637" customWidth="1"/>
    <col min="13570" max="13570" width="13.1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625" style="1637" customWidth="1"/>
    <col min="13582" max="13824" width="9" style="1637"/>
    <col min="13825" max="13825" width="4.875" style="1637" customWidth="1"/>
    <col min="13826" max="13826" width="13.1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625" style="1637" customWidth="1"/>
    <col min="13838" max="14080" width="9" style="1637"/>
    <col min="14081" max="14081" width="4.875" style="1637" customWidth="1"/>
    <col min="14082" max="14082" width="13.1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625" style="1637" customWidth="1"/>
    <col min="14094" max="14336" width="9" style="1637"/>
    <col min="14337" max="14337" width="4.875" style="1637" customWidth="1"/>
    <col min="14338" max="14338" width="13.1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625" style="1637" customWidth="1"/>
    <col min="14350" max="14592" width="9" style="1637"/>
    <col min="14593" max="14593" width="4.875" style="1637" customWidth="1"/>
    <col min="14594" max="14594" width="13.1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625" style="1637" customWidth="1"/>
    <col min="14606" max="14848" width="9" style="1637"/>
    <col min="14849" max="14849" width="4.875" style="1637" customWidth="1"/>
    <col min="14850" max="14850" width="13.1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625" style="1637" customWidth="1"/>
    <col min="14862" max="15104" width="9" style="1637"/>
    <col min="15105" max="15105" width="4.875" style="1637" customWidth="1"/>
    <col min="15106" max="15106" width="13.1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625" style="1637" customWidth="1"/>
    <col min="15118" max="15360" width="9" style="1637"/>
    <col min="15361" max="15361" width="4.875" style="1637" customWidth="1"/>
    <col min="15362" max="15362" width="13.1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625" style="1637" customWidth="1"/>
    <col min="15374" max="15616" width="9" style="1637"/>
    <col min="15617" max="15617" width="4.875" style="1637" customWidth="1"/>
    <col min="15618" max="15618" width="13.1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625" style="1637" customWidth="1"/>
    <col min="15630" max="15872" width="9" style="1637"/>
    <col min="15873" max="15873" width="4.875" style="1637" customWidth="1"/>
    <col min="15874" max="15874" width="13.1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625" style="1637" customWidth="1"/>
    <col min="15886" max="16128" width="9" style="1637"/>
    <col min="16129" max="16129" width="4.875" style="1637" customWidth="1"/>
    <col min="16130" max="16130" width="13.1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625" style="1637" customWidth="1"/>
    <col min="16142" max="16384" width="9" style="1637"/>
  </cols>
  <sheetData>
    <row r="1" spans="1:257" s="1701" customFormat="1" ht="14.25" thickBot="1">
      <c r="A1" s="1695"/>
      <c r="B1" s="1702" t="s">
        <v>1300</v>
      </c>
      <c r="C1" s="1696">
        <f>项目基本情况!D3</f>
        <v>43357</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10" sqref="L10"/>
    </sheetView>
  </sheetViews>
  <sheetFormatPr defaultColWidth="8.875" defaultRowHeight="13.5"/>
  <cols>
    <col min="1" max="1" width="19.625" customWidth="1"/>
  </cols>
  <sheetData>
    <row r="1" spans="1:13">
      <c r="A1" s="1637" t="s">
        <v>3082</v>
      </c>
      <c r="B1" s="1637" t="s">
        <v>3083</v>
      </c>
      <c r="C1" s="1637" t="s">
        <v>3084</v>
      </c>
      <c r="D1" s="1637" t="s">
        <v>3085</v>
      </c>
      <c r="E1" s="1637" t="s">
        <v>3086</v>
      </c>
      <c r="F1" s="1637" t="s">
        <v>3087</v>
      </c>
      <c r="G1" s="1637" t="s">
        <v>3088</v>
      </c>
      <c r="H1" s="1637" t="s">
        <v>3089</v>
      </c>
      <c r="I1" s="1637" t="s">
        <v>3090</v>
      </c>
      <c r="J1" s="1637" t="s">
        <v>3091</v>
      </c>
      <c r="K1" s="1637" t="s">
        <v>3092</v>
      </c>
      <c r="L1" s="1637" t="s">
        <v>3093</v>
      </c>
      <c r="M1" s="1637" t="s">
        <v>3094</v>
      </c>
    </row>
    <row r="2" spans="1:13" s="2956" customFormat="1">
      <c r="A2" s="2955" t="s">
        <v>3095</v>
      </c>
      <c r="B2" s="2955" t="s">
        <v>3096</v>
      </c>
      <c r="C2" s="2955" t="s">
        <v>3097</v>
      </c>
      <c r="D2" s="2955">
        <v>71941.600000000006</v>
      </c>
      <c r="E2" s="2955">
        <v>100718.2</v>
      </c>
      <c r="F2" s="2955" t="s">
        <v>1331</v>
      </c>
      <c r="G2" s="2955" t="s">
        <v>3098</v>
      </c>
      <c r="H2" s="2955" t="s">
        <v>3099</v>
      </c>
      <c r="I2" s="2955">
        <v>100000</v>
      </c>
      <c r="J2" s="2955">
        <v>100000</v>
      </c>
      <c r="K2" s="2955">
        <v>9928.69</v>
      </c>
      <c r="L2" s="2955">
        <v>0</v>
      </c>
      <c r="M2" s="2955" t="s">
        <v>3100</v>
      </c>
    </row>
    <row r="3" spans="1:13" s="2956" customFormat="1">
      <c r="A3" s="2955" t="s">
        <v>3101</v>
      </c>
      <c r="B3" s="2955" t="s">
        <v>3096</v>
      </c>
      <c r="C3" s="2955" t="s">
        <v>3097</v>
      </c>
      <c r="D3" s="2955">
        <v>45708.5</v>
      </c>
      <c r="E3" s="2955">
        <v>77704.45</v>
      </c>
      <c r="F3" s="2955" t="s">
        <v>1331</v>
      </c>
      <c r="G3" s="2955" t="s">
        <v>3098</v>
      </c>
      <c r="H3" s="2955" t="s">
        <v>3099</v>
      </c>
      <c r="I3" s="2955">
        <v>78000</v>
      </c>
      <c r="J3" s="2955">
        <v>78000</v>
      </c>
      <c r="K3" s="2955">
        <v>10038.040000000001</v>
      </c>
      <c r="L3" s="2955">
        <v>0</v>
      </c>
      <c r="M3" s="2955" t="s">
        <v>3102</v>
      </c>
    </row>
    <row r="4" spans="1:13">
      <c r="A4" s="1637" t="s">
        <v>3103</v>
      </c>
      <c r="B4" s="1637" t="s">
        <v>3096</v>
      </c>
      <c r="C4" s="1637" t="s">
        <v>3097</v>
      </c>
      <c r="D4" s="1637">
        <v>99256.6</v>
      </c>
      <c r="E4" s="1637">
        <v>192513.3</v>
      </c>
      <c r="F4" s="1637" t="s">
        <v>3104</v>
      </c>
      <c r="G4" s="1637" t="s">
        <v>3098</v>
      </c>
      <c r="H4" s="1637" t="s">
        <v>3105</v>
      </c>
      <c r="I4" s="1637">
        <v>158600</v>
      </c>
      <c r="J4" s="1637">
        <v>161000</v>
      </c>
      <c r="K4" s="1637">
        <v>8363.0499999999993</v>
      </c>
      <c r="L4" s="1637">
        <v>1.51</v>
      </c>
      <c r="M4" s="1637" t="s">
        <v>3106</v>
      </c>
    </row>
    <row r="5" spans="1:13" s="2960" customFormat="1">
      <c r="A5" s="2959" t="s">
        <v>3107</v>
      </c>
      <c r="B5" s="2959" t="s">
        <v>3096</v>
      </c>
      <c r="C5" s="2959" t="s">
        <v>3097</v>
      </c>
      <c r="D5" s="2959">
        <v>60460.800000000003</v>
      </c>
      <c r="E5" s="2959">
        <v>90691.199999999997</v>
      </c>
      <c r="F5" s="2959" t="s">
        <v>3108</v>
      </c>
      <c r="G5" s="2959" t="s">
        <v>3098</v>
      </c>
      <c r="H5" s="2959" t="s">
        <v>3109</v>
      </c>
      <c r="I5" s="2959">
        <v>76000</v>
      </c>
      <c r="J5" s="2959">
        <v>114000</v>
      </c>
      <c r="K5" s="2959">
        <v>12570.12</v>
      </c>
      <c r="L5" s="2959">
        <v>50</v>
      </c>
      <c r="M5" s="2959" t="s">
        <v>3110</v>
      </c>
    </row>
    <row r="6" spans="1:13">
      <c r="A6" s="1637" t="s">
        <v>3111</v>
      </c>
      <c r="B6" s="1637" t="s">
        <v>3096</v>
      </c>
      <c r="C6" s="1637" t="s">
        <v>3097</v>
      </c>
      <c r="D6" s="1637">
        <v>85689</v>
      </c>
      <c r="E6" s="1637">
        <v>128533.5</v>
      </c>
      <c r="F6" s="1637" t="s">
        <v>3108</v>
      </c>
      <c r="G6" s="1637" t="s">
        <v>3098</v>
      </c>
      <c r="H6" s="1637" t="s">
        <v>3109</v>
      </c>
      <c r="I6" s="1637">
        <v>107000</v>
      </c>
      <c r="J6" s="1637">
        <v>160500</v>
      </c>
      <c r="K6" s="1637">
        <v>12487.02</v>
      </c>
      <c r="L6" s="1637">
        <v>50</v>
      </c>
      <c r="M6" s="1637" t="s">
        <v>3112</v>
      </c>
    </row>
    <row r="7" spans="1:13">
      <c r="A7" s="1637" t="s">
        <v>3113</v>
      </c>
      <c r="B7" s="1637" t="s">
        <v>3096</v>
      </c>
      <c r="C7" s="1637" t="s">
        <v>3114</v>
      </c>
      <c r="D7" s="1637">
        <v>62024</v>
      </c>
      <c r="E7" s="1637">
        <v>74428.800000000003</v>
      </c>
      <c r="F7" s="1637" t="s">
        <v>3115</v>
      </c>
      <c r="G7" s="1637" t="s">
        <v>3098</v>
      </c>
      <c r="H7" s="1637" t="s">
        <v>3116</v>
      </c>
      <c r="I7" s="1637">
        <v>86300</v>
      </c>
      <c r="J7" s="1637">
        <v>97000</v>
      </c>
      <c r="K7" s="1637">
        <v>13032.59</v>
      </c>
      <c r="L7" s="1637">
        <v>12.4</v>
      </c>
      <c r="M7" s="1637" t="s">
        <v>3117</v>
      </c>
    </row>
    <row r="8" spans="1:13">
      <c r="A8" s="1637" t="s">
        <v>3118</v>
      </c>
      <c r="B8" s="1637" t="s">
        <v>3096</v>
      </c>
      <c r="C8" s="1637" t="s">
        <v>3097</v>
      </c>
      <c r="D8" s="1637">
        <v>68970.899999999994</v>
      </c>
      <c r="E8" s="1637">
        <v>81824.160000000003</v>
      </c>
      <c r="F8" s="1637" t="s">
        <v>3119</v>
      </c>
      <c r="G8" s="1637" t="s">
        <v>3098</v>
      </c>
      <c r="H8" s="1637" t="s">
        <v>3120</v>
      </c>
      <c r="I8" s="1637">
        <v>71500</v>
      </c>
      <c r="J8" s="1637">
        <v>107250</v>
      </c>
      <c r="K8" s="1637">
        <v>13107.37</v>
      </c>
      <c r="L8" s="1637">
        <v>50</v>
      </c>
      <c r="M8" s="1637" t="s">
        <v>3121</v>
      </c>
    </row>
    <row r="9" spans="1:13" s="2942" customFormat="1">
      <c r="A9" s="2941" t="s">
        <v>3118</v>
      </c>
      <c r="B9" s="2941" t="s">
        <v>3096</v>
      </c>
      <c r="C9" s="2941" t="s">
        <v>3114</v>
      </c>
      <c r="D9" s="2941">
        <v>79346.2</v>
      </c>
      <c r="E9" s="2941">
        <v>95215.44</v>
      </c>
      <c r="F9" s="2941" t="s">
        <v>3122</v>
      </c>
      <c r="G9" s="2941" t="s">
        <v>3098</v>
      </c>
      <c r="H9" s="2941" t="s">
        <v>3120</v>
      </c>
      <c r="I9" s="2941">
        <v>88350</v>
      </c>
      <c r="J9" s="2941">
        <v>132500</v>
      </c>
      <c r="K9" s="2941">
        <v>13915.8</v>
      </c>
      <c r="L9" s="2941">
        <v>49.97</v>
      </c>
      <c r="M9" s="2941" t="s">
        <v>3123</v>
      </c>
    </row>
    <row r="10" spans="1:13" s="2942" customFormat="1">
      <c r="A10" s="2941" t="s">
        <v>3118</v>
      </c>
      <c r="B10" s="2941" t="s">
        <v>3096</v>
      </c>
      <c r="C10" s="2941" t="s">
        <v>3114</v>
      </c>
      <c r="D10" s="2941">
        <v>45436.7</v>
      </c>
      <c r="E10" s="2941">
        <v>54524.04</v>
      </c>
      <c r="F10" s="2941" t="s">
        <v>3124</v>
      </c>
      <c r="G10" s="2941" t="s">
        <v>3098</v>
      </c>
      <c r="H10" s="2941" t="s">
        <v>3125</v>
      </c>
      <c r="I10" s="2941">
        <v>50550</v>
      </c>
      <c r="J10" s="2941">
        <v>75800</v>
      </c>
      <c r="K10" s="2941">
        <v>13902.12</v>
      </c>
      <c r="L10" s="2941">
        <v>49.95</v>
      </c>
      <c r="M10" s="2941" t="s">
        <v>3126</v>
      </c>
    </row>
    <row r="11" spans="1:13" s="2956" customFormat="1">
      <c r="A11" s="2955" t="s">
        <v>3127</v>
      </c>
      <c r="B11" s="2955" t="s">
        <v>3096</v>
      </c>
      <c r="C11" s="2955" t="s">
        <v>3114</v>
      </c>
      <c r="D11" s="2955">
        <v>93217.9</v>
      </c>
      <c r="E11" s="2955">
        <v>139826.79999999999</v>
      </c>
      <c r="F11" s="2955" t="s">
        <v>3128</v>
      </c>
      <c r="G11" s="2955" t="s">
        <v>3098</v>
      </c>
      <c r="H11" s="2955" t="s">
        <v>3129</v>
      </c>
      <c r="I11" s="2955">
        <v>139800</v>
      </c>
      <c r="J11" s="2955">
        <v>155000</v>
      </c>
      <c r="K11" s="2955">
        <v>11085.13</v>
      </c>
      <c r="L11" s="2955">
        <v>10.87</v>
      </c>
      <c r="M11" s="2955" t="s">
        <v>3130</v>
      </c>
    </row>
    <row r="12" spans="1:13" s="2942" customFormat="1">
      <c r="A12" s="2941" t="s">
        <v>3103</v>
      </c>
      <c r="B12" s="2941" t="s">
        <v>3096</v>
      </c>
      <c r="C12" s="2941" t="s">
        <v>3097</v>
      </c>
      <c r="D12" s="2941">
        <v>195154.8</v>
      </c>
      <c r="E12" s="2941">
        <v>290021.2</v>
      </c>
      <c r="F12" s="2941" t="s">
        <v>3131</v>
      </c>
      <c r="G12" s="2941" t="s">
        <v>3098</v>
      </c>
      <c r="H12" s="2941" t="s">
        <v>3132</v>
      </c>
      <c r="I12" s="2941">
        <v>102610</v>
      </c>
      <c r="J12" s="2941">
        <v>426000</v>
      </c>
      <c r="K12" s="2941">
        <v>14688.57</v>
      </c>
      <c r="L12" s="2941">
        <v>315.16000000000003</v>
      </c>
      <c r="M12" s="2941" t="s">
        <v>3133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1638</v>
      </c>
      <c r="E3" s="1047" t="s">
        <v>1644</v>
      </c>
      <c r="F3" s="1047" t="s">
        <v>1638</v>
      </c>
      <c r="G3" s="1047" t="s">
        <v>1639</v>
      </c>
      <c r="H3" s="1047" t="s">
        <v>1638</v>
      </c>
      <c r="I3" s="1047" t="s">
        <v>1639</v>
      </c>
    </row>
    <row r="4" spans="1:9" ht="45">
      <c r="A4" s="1975" t="str">
        <f>项目基本情况!S2</f>
        <v>天津市津南区北闸口镇出让国有建设用地使用权及在建建筑物房地产</v>
      </c>
      <c r="B4" s="1047">
        <f>项目基本情况!C17</f>
        <v>124616.56000000001</v>
      </c>
      <c r="C4" s="1047">
        <f>项目基本情况!C18</f>
        <v>64266.3</v>
      </c>
      <c r="D4" s="1047">
        <f ca="1">结果表!D118</f>
        <v>84083</v>
      </c>
      <c r="E4" s="1047">
        <f ca="1">结果表!E118</f>
        <v>6748</v>
      </c>
      <c r="F4" s="1047">
        <f ca="1">结果表!F118</f>
        <v>8316</v>
      </c>
      <c r="G4" s="1047">
        <f ca="1">结果表!G118</f>
        <v>667</v>
      </c>
      <c r="H4" s="1047">
        <f ca="1">结果表!H118</f>
        <v>92399</v>
      </c>
      <c r="I4" s="1047">
        <f ca="1">结果表!I118</f>
        <v>7415</v>
      </c>
    </row>
    <row r="5" spans="1:9" ht="30" customHeight="1">
      <c r="A5" s="2986" t="s">
        <v>1640</v>
      </c>
      <c r="B5" s="2986"/>
      <c r="C5" s="2986"/>
      <c r="D5" s="2987" t="str">
        <f ca="1">结果表!D119</f>
        <v>捌亿肆仟零捌拾叁万元整</v>
      </c>
      <c r="E5" s="2987"/>
      <c r="F5" s="2987" t="str">
        <f ca="1">结果表!F119</f>
        <v>捌仟叁佰壹拾陆万元整</v>
      </c>
      <c r="G5" s="2987"/>
      <c r="H5" s="2987" t="str">
        <f ca="1">结果表!H119</f>
        <v>玖亿贰仟叁佰玖拾玖万元整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1640</v>
      </c>
      <c r="B7" s="2986"/>
      <c r="C7" s="2986"/>
      <c r="D7" s="2988" t="str">
        <f>结果表!D121</f>
        <v>零元整</v>
      </c>
      <c r="E7" s="2989"/>
      <c r="F7" s="2989"/>
      <c r="G7" s="2989"/>
      <c r="H7" s="2989"/>
      <c r="I7" s="2990"/>
    </row>
    <row r="8" spans="1:9" ht="15.75">
      <c r="A8" s="2985" t="str">
        <f>结果表!A122</f>
        <v>房地产抵押价值</v>
      </c>
      <c r="B8" s="2985"/>
      <c r="C8" s="2985"/>
      <c r="D8" s="2985">
        <f ca="1">结果表!D122</f>
        <v>92399</v>
      </c>
      <c r="E8" s="2985"/>
      <c r="F8" s="2985"/>
      <c r="G8" s="2985"/>
      <c r="H8" s="2985"/>
      <c r="I8" s="2985"/>
    </row>
    <row r="9" spans="1:9" ht="15">
      <c r="A9" s="2986" t="s">
        <v>1640</v>
      </c>
      <c r="B9" s="2986"/>
      <c r="C9" s="2986"/>
      <c r="D9" s="2987" t="str">
        <f ca="1">结果表!D123</f>
        <v>玖亿贰仟叁佰玖拾玖万元整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1640</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9" t="s">
        <v>1662</v>
      </c>
      <c r="B1" s="2999"/>
      <c r="C1" s="2999"/>
      <c r="D1" s="2999"/>
    </row>
    <row r="2" spans="1:4" ht="18">
      <c r="A2" s="3000" t="s">
        <v>1646</v>
      </c>
      <c r="B2" s="3000"/>
      <c r="C2" s="3000"/>
      <c r="D2" s="3000"/>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0" t="s">
        <v>1652</v>
      </c>
      <c r="B6" s="3000"/>
      <c r="C6" s="3000"/>
      <c r="D6" s="300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1"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（1）根据估价对象《不动产权证书》复印件、，截至价值时点，估价对象已设定抵押。上述抵押权设定日期为，权利人为平安信托有限责任公司，权利范围为64266.3平方米，权利价值为1072500000元。</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7" t="s">
        <v>1669</v>
      </c>
      <c r="B15" s="3002" t="s">
        <v>136</v>
      </c>
      <c r="C15" s="3003"/>
    </row>
    <row r="16" spans="1:7" ht="13.5">
      <c r="A16" s="3008"/>
      <c r="B16" s="3002" t="s">
        <v>69</v>
      </c>
      <c r="C16" s="3003"/>
    </row>
    <row r="17" spans="1:3" ht="13.5">
      <c r="A17" s="3008"/>
      <c r="B17" s="3005" t="s">
        <v>1670</v>
      </c>
      <c r="C17" s="2002" t="s">
        <v>1669</v>
      </c>
    </row>
    <row r="18" spans="1:3" ht="13.5">
      <c r="A18" s="3008"/>
      <c r="B18" s="3005"/>
      <c r="C18" s="2002" t="s">
        <v>1671</v>
      </c>
    </row>
    <row r="19" spans="1:3" ht="13.5">
      <c r="A19" s="3008"/>
      <c r="B19" s="3005"/>
      <c r="C19" s="2002" t="s">
        <v>1672</v>
      </c>
    </row>
    <row r="20" spans="1:3" ht="13.5">
      <c r="A20" s="3009"/>
      <c r="B20" s="3004" t="s">
        <v>1673</v>
      </c>
      <c r="C20" s="3003"/>
    </row>
    <row r="21" spans="1:3" ht="13.5">
      <c r="A21" s="2003" t="s">
        <v>1674</v>
      </c>
      <c r="B21" s="2004"/>
      <c r="C21" s="2005"/>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2" t="s">
        <v>1680</v>
      </c>
    </row>
    <row r="26" spans="1:3" ht="13.5">
      <c r="A26" s="3006"/>
      <c r="B26" s="3005"/>
      <c r="C26" s="2002" t="s">
        <v>1681</v>
      </c>
    </row>
    <row r="27" spans="1:3" ht="13.5">
      <c r="A27" s="3006"/>
      <c r="B27" s="3005"/>
      <c r="C27" s="2002" t="s">
        <v>1682</v>
      </c>
    </row>
    <row r="28" spans="1:3" ht="13.5">
      <c r="A28" s="3006"/>
      <c r="B28" s="3005"/>
      <c r="C28" s="2002" t="s">
        <v>1683</v>
      </c>
    </row>
    <row r="29" spans="1:3" ht="13.5">
      <c r="A29" s="3006"/>
      <c r="B29" s="3005"/>
      <c r="C29" s="2002" t="s">
        <v>1684</v>
      </c>
    </row>
    <row r="30" spans="1:3" ht="13.5">
      <c r="A30" s="3006"/>
      <c r="B30" s="3005"/>
      <c r="C30" s="2002" t="s">
        <v>1685</v>
      </c>
    </row>
    <row r="31" spans="1:3" ht="13.5">
      <c r="A31" s="3006"/>
      <c r="B31" s="3005"/>
      <c r="C31" s="2002" t="s">
        <v>1686</v>
      </c>
    </row>
    <row r="32" spans="1:3" ht="13.5">
      <c r="A32" s="3006"/>
      <c r="B32" s="3005"/>
      <c r="C32" s="2002" t="s">
        <v>1687</v>
      </c>
    </row>
    <row r="33" spans="1:3" ht="13.5">
      <c r="A33" s="3006"/>
      <c r="B33" s="300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43370</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3039</v>
      </c>
      <c r="B12" s="1025">
        <v>1120110054</v>
      </c>
      <c r="C12" s="2936">
        <v>43937</v>
      </c>
      <c r="D12" s="1704" t="s">
        <v>3039</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6">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(2)</vt:lpstr>
      <vt:lpstr>收益法 (元)</vt:lpstr>
      <vt:lpstr>收益法（汇总）</vt:lpstr>
      <vt:lpstr>酒店收入计算</vt:lpstr>
      <vt:lpstr>收益法(3)</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'收益法(3)'!Print_Area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2018-09-27T18:56:39Z</dcterms:modified>
</cp:coreProperties>
</file>