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50" windowWidth="20730" windowHeight="1176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74" r:id="rId13"/>
    <sheet name="数据-汇总表" sheetId="6" r:id="rId14"/>
    <sheet name="数据-取费表" sheetId="1" r:id="rId15"/>
    <sheet name="估价对象房地状况" sheetId="20" r:id="rId16"/>
    <sheet name="各地块面积指标" sheetId="71"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4" i="66" l="1"/>
  <c r="B14" i="66"/>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C13" i="12"/>
  <c r="C14" i="12"/>
  <c r="C15" i="12"/>
  <c r="D16" i="12"/>
  <c r="C16" i="12" s="1"/>
  <c r="C17" i="12"/>
  <c r="D21" i="12"/>
  <c r="C21" i="12" s="1"/>
  <c r="D22" i="12"/>
  <c r="C22" i="12" s="1"/>
  <c r="C20" i="12" s="1"/>
  <c r="F33" i="12"/>
  <c r="C34" i="12" s="1"/>
  <c r="D33" i="12" s="1"/>
  <c r="C43"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D9" i="1"/>
  <c r="K59" i="73"/>
  <c r="P75" i="73"/>
  <c r="Q73" i="73"/>
  <c r="J7" i="1"/>
  <c r="J9" i="1"/>
  <c r="F59" i="73"/>
  <c r="D60" i="73"/>
  <c r="F60" i="73"/>
  <c r="F61" i="73"/>
  <c r="P62" i="73"/>
  <c r="Q60" i="73"/>
  <c r="Q59" i="73"/>
  <c r="F58" i="73"/>
  <c r="Q52" i="73"/>
  <c r="F31" i="73"/>
  <c r="AG9" i="1"/>
  <c r="M18" i="73"/>
  <c r="M20" i="73"/>
  <c r="D24" i="73"/>
  <c r="D23" i="73"/>
  <c r="D22" i="73"/>
  <c r="M19" i="73"/>
  <c r="M17" i="73"/>
  <c r="D8" i="1"/>
  <c r="K59" i="72"/>
  <c r="P75" i="72"/>
  <c r="Q73" i="72"/>
  <c r="F59" i="72"/>
  <c r="D60" i="72"/>
  <c r="F60" i="72"/>
  <c r="F61" i="72"/>
  <c r="P62" i="72"/>
  <c r="Q60" i="72"/>
  <c r="Q59" i="72"/>
  <c r="F58" i="72"/>
  <c r="Q52" i="72"/>
  <c r="F31" i="72"/>
  <c r="AG8" i="1"/>
  <c r="M18" i="72"/>
  <c r="M20"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D10" i="1"/>
  <c r="K59" i="70"/>
  <c r="P75" i="70"/>
  <c r="Q73" i="70"/>
  <c r="F59" i="70"/>
  <c r="D60" i="70"/>
  <c r="F60" i="70"/>
  <c r="F61" i="70"/>
  <c r="P62" i="70"/>
  <c r="Q60" i="70"/>
  <c r="Q59" i="70"/>
  <c r="F58" i="70"/>
  <c r="Q52" i="70"/>
  <c r="F31" i="70"/>
  <c r="AG10" i="1"/>
  <c r="M18" i="70"/>
  <c r="M20"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F31" i="15"/>
  <c r="F33" i="44"/>
  <c r="K13" i="1"/>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4" i="4"/>
  <c r="B21" i="55" s="1"/>
  <c r="B72" i="63" s="1"/>
  <c r="A2" i="9"/>
  <c r="A26" i="51"/>
  <c r="B19" i="63"/>
  <c r="C51" i="10"/>
  <c r="B21" i="63"/>
  <c r="O40" i="9"/>
  <c r="R7" i="54"/>
  <c r="B52" i="63"/>
  <c r="L76" i="9"/>
  <c r="B6" i="52"/>
  <c r="B10" i="52"/>
  <c r="D65" i="40"/>
  <c r="C67" i="40"/>
  <c r="I52" i="21"/>
  <c r="J52" i="21"/>
  <c r="I53" i="21"/>
  <c r="J53" i="21"/>
  <c r="W7" i="21"/>
  <c r="G12" i="1"/>
  <c r="B16" i="52"/>
  <c r="B8" i="52"/>
  <c r="B7" i="52"/>
  <c r="E16" i="52"/>
  <c r="B13" i="52"/>
  <c r="E21" i="52"/>
  <c r="E6" i="52"/>
  <c r="I54" i="15"/>
  <c r="G52" i="21"/>
  <c r="H52" i="21"/>
  <c r="G53" i="21"/>
  <c r="H53" i="21"/>
  <c r="E53" i="21"/>
  <c r="F53" i="21"/>
  <c r="G52" i="33"/>
  <c r="H52" i="33"/>
  <c r="G53" i="33"/>
  <c r="H53" i="33"/>
  <c r="I52" i="33"/>
  <c r="J52" i="33"/>
  <c r="H52" i="37"/>
  <c r="I52" i="37"/>
  <c r="J52" i="37"/>
  <c r="K52" i="37"/>
  <c r="L52" i="37"/>
  <c r="M52" i="37"/>
  <c r="N52" i="37"/>
  <c r="O52" i="37"/>
  <c r="O6" i="1"/>
  <c r="P6" i="1"/>
  <c r="F59" i="34"/>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D9" i="12"/>
  <c r="AA13" i="46"/>
  <c r="Q16" i="1"/>
  <c r="F24" i="43"/>
  <c r="C26" i="43" s="1"/>
  <c r="D24" i="43" s="1"/>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E12" i="6"/>
  <c r="E64" i="39"/>
  <c r="H16" i="1"/>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65" i="40"/>
  <c r="D67" i="40"/>
  <c r="L46" i="15"/>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U10" i="59"/>
  <c r="E9" i="59"/>
  <c r="E8" i="59"/>
  <c r="N49" i="59"/>
  <c r="B48" i="59"/>
  <c r="P47" i="59"/>
  <c r="P48" i="59"/>
  <c r="D41" i="59"/>
  <c r="C42" i="59"/>
  <c r="AB24" i="36"/>
  <c r="U24" i="36"/>
  <c r="AA9" i="36"/>
  <c r="S9" i="36"/>
  <c r="AC9" i="36"/>
  <c r="W9" i="36"/>
  <c r="U12" i="21"/>
  <c r="AB12" i="21"/>
  <c r="F18" i="11"/>
  <c r="C18" i="11"/>
  <c r="G59" i="34"/>
  <c r="L19" i="6"/>
  <c r="K16" i="1"/>
  <c r="C23" i="46"/>
  <c r="C21" i="46"/>
  <c r="E62" i="40"/>
  <c r="E61" i="40"/>
  <c r="R49" i="33"/>
  <c r="E48" i="33"/>
  <c r="G70" i="39"/>
  <c r="F72" i="39"/>
  <c r="O7" i="1"/>
  <c r="P7" i="1"/>
  <c r="U7" i="37"/>
  <c r="E6" i="6"/>
  <c r="D46" i="59"/>
  <c r="T46" i="59"/>
  <c r="D26" i="59"/>
  <c r="T26" i="59"/>
  <c r="AA19" i="34"/>
  <c r="S19" i="34"/>
  <c r="D38" i="59"/>
  <c r="T38" i="59"/>
  <c r="J70" i="34"/>
  <c r="K70" i="34"/>
  <c r="L70" i="34"/>
  <c r="M70" i="34"/>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F65" i="40"/>
  <c r="E67" i="40"/>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L27" i="6"/>
  <c r="C21" i="4"/>
  <c r="O5" i="54"/>
  <c r="B45" i="63"/>
  <c r="AY21" i="3"/>
  <c r="O16" i="1"/>
  <c r="S12" i="39"/>
  <c r="AC12" i="40"/>
  <c r="E52" i="33"/>
  <c r="F52" i="33"/>
  <c r="E53" i="33"/>
  <c r="F53" i="33"/>
  <c r="I53" i="33"/>
  <c r="J53" i="33"/>
  <c r="C48" i="33"/>
  <c r="C49" i="33"/>
  <c r="B3" i="33"/>
  <c r="B2" i="33"/>
  <c r="D45" i="9"/>
  <c r="D16" i="43"/>
  <c r="C16" i="43" s="1"/>
  <c r="F7" i="34"/>
  <c r="H7" i="34"/>
  <c r="G72" i="39"/>
  <c r="H70" i="39"/>
  <c r="L38" i="9"/>
  <c r="B1" i="66"/>
  <c r="C7" i="66" s="1"/>
  <c r="D10" i="11"/>
  <c r="H6" i="3"/>
  <c r="AC6" i="3"/>
  <c r="AB12" i="39"/>
  <c r="P14" i="1"/>
  <c r="P16" i="1"/>
  <c r="W12" i="39"/>
  <c r="AC12" i="39"/>
  <c r="S12" i="40"/>
  <c r="AA12" i="40"/>
  <c r="G65" i="40"/>
  <c r="F67" i="40"/>
  <c r="AC7" i="34"/>
  <c r="W7" i="3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C14" i="43" s="1"/>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E6" i="3"/>
  <c r="I70" i="39"/>
  <c r="H72" i="39"/>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B2" i="66"/>
  <c r="D11" i="6"/>
  <c r="D5" i="6"/>
  <c r="K46" i="36"/>
  <c r="L46" i="36"/>
  <c r="M46" i="36"/>
  <c r="N46" i="36"/>
  <c r="O46" i="36"/>
  <c r="H7" i="36"/>
  <c r="D15" i="6"/>
  <c r="D26" i="6"/>
  <c r="D28" i="6"/>
  <c r="D13" i="6"/>
  <c r="D19" i="6"/>
  <c r="F40" i="39"/>
  <c r="S40" i="39"/>
  <c r="J40" i="39"/>
  <c r="W40" i="39"/>
  <c r="H40" i="39"/>
  <c r="U40" i="39"/>
  <c r="E45" i="9"/>
  <c r="D29" i="6"/>
  <c r="D9" i="6"/>
  <c r="D12" i="6"/>
  <c r="E63" i="40"/>
  <c r="F45" i="9"/>
  <c r="D14" i="6"/>
  <c r="D6" i="6"/>
  <c r="D10" i="6"/>
  <c r="C22" i="4"/>
  <c r="A6" i="51"/>
  <c r="B7" i="63"/>
  <c r="H26" i="6"/>
  <c r="B30" i="9"/>
  <c r="D30" i="9"/>
  <c r="I72" i="39"/>
  <c r="J70" i="39"/>
  <c r="AC40" i="39"/>
  <c r="AA40" i="39"/>
  <c r="K27" i="6"/>
  <c r="M19" i="6"/>
  <c r="J7" i="36"/>
  <c r="W7" i="36"/>
  <c r="I65" i="40"/>
  <c r="H67" i="40"/>
  <c r="AB7" i="36"/>
  <c r="T36" i="36"/>
  <c r="G36" i="36"/>
  <c r="U7" i="36"/>
  <c r="E38" i="46"/>
  <c r="G38" i="46"/>
  <c r="I38" i="46"/>
  <c r="E33" i="46"/>
  <c r="G33" i="46"/>
  <c r="I33" i="46"/>
  <c r="G34" i="46"/>
  <c r="I34" i="46"/>
  <c r="E34" i="46"/>
  <c r="D7" i="66"/>
  <c r="A6" i="64"/>
  <c r="A20" i="64"/>
  <c r="N5" i="54"/>
  <c r="B43" i="63"/>
  <c r="G37" i="46"/>
  <c r="I37" i="46"/>
  <c r="E37" i="46"/>
  <c r="C30" i="46"/>
  <c r="E30" i="46"/>
  <c r="E29" i="46"/>
  <c r="E35" i="46"/>
  <c r="G35" i="46"/>
  <c r="I35" i="46"/>
  <c r="E36" i="46"/>
  <c r="G36" i="46"/>
  <c r="I36" i="46"/>
  <c r="F7" i="36"/>
  <c r="R26" i="6"/>
  <c r="AB40" i="39"/>
  <c r="D16" i="6"/>
  <c r="D30" i="6"/>
  <c r="D27" i="6"/>
  <c r="A20" i="51"/>
  <c r="B15" i="63"/>
  <c r="C24" i="9"/>
  <c r="C25" i="9"/>
  <c r="T12" i="1"/>
  <c r="C27" i="46"/>
  <c r="K70" i="39"/>
  <c r="J72" i="39"/>
  <c r="AC7" i="36"/>
  <c r="V36" i="36"/>
  <c r="I36" i="36"/>
  <c r="S21" i="6"/>
  <c r="T11" i="1"/>
  <c r="S20" i="6"/>
  <c r="M27" i="6"/>
  <c r="I19" i="6"/>
  <c r="J65" i="40"/>
  <c r="I67" i="40"/>
  <c r="I40" i="36"/>
  <c r="J40" i="36"/>
  <c r="G40" i="36"/>
  <c r="H40" i="36"/>
  <c r="G41" i="36"/>
  <c r="H41" i="36"/>
  <c r="S7" i="36"/>
  <c r="AA7" i="36"/>
  <c r="R36" i="36"/>
  <c r="C26" i="46"/>
  <c r="T13" i="1"/>
  <c r="D31" i="6"/>
  <c r="T6" i="1"/>
  <c r="K72" i="39"/>
  <c r="L70" i="39"/>
  <c r="H19" i="6"/>
  <c r="I27" i="6"/>
  <c r="S19" i="6"/>
  <c r="S27" i="6"/>
  <c r="K65" i="40"/>
  <c r="J67" i="40"/>
  <c r="B2" i="46"/>
  <c r="R37" i="36"/>
  <c r="E36" i="36"/>
  <c r="I6" i="6"/>
  <c r="C13" i="39"/>
  <c r="I5" i="6"/>
  <c r="T16" i="1"/>
  <c r="L72" i="39"/>
  <c r="M70" i="39"/>
  <c r="L46" i="68"/>
  <c r="H27" i="6"/>
  <c r="R19" i="6"/>
  <c r="K67" i="40"/>
  <c r="L65" i="40"/>
  <c r="C36" i="36"/>
  <c r="C37" i="36"/>
  <c r="B3" i="36"/>
  <c r="B2" i="36"/>
  <c r="E40" i="36"/>
  <c r="F40" i="36"/>
  <c r="E41" i="36"/>
  <c r="F41" i="36"/>
  <c r="I41" i="36"/>
  <c r="J41" i="36"/>
  <c r="D4" i="46"/>
  <c r="B4" i="46"/>
  <c r="B3" i="46"/>
  <c r="C11" i="34"/>
  <c r="J13" i="39"/>
  <c r="F13" i="39"/>
  <c r="H13" i="39"/>
  <c r="N70" i="39"/>
  <c r="N72" i="39"/>
  <c r="M72" i="39"/>
  <c r="H9" i="39"/>
  <c r="F9" i="39"/>
  <c r="J9" i="39"/>
  <c r="R27" i="6"/>
  <c r="R6" i="1"/>
  <c r="R16" i="1"/>
  <c r="M65" i="40"/>
  <c r="L67" i="40"/>
  <c r="W7" i="35"/>
  <c r="I38" i="35"/>
  <c r="S7" i="35"/>
  <c r="G38" i="35"/>
  <c r="U7" i="35"/>
  <c r="AB13" i="39"/>
  <c r="U13" i="39"/>
  <c r="AC13" i="39"/>
  <c r="W13" i="39"/>
  <c r="AA13" i="39"/>
  <c r="S13" i="39"/>
  <c r="H11" i="34"/>
  <c r="J11" i="34"/>
  <c r="F11" i="34"/>
  <c r="AB9" i="39"/>
  <c r="T49" i="39"/>
  <c r="G49" i="39"/>
  <c r="U9" i="39"/>
  <c r="AA9" i="39"/>
  <c r="R49" i="39"/>
  <c r="S9" i="39"/>
  <c r="W9" i="39"/>
  <c r="AC9" i="39"/>
  <c r="V49" i="39"/>
  <c r="I49" i="39"/>
  <c r="I53" i="39"/>
  <c r="J53" i="39"/>
  <c r="M67" i="40"/>
  <c r="N65" i="40"/>
  <c r="N67" i="40"/>
  <c r="F9" i="40"/>
  <c r="I42" i="35"/>
  <c r="J42" i="35"/>
  <c r="G42" i="35"/>
  <c r="H42" i="35"/>
  <c r="G43" i="35"/>
  <c r="H43" i="35"/>
  <c r="E38" i="35"/>
  <c r="W11" i="34"/>
  <c r="AC11" i="34"/>
  <c r="V49" i="34"/>
  <c r="I49" i="34"/>
  <c r="I53" i="34"/>
  <c r="J53" i="34"/>
  <c r="S11" i="34"/>
  <c r="AA11" i="34"/>
  <c r="R49" i="34"/>
  <c r="AB11" i="34"/>
  <c r="T49" i="34"/>
  <c r="G49" i="34"/>
  <c r="U11" i="34"/>
  <c r="H9" i="40"/>
  <c r="AB9" i="40"/>
  <c r="T44" i="40"/>
  <c r="G44" i="40"/>
  <c r="E49" i="39"/>
  <c r="R50" i="39"/>
  <c r="G54" i="39"/>
  <c r="H54" i="39"/>
  <c r="G53" i="39"/>
  <c r="H53" i="39"/>
  <c r="J9" i="40"/>
  <c r="AA9" i="40"/>
  <c r="R44" i="40"/>
  <c r="S9" i="40"/>
  <c r="C38" i="35"/>
  <c r="E43" i="35"/>
  <c r="F43" i="35"/>
  <c r="E42" i="35"/>
  <c r="F42" i="35"/>
  <c r="I43" i="35"/>
  <c r="J43" i="35"/>
  <c r="R50" i="34"/>
  <c r="E49" i="34"/>
  <c r="G54" i="34"/>
  <c r="H54" i="34"/>
  <c r="G53" i="34"/>
  <c r="H53" i="34"/>
  <c r="U9" i="40"/>
  <c r="C50" i="39"/>
  <c r="C49" i="39"/>
  <c r="I54" i="39"/>
  <c r="J54" i="39"/>
  <c r="E53" i="39"/>
  <c r="F53" i="39"/>
  <c r="E54" i="39"/>
  <c r="F54" i="39"/>
  <c r="E44" i="40"/>
  <c r="R45" i="40"/>
  <c r="G48" i="40"/>
  <c r="H48" i="40"/>
  <c r="AC9" i="40"/>
  <c r="V44" i="40"/>
  <c r="I44" i="40"/>
  <c r="G49" i="40"/>
  <c r="H49" i="40"/>
  <c r="W9" i="40"/>
  <c r="I54" i="34"/>
  <c r="J54" i="34"/>
  <c r="E53" i="34"/>
  <c r="F53" i="34"/>
  <c r="E54" i="34"/>
  <c r="F54" i="34"/>
  <c r="C49" i="34"/>
  <c r="C50" i="34"/>
  <c r="B3" i="34"/>
  <c r="B65" i="39"/>
  <c r="F65" i="39"/>
  <c r="B67" i="39"/>
  <c r="F67" i="39"/>
  <c r="B61" i="39"/>
  <c r="F61" i="39"/>
  <c r="B62" i="39"/>
  <c r="F62" i="39"/>
  <c r="B60" i="39"/>
  <c r="F60" i="39"/>
  <c r="B64" i="39"/>
  <c r="F64" i="39"/>
  <c r="B66" i="39"/>
  <c r="F66" i="39"/>
  <c r="B58" i="39"/>
  <c r="F58" i="39"/>
  <c r="B63" i="39"/>
  <c r="F63" i="39"/>
  <c r="B59" i="39"/>
  <c r="F59" i="39"/>
  <c r="C44" i="40"/>
  <c r="C45" i="40"/>
  <c r="I49" i="40"/>
  <c r="J49" i="40"/>
  <c r="I48" i="40"/>
  <c r="J48" i="40"/>
  <c r="E49" i="40"/>
  <c r="F49" i="40"/>
  <c r="E48" i="40"/>
  <c r="F48" i="40"/>
  <c r="B2" i="34"/>
  <c r="F68" i="39"/>
  <c r="B2" i="39"/>
  <c r="B4" i="39"/>
  <c r="B55" i="40"/>
  <c r="F55" i="40"/>
  <c r="B57" i="40"/>
  <c r="F57" i="40"/>
  <c r="B60" i="40"/>
  <c r="F60" i="40"/>
  <c r="B59" i="40"/>
  <c r="F59" i="40"/>
  <c r="B62" i="40"/>
  <c r="F62" i="40"/>
  <c r="F63" i="40"/>
  <c r="B2" i="40"/>
  <c r="B61" i="40"/>
  <c r="F61" i="40"/>
  <c r="B54" i="40"/>
  <c r="F54" i="40"/>
  <c r="B53" i="40"/>
  <c r="F53" i="40"/>
  <c r="B56" i="40"/>
  <c r="F56" i="40"/>
  <c r="B58" i="40"/>
  <c r="F58" i="40"/>
  <c r="B3" i="39"/>
  <c r="B5" i="39"/>
  <c r="B5" i="40"/>
  <c r="B3" i="40"/>
  <c r="B4" i="40"/>
  <c r="D77" i="9"/>
  <c r="N75" i="9"/>
  <c r="F8" i="15"/>
  <c r="F9" i="15"/>
  <c r="N4" i="65"/>
  <c r="F35" i="15"/>
  <c r="I6" i="65"/>
  <c r="I5" i="65"/>
  <c r="F36" i="15"/>
  <c r="F13" i="15"/>
  <c r="F37" i="15"/>
  <c r="F38" i="15"/>
  <c r="F42" i="15"/>
  <c r="L48" i="15"/>
  <c r="F8" i="70"/>
  <c r="F9" i="70"/>
  <c r="C14" i="70"/>
  <c r="F16" i="70"/>
  <c r="F43" i="70"/>
  <c r="F36" i="70"/>
  <c r="F13" i="70"/>
  <c r="F37" i="70"/>
  <c r="F38" i="70"/>
  <c r="F42" i="70"/>
  <c r="L48" i="70"/>
  <c r="M6" i="70"/>
  <c r="F6" i="73"/>
  <c r="F7" i="73"/>
  <c r="F35" i="73"/>
  <c r="F26" i="73"/>
  <c r="F40" i="73"/>
  <c r="M8" i="73"/>
  <c r="M9" i="73"/>
  <c r="F8" i="72"/>
  <c r="F9" i="72"/>
  <c r="F7" i="15"/>
  <c r="F16" i="15"/>
  <c r="F6" i="70"/>
  <c r="F26" i="70"/>
  <c r="F40" i="70"/>
  <c r="M8" i="70"/>
  <c r="F8" i="73"/>
  <c r="F6" i="15"/>
  <c r="C14" i="15"/>
  <c r="F43" i="15"/>
  <c r="F26" i="15"/>
  <c r="F40" i="15"/>
  <c r="F7" i="70"/>
  <c r="F35" i="70"/>
  <c r="M9" i="70"/>
  <c r="F9" i="73"/>
  <c r="F16" i="73"/>
  <c r="F13" i="73"/>
  <c r="F38" i="73"/>
  <c r="F42" i="73"/>
  <c r="M6" i="73"/>
  <c r="F7" i="72"/>
  <c r="F35" i="72"/>
  <c r="C14" i="72"/>
  <c r="F16" i="72"/>
  <c r="F43" i="72"/>
  <c r="F36" i="72"/>
  <c r="F13" i="72"/>
  <c r="F37" i="72"/>
  <c r="F38" i="72"/>
  <c r="F42" i="72"/>
  <c r="L48" i="72"/>
  <c r="M6" i="72"/>
  <c r="D19" i="9"/>
  <c r="F43" i="73"/>
  <c r="F37" i="73"/>
  <c r="L48" i="73"/>
  <c r="F26" i="72"/>
  <c r="F40" i="72"/>
  <c r="M8" i="72"/>
  <c r="L47" i="73"/>
  <c r="J36" i="73"/>
  <c r="M29" i="73"/>
  <c r="M26" i="73"/>
  <c r="M28" i="72"/>
  <c r="M27" i="72"/>
  <c r="M21" i="72"/>
  <c r="M22" i="72"/>
  <c r="J15" i="72"/>
  <c r="M23" i="72"/>
  <c r="M24" i="72"/>
  <c r="C14" i="73"/>
  <c r="F36" i="73"/>
  <c r="F6" i="72"/>
  <c r="M9" i="72"/>
  <c r="M28" i="73"/>
  <c r="M27" i="73"/>
  <c r="M21" i="73"/>
  <c r="M22" i="73"/>
  <c r="J15" i="73"/>
  <c r="M23" i="73"/>
  <c r="M24" i="73"/>
  <c r="L47" i="72"/>
  <c r="J36" i="72"/>
  <c r="M29" i="72"/>
  <c r="M26" i="72"/>
  <c r="L47" i="70"/>
  <c r="J36" i="70"/>
  <c r="M29" i="70"/>
  <c r="M26" i="70"/>
  <c r="L48" i="44"/>
  <c r="N7" i="65"/>
  <c r="E8" i="67"/>
  <c r="F38" i="44"/>
  <c r="M29" i="44"/>
  <c r="E13" i="67"/>
  <c r="M31" i="44"/>
  <c r="N5" i="65"/>
  <c r="F26" i="68"/>
  <c r="J17" i="44"/>
  <c r="M8" i="44"/>
  <c r="B12" i="67"/>
  <c r="N6" i="65"/>
  <c r="F9" i="68"/>
  <c r="M28" i="68"/>
  <c r="M23" i="44"/>
  <c r="F8" i="44"/>
  <c r="J36" i="68"/>
  <c r="F40" i="68"/>
  <c r="F7" i="68"/>
  <c r="M9" i="68"/>
  <c r="F13" i="67"/>
  <c r="F8" i="67"/>
  <c r="M29" i="68"/>
  <c r="F11" i="44"/>
  <c r="E12" i="67"/>
  <c r="F13" i="68"/>
  <c r="M9" i="15"/>
  <c r="M24" i="15"/>
  <c r="M10" i="44"/>
  <c r="F11" i="67"/>
  <c r="F40" i="44"/>
  <c r="F43" i="44"/>
  <c r="M6" i="68"/>
  <c r="B9" i="67"/>
  <c r="M27" i="68"/>
  <c r="F10" i="67"/>
  <c r="F12" i="67"/>
  <c r="B10" i="67"/>
  <c r="B8" i="67"/>
  <c r="F9" i="67"/>
  <c r="F37" i="68"/>
  <c r="M26" i="15"/>
  <c r="M22" i="15"/>
  <c r="M28" i="15"/>
  <c r="I4" i="65"/>
  <c r="N3" i="65"/>
  <c r="J7" i="65"/>
  <c r="M6" i="15"/>
  <c r="M8" i="15"/>
  <c r="J5" i="65"/>
  <c r="J6" i="65"/>
  <c r="I7" i="65"/>
  <c r="F41" i="68"/>
  <c r="F35" i="68"/>
  <c r="M21" i="68"/>
  <c r="C16" i="44"/>
  <c r="B7" i="67"/>
  <c r="M28" i="70"/>
  <c r="M27" i="70"/>
  <c r="M21" i="70"/>
  <c r="M22" i="70"/>
  <c r="J15" i="70"/>
  <c r="M23" i="70"/>
  <c r="M24" i="70"/>
  <c r="F45" i="44"/>
  <c r="F37" i="44"/>
  <c r="F6" i="68"/>
  <c r="M26" i="68"/>
  <c r="B11" i="67"/>
  <c r="B14" i="67"/>
  <c r="F36" i="68"/>
  <c r="M28" i="44"/>
  <c r="F46" i="44"/>
  <c r="F16" i="68"/>
  <c r="M25" i="44"/>
  <c r="F14" i="67"/>
  <c r="F10" i="44"/>
  <c r="M26" i="44"/>
  <c r="M24" i="44"/>
  <c r="J15" i="68"/>
  <c r="C19" i="44"/>
  <c r="E14" i="67"/>
  <c r="L49" i="44"/>
  <c r="M8" i="68"/>
  <c r="F38" i="68"/>
  <c r="F42" i="68"/>
  <c r="J15" i="15"/>
  <c r="E11" i="67"/>
  <c r="F28" i="44"/>
  <c r="F9" i="44"/>
  <c r="M22" i="68"/>
  <c r="M23" i="68"/>
  <c r="M11" i="44"/>
  <c r="B13" i="67"/>
  <c r="M30" i="44"/>
  <c r="F15" i="44"/>
  <c r="F39" i="44"/>
  <c r="E9" i="67"/>
  <c r="M24" i="68"/>
  <c r="L47" i="68"/>
  <c r="F43" i="68"/>
  <c r="F18" i="44"/>
  <c r="L48" i="68"/>
  <c r="E10" i="67"/>
  <c r="F8" i="68"/>
  <c r="J36" i="15"/>
  <c r="M23" i="15"/>
  <c r="L47" i="15"/>
  <c r="M29" i="15"/>
  <c r="J4" i="65"/>
  <c r="M27" i="15"/>
  <c r="J3" i="65"/>
  <c r="E7" i="67"/>
  <c r="C14" i="68"/>
  <c r="D20" i="9"/>
  <c r="I3" i="65"/>
  <c r="M21" i="15"/>
  <c r="D21" i="9"/>
  <c r="D19" i="12" l="1"/>
  <c r="C19" i="12" s="1"/>
  <c r="E7" i="52"/>
  <c r="B14" i="52"/>
  <c r="B22" i="52"/>
  <c r="B5" i="52"/>
  <c r="B11" i="52"/>
  <c r="E4" i="52"/>
  <c r="B9" i="52"/>
  <c r="E10" i="52"/>
  <c r="E5" i="52"/>
  <c r="E9" i="52"/>
  <c r="B4" i="52"/>
  <c r="B23" i="52"/>
  <c r="E8" i="52"/>
  <c r="C4" i="4" s="1"/>
  <c r="B20" i="55" s="1"/>
  <c r="B70" i="63" s="1"/>
  <c r="C17" i="43"/>
  <c r="C18" i="43" s="1"/>
  <c r="C19" i="43" s="1"/>
  <c r="J20" i="15"/>
  <c r="C15" i="68"/>
  <c r="C19" i="68"/>
  <c r="C18" i="68"/>
  <c r="E3" i="67"/>
  <c r="J1" i="65"/>
  <c r="L58" i="15"/>
  <c r="L59" i="15"/>
  <c r="Q72" i="15"/>
  <c r="F50" i="68"/>
  <c r="J60" i="68"/>
  <c r="Q49" i="68" s="1"/>
  <c r="J57" i="68"/>
  <c r="J55" i="68" s="1"/>
  <c r="J58" i="68" s="1"/>
  <c r="Q51" i="68" s="1"/>
  <c r="J53" i="68"/>
  <c r="L56" i="68"/>
  <c r="J59" i="68"/>
  <c r="I54" i="68"/>
  <c r="L60" i="68"/>
  <c r="L57" i="68"/>
  <c r="F70" i="68"/>
  <c r="L59" i="68"/>
  <c r="L58" i="68"/>
  <c r="M9" i="44"/>
  <c r="C29" i="44"/>
  <c r="F65" i="68"/>
  <c r="J54" i="44"/>
  <c r="I55" i="44"/>
  <c r="J61" i="44"/>
  <c r="Q50" i="44" s="1"/>
  <c r="J58" i="44"/>
  <c r="J56" i="44" s="1"/>
  <c r="J59" i="44" s="1"/>
  <c r="Q52" i="44" s="1"/>
  <c r="L57" i="44"/>
  <c r="J60" i="44"/>
  <c r="F63" i="68"/>
  <c r="C6" i="68"/>
  <c r="C36" i="44"/>
  <c r="J20" i="70"/>
  <c r="B2" i="67"/>
  <c r="C20" i="44"/>
  <c r="C17" i="44"/>
  <c r="J20" i="68"/>
  <c r="C34" i="68"/>
  <c r="F62" i="68"/>
  <c r="C61" i="68" s="1"/>
  <c r="F68" i="68"/>
  <c r="E20" i="46"/>
  <c r="F64" i="68"/>
  <c r="J6" i="68"/>
  <c r="Q73" i="44"/>
  <c r="F49" i="68"/>
  <c r="M7" i="68"/>
  <c r="F67" i="68"/>
  <c r="Q72" i="68"/>
  <c r="C8" i="44"/>
  <c r="J22" i="44"/>
  <c r="J8" i="44"/>
  <c r="C27" i="68"/>
  <c r="L59" i="44"/>
  <c r="L60" i="44"/>
  <c r="Q72" i="70"/>
  <c r="L59" i="70"/>
  <c r="L58" i="70"/>
  <c r="Q72" i="72"/>
  <c r="L59" i="72"/>
  <c r="L58" i="72"/>
  <c r="J20" i="73"/>
  <c r="C6" i="72"/>
  <c r="F63" i="73"/>
  <c r="C15" i="73"/>
  <c r="C18" i="73"/>
  <c r="J20" i="72"/>
  <c r="Q72" i="73"/>
  <c r="L59" i="73"/>
  <c r="L58" i="73"/>
  <c r="F67" i="72"/>
  <c r="C27" i="72"/>
  <c r="J53" i="73"/>
  <c r="L60" i="73"/>
  <c r="J57" i="73"/>
  <c r="J55" i="73" s="1"/>
  <c r="J58" i="73" s="1"/>
  <c r="Q51" i="73" s="1"/>
  <c r="L57" i="73"/>
  <c r="J60" i="73"/>
  <c r="Q49" i="73" s="1"/>
  <c r="J59" i="73"/>
  <c r="L56" i="73"/>
  <c r="I54" i="73"/>
  <c r="F64" i="73"/>
  <c r="F70" i="73"/>
  <c r="L44" i="9"/>
  <c r="J60" i="72"/>
  <c r="Q49" i="72" s="1"/>
  <c r="J59" i="72"/>
  <c r="L56" i="72"/>
  <c r="I54" i="72"/>
  <c r="J53" i="72"/>
  <c r="L60" i="72"/>
  <c r="J57" i="72"/>
  <c r="J55" i="72" s="1"/>
  <c r="J58" i="72" s="1"/>
  <c r="Q51" i="72" s="1"/>
  <c r="L57" i="72"/>
  <c r="F65" i="72"/>
  <c r="F64" i="72"/>
  <c r="F63" i="72"/>
  <c r="F70" i="72"/>
  <c r="C18" i="72"/>
  <c r="C15" i="72"/>
  <c r="C34" i="72"/>
  <c r="F62" i="72"/>
  <c r="C61" i="72" s="1"/>
  <c r="M7" i="72"/>
  <c r="J6" i="72" s="1"/>
  <c r="F49" i="72"/>
  <c r="J6" i="73"/>
  <c r="F65" i="73"/>
  <c r="C34" i="70"/>
  <c r="F62" i="70"/>
  <c r="C61" i="70" s="1"/>
  <c r="M7" i="70"/>
  <c r="F49" i="70"/>
  <c r="F67" i="15"/>
  <c r="C27" i="15"/>
  <c r="F70" i="15"/>
  <c r="C15" i="15"/>
  <c r="C18" i="15"/>
  <c r="C6" i="15"/>
  <c r="F50" i="73"/>
  <c r="F67" i="70"/>
  <c r="C27" i="70"/>
  <c r="C6" i="70"/>
  <c r="F49" i="15"/>
  <c r="M7" i="15"/>
  <c r="J6" i="15" s="1"/>
  <c r="F50" i="72"/>
  <c r="C48" i="72" s="1"/>
  <c r="F67" i="73"/>
  <c r="C27" i="73"/>
  <c r="C34" i="73"/>
  <c r="F62" i="73"/>
  <c r="C61" i="73" s="1"/>
  <c r="M7" i="73"/>
  <c r="F49" i="73"/>
  <c r="C6" i="73"/>
  <c r="J6" i="70"/>
  <c r="J53" i="70"/>
  <c r="L60" i="70"/>
  <c r="J57" i="70"/>
  <c r="J55" i="70" s="1"/>
  <c r="J58" i="70" s="1"/>
  <c r="Q51" i="70" s="1"/>
  <c r="L57" i="70"/>
  <c r="J60" i="70"/>
  <c r="Q49" i="70" s="1"/>
  <c r="J59" i="70"/>
  <c r="L56" i="70"/>
  <c r="I54" i="70"/>
  <c r="F65" i="70"/>
  <c r="F64" i="70"/>
  <c r="F63" i="70"/>
  <c r="F70" i="70"/>
  <c r="C18" i="70"/>
  <c r="C15" i="70"/>
  <c r="F50" i="70"/>
  <c r="J53" i="15"/>
  <c r="L56" i="15"/>
  <c r="J57" i="15"/>
  <c r="J55" i="15" s="1"/>
  <c r="J58" i="15" s="1"/>
  <c r="Q51" i="15" s="1"/>
  <c r="J60" i="15"/>
  <c r="Q49" i="15" s="1"/>
  <c r="J59" i="15"/>
  <c r="L60" i="15"/>
  <c r="F65" i="15"/>
  <c r="F64" i="15"/>
  <c r="F63" i="15"/>
  <c r="I1" i="65"/>
  <c r="C34" i="15"/>
  <c r="F62" i="15"/>
  <c r="C61" i="15" s="1"/>
  <c r="C4" i="65"/>
  <c r="B39" i="1" s="1"/>
  <c r="F50" i="15"/>
  <c r="C25" i="43"/>
  <c r="C24" i="43" s="1"/>
  <c r="C18" i="12"/>
  <c r="C17" i="68"/>
  <c r="F7" i="67"/>
  <c r="C17" i="73"/>
  <c r="C17" i="72"/>
  <c r="C16" i="72"/>
  <c r="C16" i="73"/>
  <c r="E3" i="65"/>
  <c r="C18" i="44"/>
  <c r="C16" i="68"/>
  <c r="C17" i="15"/>
  <c r="C16" i="15"/>
  <c r="C17" i="70"/>
  <c r="C16" i="70"/>
  <c r="E2" i="65"/>
  <c r="L47" i="44" l="1"/>
  <c r="B40" i="1"/>
  <c r="C19" i="15"/>
  <c r="C21" i="44"/>
  <c r="F17" i="11"/>
  <c r="C17" i="11" s="1"/>
  <c r="C19" i="11" s="1"/>
  <c r="C19" i="73"/>
  <c r="C19" i="72"/>
  <c r="E4" i="67"/>
  <c r="B4" i="67" s="1"/>
  <c r="C19" i="70"/>
  <c r="F1" i="15"/>
  <c r="Q53" i="15"/>
  <c r="Q67" i="70"/>
  <c r="Q58" i="70"/>
  <c r="C48" i="15"/>
  <c r="Q58" i="15"/>
  <c r="Q67" i="15"/>
  <c r="C48" i="70"/>
  <c r="F1" i="70"/>
  <c r="Q53" i="70"/>
  <c r="C48" i="73"/>
  <c r="Q67" i="72"/>
  <c r="Q58" i="72"/>
  <c r="Q67" i="73"/>
  <c r="Q58" i="73"/>
  <c r="Q74" i="73"/>
  <c r="Q61" i="73"/>
  <c r="Q61" i="72"/>
  <c r="Q74" i="72"/>
  <c r="Q75" i="70"/>
  <c r="Q62" i="70"/>
  <c r="Q76" i="44"/>
  <c r="Q63" i="44"/>
  <c r="B3" i="67"/>
  <c r="F1" i="44"/>
  <c r="Q54" i="44"/>
  <c r="Q74" i="68"/>
  <c r="Q61" i="68"/>
  <c r="C48" i="68"/>
  <c r="Q62" i="15"/>
  <c r="Q75" i="15"/>
  <c r="C23" i="12"/>
  <c r="F11" i="70"/>
  <c r="C52" i="70" s="1"/>
  <c r="M11" i="73"/>
  <c r="J10" i="73" s="1"/>
  <c r="J5" i="73" s="1"/>
  <c r="F11" i="72"/>
  <c r="C52" i="72" s="1"/>
  <c r="C47" i="72" s="1"/>
  <c r="M11" i="70"/>
  <c r="J10" i="70" s="1"/>
  <c r="J5" i="70" s="1"/>
  <c r="F11" i="73"/>
  <c r="C52" i="73" s="1"/>
  <c r="F11" i="15"/>
  <c r="C52" i="15" s="1"/>
  <c r="M11" i="72"/>
  <c r="J10" i="72" s="1"/>
  <c r="J5" i="72" s="1"/>
  <c r="M11" i="68"/>
  <c r="J10" i="68" s="1"/>
  <c r="J5" i="68" s="1"/>
  <c r="M11" i="15"/>
  <c r="J10" i="15" s="1"/>
  <c r="J5" i="15" s="1"/>
  <c r="M13" i="44"/>
  <c r="J12" i="44" s="1"/>
  <c r="F11" i="68"/>
  <c r="F13" i="44"/>
  <c r="C12" i="44" s="1"/>
  <c r="C7" i="44" s="1"/>
  <c r="C10" i="70"/>
  <c r="C5" i="70" s="1"/>
  <c r="F1" i="72"/>
  <c r="Q53" i="72"/>
  <c r="F1" i="73"/>
  <c r="Q53" i="73"/>
  <c r="Q75" i="73"/>
  <c r="Q62" i="73"/>
  <c r="Q62" i="72"/>
  <c r="Q75" i="72"/>
  <c r="Q74" i="70"/>
  <c r="Q61" i="70"/>
  <c r="Q75" i="44"/>
  <c r="Q62" i="44"/>
  <c r="J7" i="44"/>
  <c r="N17" i="46"/>
  <c r="O17" i="46"/>
  <c r="M17" i="46"/>
  <c r="P17" i="46"/>
  <c r="Q62" i="68"/>
  <c r="Q75" i="68"/>
  <c r="Q58" i="68"/>
  <c r="Q67" i="68"/>
  <c r="F1" i="68"/>
  <c r="Q53" i="68"/>
  <c r="Q74" i="15"/>
  <c r="Q61" i="15"/>
  <c r="C20" i="68"/>
  <c r="C26" i="68" s="1"/>
  <c r="AE10" i="1"/>
  <c r="F41" i="70" s="1"/>
  <c r="AE7" i="1"/>
  <c r="F41" i="15" s="1"/>
  <c r="AE8" i="1"/>
  <c r="F41" i="72" s="1"/>
  <c r="AE9" i="1"/>
  <c r="F41" i="73" s="1"/>
  <c r="C10" i="15" l="1"/>
  <c r="C5" i="15" s="1"/>
  <c r="C33" i="15" s="1"/>
  <c r="F68" i="73"/>
  <c r="F68" i="72"/>
  <c r="F68" i="15"/>
  <c r="F68" i="70"/>
  <c r="J24" i="15"/>
  <c r="J26" i="15"/>
  <c r="J29" i="15" s="1"/>
  <c r="J18" i="15"/>
  <c r="J26" i="72"/>
  <c r="J29" i="72" s="1"/>
  <c r="J18" i="72"/>
  <c r="J24" i="72"/>
  <c r="C33" i="70"/>
  <c r="C32" i="70"/>
  <c r="C38" i="70"/>
  <c r="C59" i="72"/>
  <c r="C60" i="72"/>
  <c r="C65" i="72"/>
  <c r="J26" i="68"/>
  <c r="J29" i="68" s="1"/>
  <c r="J18" i="68"/>
  <c r="J24" i="68"/>
  <c r="J26" i="70"/>
  <c r="J29" i="70" s="1"/>
  <c r="J18" i="70"/>
  <c r="J24" i="70"/>
  <c r="C10" i="68"/>
  <c r="C5" i="68" s="1"/>
  <c r="C52" i="68"/>
  <c r="C47" i="70"/>
  <c r="C20" i="73"/>
  <c r="C34" i="44"/>
  <c r="C40" i="44"/>
  <c r="J26" i="73"/>
  <c r="J29" i="73" s="1"/>
  <c r="J18" i="73"/>
  <c r="J24" i="73"/>
  <c r="C47" i="68"/>
  <c r="C10" i="72"/>
  <c r="C5" i="72" s="1"/>
  <c r="C47" i="73"/>
  <c r="C10" i="73"/>
  <c r="C5" i="73" s="1"/>
  <c r="C47" i="15"/>
  <c r="C20" i="70"/>
  <c r="C26" i="70" s="1"/>
  <c r="C20" i="72"/>
  <c r="C26" i="72" s="1"/>
  <c r="C20" i="11"/>
  <c r="C21" i="11" s="1"/>
  <c r="C22" i="11" s="1"/>
  <c r="C23" i="11" s="1"/>
  <c r="B2" i="11" s="1"/>
  <c r="C20" i="15"/>
  <c r="C26" i="15" s="1"/>
  <c r="J20" i="44"/>
  <c r="J26" i="44"/>
  <c r="J28" i="44"/>
  <c r="J31" i="44" s="1"/>
  <c r="C22" i="44"/>
  <c r="C28" i="44" s="1"/>
  <c r="F24" i="73"/>
  <c r="C24" i="73" s="1"/>
  <c r="F24" i="15"/>
  <c r="C24" i="15" s="1"/>
  <c r="F24" i="70"/>
  <c r="C24" i="70" s="1"/>
  <c r="F26" i="12"/>
  <c r="C27" i="12" s="1"/>
  <c r="D26" i="12" s="1"/>
  <c r="C32" i="12" s="1"/>
  <c r="D30" i="12" s="1"/>
  <c r="F24" i="72"/>
  <c r="C24" i="72" s="1"/>
  <c r="F24" i="68"/>
  <c r="F21" i="43"/>
  <c r="F26" i="44"/>
  <c r="C26" i="44" s="1"/>
  <c r="L52" i="44"/>
  <c r="C32" i="15" l="1"/>
  <c r="C31" i="15" s="1"/>
  <c r="C23" i="70"/>
  <c r="C29" i="70" s="1"/>
  <c r="C13" i="70" s="1"/>
  <c r="C23" i="73"/>
  <c r="C38" i="15"/>
  <c r="C23" i="72"/>
  <c r="C29" i="72" s="1"/>
  <c r="C56" i="72" s="1"/>
  <c r="C63" i="72" s="1"/>
  <c r="C25" i="44"/>
  <c r="C31" i="44" s="1"/>
  <c r="C15" i="44" s="1"/>
  <c r="C23" i="15"/>
  <c r="C29" i="15" s="1"/>
  <c r="C13" i="15" s="1"/>
  <c r="C26" i="73"/>
  <c r="Q69" i="44"/>
  <c r="L58" i="44"/>
  <c r="L61" i="44" s="1"/>
  <c r="B4" i="11"/>
  <c r="B5" i="11"/>
  <c r="B3" i="11"/>
  <c r="J14" i="70"/>
  <c r="C36" i="15"/>
  <c r="J14" i="15"/>
  <c r="Q50" i="72"/>
  <c r="C24" i="68"/>
  <c r="C23" i="68"/>
  <c r="C59" i="15"/>
  <c r="C65" i="15"/>
  <c r="C60" i="15"/>
  <c r="C65" i="68"/>
  <c r="C60" i="68"/>
  <c r="C59" i="68"/>
  <c r="C23" i="43"/>
  <c r="D21" i="43" s="1"/>
  <c r="C22" i="43"/>
  <c r="C21" i="43" s="1"/>
  <c r="Q49" i="44"/>
  <c r="Q55" i="44" s="1"/>
  <c r="Q58" i="44"/>
  <c r="Q67" i="44"/>
  <c r="C32" i="73"/>
  <c r="C38" i="73"/>
  <c r="C33" i="73"/>
  <c r="C33" i="72"/>
  <c r="C38" i="72"/>
  <c r="C32" i="72"/>
  <c r="C31" i="72" s="1"/>
  <c r="C59" i="70"/>
  <c r="C60" i="70"/>
  <c r="C65" i="70"/>
  <c r="C32" i="68"/>
  <c r="C38" i="68"/>
  <c r="C33" i="68"/>
  <c r="C58" i="72"/>
  <c r="C31" i="70"/>
  <c r="C60" i="73"/>
  <c r="C65" i="73"/>
  <c r="C59" i="73"/>
  <c r="C58" i="73" s="1"/>
  <c r="C36" i="72" l="1"/>
  <c r="C13" i="72"/>
  <c r="J19" i="15"/>
  <c r="J17" i="15" s="1"/>
  <c r="J14" i="72"/>
  <c r="J19" i="72"/>
  <c r="J17" i="72" s="1"/>
  <c r="C56" i="15"/>
  <c r="C63" i="15" s="1"/>
  <c r="Q50" i="15"/>
  <c r="C29" i="73"/>
  <c r="C28" i="43"/>
  <c r="C30" i="43" s="1"/>
  <c r="C32" i="43" s="1"/>
  <c r="B2" i="43" s="1"/>
  <c r="B5" i="43" s="1"/>
  <c r="C58" i="68"/>
  <c r="C29" i="68"/>
  <c r="J19" i="68" s="1"/>
  <c r="J17" i="68" s="1"/>
  <c r="J19" i="70"/>
  <c r="J17" i="70" s="1"/>
  <c r="C36" i="70"/>
  <c r="J21" i="44"/>
  <c r="J19" i="44" s="1"/>
  <c r="Q50" i="70"/>
  <c r="C56" i="70"/>
  <c r="C63" i="70" s="1"/>
  <c r="Q51" i="44"/>
  <c r="C35" i="44"/>
  <c r="C33" i="44" s="1"/>
  <c r="C36" i="73"/>
  <c r="J14" i="73"/>
  <c r="Q50" i="73"/>
  <c r="C13" i="73"/>
  <c r="Q71" i="73" s="1"/>
  <c r="C56" i="73"/>
  <c r="C63" i="73" s="1"/>
  <c r="J19" i="73"/>
  <c r="J17" i="73" s="1"/>
  <c r="J16" i="44"/>
  <c r="J24" i="44" s="1"/>
  <c r="C38" i="44"/>
  <c r="B4" i="43"/>
  <c r="J14" i="68"/>
  <c r="C37" i="15"/>
  <c r="Q71" i="15"/>
  <c r="C55" i="15"/>
  <c r="C64" i="15" s="1"/>
  <c r="J35" i="15"/>
  <c r="C37" i="73"/>
  <c r="C55" i="73"/>
  <c r="C64" i="73" s="1"/>
  <c r="J22" i="70"/>
  <c r="J13" i="70"/>
  <c r="J23" i="70" s="1"/>
  <c r="C30" i="15"/>
  <c r="C39" i="15" s="1"/>
  <c r="C31" i="68"/>
  <c r="C58" i="70"/>
  <c r="C31" i="73"/>
  <c r="C58" i="15"/>
  <c r="C57" i="15" s="1"/>
  <c r="C66" i="15" s="1"/>
  <c r="C67" i="15" s="1"/>
  <c r="C37" i="72"/>
  <c r="C30" i="72" s="1"/>
  <c r="C39" i="72" s="1"/>
  <c r="Q71" i="72"/>
  <c r="C55" i="72"/>
  <c r="C64" i="72" s="1"/>
  <c r="C57" i="72" s="1"/>
  <c r="C66" i="72" s="1"/>
  <c r="C67" i="72" s="1"/>
  <c r="J35" i="72"/>
  <c r="J22" i="15"/>
  <c r="J13" i="15"/>
  <c r="J23" i="15" s="1"/>
  <c r="J22" i="73"/>
  <c r="J13" i="73"/>
  <c r="J23" i="73" s="1"/>
  <c r="C37" i="70"/>
  <c r="C30" i="70" s="1"/>
  <c r="C39" i="70" s="1"/>
  <c r="Q71" i="70"/>
  <c r="C55" i="70"/>
  <c r="C64" i="70" s="1"/>
  <c r="J35" i="70"/>
  <c r="J15" i="44"/>
  <c r="J25" i="44" s="1"/>
  <c r="C43" i="44"/>
  <c r="C39" i="44"/>
  <c r="Q72" i="44"/>
  <c r="Q68" i="44"/>
  <c r="Q77" i="44" s="1"/>
  <c r="Q59" i="44"/>
  <c r="Q64" i="44" s="1"/>
  <c r="C32" i="44"/>
  <c r="C42" i="44" s="1"/>
  <c r="J22" i="72"/>
  <c r="J13" i="72"/>
  <c r="J23" i="72" s="1"/>
  <c r="Q50" i="68" l="1"/>
  <c r="J16" i="73"/>
  <c r="J25" i="73" s="1"/>
  <c r="J16" i="15"/>
  <c r="J25" i="15" s="1"/>
  <c r="C30" i="73"/>
  <c r="C39" i="73" s="1"/>
  <c r="J35" i="73"/>
  <c r="J18" i="44"/>
  <c r="J27" i="44" s="1"/>
  <c r="C13" i="68"/>
  <c r="C37" i="68" s="1"/>
  <c r="C30" i="68" s="1"/>
  <c r="C39" i="68" s="1"/>
  <c r="B3" i="43"/>
  <c r="C56" i="68"/>
  <c r="C63" i="68" s="1"/>
  <c r="C36" i="68"/>
  <c r="J16" i="72"/>
  <c r="J25" i="72" s="1"/>
  <c r="J16" i="70"/>
  <c r="J25" i="70" s="1"/>
  <c r="C57" i="73"/>
  <c r="C66" i="73" s="1"/>
  <c r="C67" i="73" s="1"/>
  <c r="C70" i="73" s="1"/>
  <c r="C40" i="70"/>
  <c r="Q70" i="70"/>
  <c r="Q69" i="70" s="1"/>
  <c r="C70" i="72"/>
  <c r="Q70" i="72"/>
  <c r="Q69" i="72" s="1"/>
  <c r="C40" i="72"/>
  <c r="C40" i="73"/>
  <c r="Q70" i="73"/>
  <c r="Q69" i="73" s="1"/>
  <c r="J39" i="70"/>
  <c r="J40" i="70" s="1"/>
  <c r="J39" i="72"/>
  <c r="J40" i="72" s="1"/>
  <c r="J13" i="68"/>
  <c r="J23" i="68" s="1"/>
  <c r="J22" i="68"/>
  <c r="Q71" i="68"/>
  <c r="C55" i="68"/>
  <c r="C64" i="68" s="1"/>
  <c r="C57" i="68" s="1"/>
  <c r="C66" i="68" s="1"/>
  <c r="C67" i="68" s="1"/>
  <c r="C44" i="44"/>
  <c r="C45" i="44" s="1"/>
  <c r="B2" i="44" s="1"/>
  <c r="Q71" i="44"/>
  <c r="Q70" i="44" s="1"/>
  <c r="C70" i="15"/>
  <c r="C57" i="70"/>
  <c r="C66" i="70" s="1"/>
  <c r="C67" i="70" s="1"/>
  <c r="C40" i="15"/>
  <c r="Q70" i="15"/>
  <c r="Q69" i="15" s="1"/>
  <c r="J39" i="73"/>
  <c r="J40" i="73" s="1"/>
  <c r="J39" i="15"/>
  <c r="J40" i="15" s="1"/>
  <c r="L51" i="70"/>
  <c r="L51" i="72"/>
  <c r="L51" i="73"/>
  <c r="L51" i="15"/>
  <c r="J35" i="68" l="1"/>
  <c r="J16" i="68"/>
  <c r="J25" i="68" s="1"/>
  <c r="Q68" i="15"/>
  <c r="L57" i="15"/>
  <c r="Q68" i="73"/>
  <c r="Q68" i="72"/>
  <c r="Q68" i="70"/>
  <c r="C70" i="68"/>
  <c r="C70" i="70"/>
  <c r="C46" i="70"/>
  <c r="C43" i="15"/>
  <c r="D8" i="12" s="1"/>
  <c r="T117" i="71" s="1"/>
  <c r="D10" i="12"/>
  <c r="B2" i="15"/>
  <c r="B3" i="15" s="1"/>
  <c r="Q48" i="15"/>
  <c r="Q54" i="15" s="1"/>
  <c r="Q66" i="15"/>
  <c r="Q76" i="15" s="1"/>
  <c r="Q57" i="15"/>
  <c r="Q63" i="15" s="1"/>
  <c r="J42" i="15"/>
  <c r="J43" i="15" s="1"/>
  <c r="C46" i="15"/>
  <c r="J39" i="68"/>
  <c r="J40" i="68" s="1"/>
  <c r="B2" i="73"/>
  <c r="Q57" i="73"/>
  <c r="Q63" i="73" s="1"/>
  <c r="Q48" i="73"/>
  <c r="Q54" i="73" s="1"/>
  <c r="Q66" i="73"/>
  <c r="Q76" i="73" s="1"/>
  <c r="C43" i="73"/>
  <c r="J42" i="73"/>
  <c r="J43" i="73" s="1"/>
  <c r="B2" i="72"/>
  <c r="Q66" i="72"/>
  <c r="Q76" i="72" s="1"/>
  <c r="C43" i="72"/>
  <c r="Q57" i="72"/>
  <c r="Q63" i="72" s="1"/>
  <c r="Q48" i="72"/>
  <c r="Q54" i="72" s="1"/>
  <c r="J42" i="72"/>
  <c r="J43" i="72" s="1"/>
  <c r="C46" i="72"/>
  <c r="B3" i="44"/>
  <c r="B5" i="44"/>
  <c r="B4" i="44"/>
  <c r="Q70" i="68"/>
  <c r="Q69" i="68" s="1"/>
  <c r="C40" i="68"/>
  <c r="C46" i="73"/>
  <c r="B2" i="70"/>
  <c r="Q66" i="70"/>
  <c r="Q76" i="70" s="1"/>
  <c r="Q57" i="70"/>
  <c r="Q63" i="70" s="1"/>
  <c r="Q48" i="70"/>
  <c r="Q54" i="70" s="1"/>
  <c r="C43" i="70"/>
  <c r="J42" i="70"/>
  <c r="J43" i="70" s="1"/>
  <c r="L51" i="68"/>
  <c r="Q68" i="68" l="1"/>
  <c r="B3" i="70"/>
  <c r="G8" i="12" s="1"/>
  <c r="N117" i="71" s="1"/>
  <c r="G10" i="12"/>
  <c r="E10" i="12"/>
  <c r="B3" i="72"/>
  <c r="E8" i="12" s="1"/>
  <c r="B3" i="73"/>
  <c r="F8" i="12" s="1"/>
  <c r="H117" i="71" s="1"/>
  <c r="F10" i="12"/>
  <c r="C6" i="12" s="1"/>
  <c r="Q57" i="68"/>
  <c r="Q63" i="68" s="1"/>
  <c r="Q66" i="68"/>
  <c r="Q76" i="68" s="1"/>
  <c r="Q48" i="68"/>
  <c r="Q54" i="68" s="1"/>
  <c r="B2" i="68"/>
  <c r="B3" i="68" s="1"/>
  <c r="C43" i="68"/>
  <c r="J42" i="68"/>
  <c r="J43" i="68" s="1"/>
  <c r="V109" i="71"/>
  <c r="V110" i="71"/>
  <c r="V114" i="71"/>
  <c r="V113" i="71"/>
  <c r="V115" i="71"/>
  <c r="C46" i="68"/>
  <c r="V117" i="71" l="1"/>
  <c r="C24" i="12"/>
  <c r="C29" i="12"/>
  <c r="G117" i="71"/>
  <c r="V111" i="71" s="1"/>
  <c r="N16" i="12"/>
  <c r="C28" i="12" l="1"/>
  <c r="C26" i="12" s="1"/>
  <c r="C31" i="12" s="1"/>
  <c r="C30" i="12" s="1"/>
  <c r="C35" i="12"/>
  <c r="C33" i="12" s="1"/>
  <c r="V112" i="71"/>
  <c r="V116" i="71" s="1"/>
  <c r="C36" i="12" l="1"/>
  <c r="B2" i="12" s="1"/>
  <c r="C19" i="9"/>
  <c r="G19" i="9" l="1"/>
  <c r="D22" i="9"/>
  <c r="L43" i="9"/>
  <c r="B4" i="12"/>
  <c r="B3" i="12"/>
  <c r="B5" i="12"/>
  <c r="C21" i="9"/>
  <c r="C20" i="9"/>
  <c r="G20" i="9" l="1"/>
  <c r="G21" i="9"/>
  <c r="C32" i="9"/>
  <c r="G22" i="9"/>
  <c r="N43" i="9"/>
  <c r="O38" i="9" l="1"/>
  <c r="C42" i="9"/>
  <c r="O43" i="9"/>
  <c r="C35" i="9"/>
  <c r="F42" i="9" s="1"/>
  <c r="C33" i="9"/>
  <c r="C34" i="9"/>
  <c r="N38" i="9" l="1"/>
  <c r="K28" i="9" s="1"/>
  <c r="D42" i="9"/>
  <c r="Q5" i="54" s="1"/>
  <c r="B47" i="63" s="1"/>
  <c r="E42" i="9"/>
  <c r="P5" i="54" s="1"/>
  <c r="B46" i="63" s="1"/>
  <c r="M38" i="9"/>
  <c r="K27" i="9" s="1"/>
  <c r="C44" i="9"/>
  <c r="D63" i="9"/>
  <c r="R5" i="54"/>
  <c r="B48" i="63" s="1"/>
  <c r="N68" i="9"/>
  <c r="W117" i="71"/>
  <c r="K26" i="9"/>
  <c r="K25" i="9"/>
  <c r="K127" i="71" l="1"/>
  <c r="K124" i="71"/>
  <c r="K126" i="71"/>
  <c r="K128" i="71"/>
  <c r="K123" i="71"/>
  <c r="K125" i="71"/>
  <c r="D71" i="9"/>
  <c r="D66" i="9" s="1"/>
  <c r="N72" i="9" s="1"/>
  <c r="C111" i="9"/>
  <c r="C104" i="9" s="1"/>
  <c r="D73" i="9"/>
  <c r="N73" i="9" s="1"/>
  <c r="C103" i="9"/>
  <c r="C113" i="9" s="1"/>
  <c r="D70" i="9"/>
  <c r="C96" i="9"/>
  <c r="C91" i="9" s="1"/>
  <c r="C82" i="9"/>
  <c r="C81" i="9" s="1"/>
  <c r="C85" i="9" s="1"/>
  <c r="C86" i="9" s="1"/>
  <c r="D72" i="9" s="1"/>
  <c r="C90" i="9"/>
  <c r="C97" i="9" s="1"/>
  <c r="O39" i="9"/>
  <c r="N69" i="9"/>
  <c r="D44" i="9"/>
  <c r="F44" i="9"/>
  <c r="E44" i="9"/>
  <c r="M88" i="9" l="1"/>
  <c r="N88" i="9" s="1"/>
  <c r="M87" i="9"/>
  <c r="N87" i="9" s="1"/>
  <c r="M86" i="9"/>
  <c r="N86" i="9" s="1"/>
  <c r="M85" i="9"/>
  <c r="N85" i="9" s="1"/>
  <c r="M83" i="9"/>
  <c r="N83" i="9" s="1"/>
  <c r="M84" i="9"/>
  <c r="N84" i="9" s="1"/>
  <c r="J123" i="71"/>
  <c r="L123" i="71"/>
  <c r="I123" i="71"/>
  <c r="J126" i="71"/>
  <c r="L126" i="71"/>
  <c r="I126" i="71"/>
  <c r="I127" i="71"/>
  <c r="L127" i="71"/>
  <c r="J127" i="71"/>
  <c r="R6" i="54"/>
  <c r="B50" i="63" s="1"/>
  <c r="K29" i="9"/>
  <c r="K30" i="9" s="1"/>
  <c r="C98" i="9"/>
  <c r="E98" i="9" s="1"/>
  <c r="E99" i="9" s="1"/>
  <c r="C99" i="9"/>
  <c r="C115" i="9"/>
  <c r="D76" i="9" s="1"/>
  <c r="D74" i="9" s="1"/>
  <c r="N74" i="9" s="1"/>
  <c r="O77" i="9" s="1"/>
  <c r="C114" i="9"/>
  <c r="E114" i="9" s="1"/>
  <c r="E115" i="9" s="1"/>
  <c r="I125" i="71"/>
  <c r="L125" i="71"/>
  <c r="J125" i="71"/>
  <c r="J128" i="71"/>
  <c r="L128" i="71"/>
  <c r="I128" i="71"/>
  <c r="J124" i="71"/>
  <c r="L124" i="71"/>
  <c r="I124" i="71"/>
  <c r="K129" i="71"/>
  <c r="K130" i="71" l="1"/>
  <c r="D14" i="66"/>
  <c r="O78" i="9"/>
  <c r="Q77" i="9"/>
  <c r="O79" i="9"/>
  <c r="I129" i="71"/>
  <c r="L129" i="71"/>
  <c r="J129" i="71"/>
  <c r="N89" i="9"/>
  <c r="O89" i="9" s="1"/>
  <c r="L130" i="71" l="1"/>
  <c r="G14" i="66"/>
  <c r="B6" i="66" s="1"/>
  <c r="F14" i="66"/>
  <c r="B5" i="66"/>
  <c r="E14" i="66"/>
  <c r="M130" i="71"/>
  <c r="C46" i="9"/>
  <c r="O80" i="9"/>
  <c r="O81" i="9"/>
  <c r="D6" i="66" l="1"/>
  <c r="C6" i="66"/>
  <c r="C5" i="66"/>
  <c r="D5" i="66"/>
  <c r="O41" i="9"/>
  <c r="R8" i="54" s="1"/>
  <c r="B54" i="63" s="1"/>
  <c r="D46" i="9"/>
  <c r="E46" i="9"/>
  <c r="K33" i="9"/>
  <c r="F46" i="9"/>
  <c r="M123" i="71"/>
  <c r="M124" i="71"/>
  <c r="M125" i="71"/>
  <c r="M126" i="71"/>
  <c r="M128" i="71"/>
  <c r="M127" i="71"/>
  <c r="K34" i="9" l="1"/>
  <c r="M129" i="71"/>
  <c r="I14" i="66" s="1"/>
  <c r="B8" i="66" s="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<sst xmlns="http://schemas.openxmlformats.org/spreadsheetml/2006/main" count="9853" uniqueCount="3526">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</sst>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79" xfId="0" applyFont="1" applyBorder="1">
      <alignment vertical="center"/>
    </xf>
    <xf numFmtId="0" fontId="283" fillId="0" borderId="80"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98" customWidth="1"/>
    <col min="2" max="2" width="78.125" style="2899" customWidth="1"/>
    <col min="3" max="18" width="9" style="2893"/>
    <col min="19" max="19" width="17.75" style="2893" customWidth="1"/>
    <col min="20" max="51" width="9" style="2893"/>
    <col min="52" max="52" width="13.125" style="2893" customWidth="1"/>
    <col min="53" max="53" width="13.5" style="2893" bestFit="1" customWidth="1"/>
    <col min="54" max="54" width="11.625" style="2893" bestFit="1" customWidth="1"/>
    <col min="55" max="55" width="13.5" style="2893" bestFit="1" customWidth="1"/>
    <col min="56" max="16384" width="9" style="2893"/>
  </cols>
  <sheetData>
    <row r="1" spans="1:55" s="2904" customFormat="1" ht="16.5" thickBot="1">
      <c r="A1" s="2902" t="s">
        <v>2656</v>
      </c>
      <c r="B1" s="2903" t="s">
        <v>2753</v>
      </c>
    </row>
    <row r="2" spans="1:55" s="2907" customFormat="1" ht="15"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5" thickBot="1">
      <c r="A5" s="2911" t="s">
        <v>2663</v>
      </c>
      <c r="B5" s="2912" t="str">
        <f>'预评函-封皮'!B49</f>
        <v>康正预评字2018-1-0419号</v>
      </c>
    </row>
    <row r="6" spans="1:55" s="2913" customFormat="1" ht="15"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5"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5" thickBot="1">
      <c r="A54" s="2911" t="s">
        <v>2728</v>
      </c>
      <c r="B54" s="2912">
        <f ca="1">'预评函-2'!R8</f>
        <v>858492</v>
      </c>
    </row>
    <row r="55" spans="1:2" ht="15"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5" thickBot="1">
      <c r="A58" s="2911" t="s">
        <v>2729</v>
      </c>
      <c r="B58" s="2912" t="str">
        <f>'预评函-3'!A5</f>
        <v>4.影响价格的其他限定条件：无。</v>
      </c>
    </row>
    <row r="59" spans="1:2" ht="15"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5" thickBot="1">
      <c r="A68" s="2911" t="s">
        <v>2692</v>
      </c>
      <c r="B68" s="2915">
        <f>'预评函-3'!D30</f>
        <v>42558</v>
      </c>
    </row>
    <row r="69" spans="1:2" ht="15"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5" thickBot="1">
      <c r="A72" s="2911" t="s">
        <v>2691</v>
      </c>
      <c r="B72" s="2917">
        <f ca="1">'预评函-3'!B21</f>
        <v>2010110070</v>
      </c>
    </row>
    <row r="73" spans="1:2" ht="15"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5"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4.25"/>
  <cols>
    <col min="1" max="1" width="15.375" style="1678" customWidth="1"/>
    <col min="2" max="2" width="11.375" style="1678" customWidth="1"/>
    <col min="3" max="3" width="12.625" style="1678" customWidth="1"/>
    <col min="4" max="4" width="13" style="1678" customWidth="1"/>
    <col min="5" max="5" width="12.5" style="1678" customWidth="1"/>
    <col min="6" max="6" width="11.375" style="1678" customWidth="1"/>
    <col min="7" max="7" width="12.375" style="1678" customWidth="1"/>
    <col min="8" max="8" width="11.5" style="1678" customWidth="1"/>
    <col min="9" max="9" width="1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1939</v>
      </c>
      <c r="B1" s="3339" t="str">
        <f>IF(B10="北京市","北京市",C10)&amp;F10&amp;B16&amp;"国有建设用地使用权"&amp;B9&amp;"预评估"</f>
        <v>北京市石景山区五里坨建设组团一1601-029地块等R2二类居住用地出让国有建设用地使用权抵押价格预评估</v>
      </c>
      <c r="C1" s="3340"/>
      <c r="D1" s="3340"/>
      <c r="E1" s="3340"/>
      <c r="F1" s="3340"/>
      <c r="G1" s="3340"/>
      <c r="H1" s="3340"/>
      <c r="I1" s="3341"/>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5"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5"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45" t="s">
        <v>1946</v>
      </c>
      <c r="E8" s="1830" t="s">
        <v>2981</v>
      </c>
      <c r="F8" s="1659"/>
      <c r="G8" s="1647"/>
      <c r="H8" s="1647"/>
      <c r="I8" s="1694"/>
      <c r="J8" s="1681"/>
      <c r="K8" s="1760"/>
      <c r="L8" s="1710"/>
      <c r="M8" s="1710"/>
      <c r="N8" s="1681"/>
      <c r="O8" s="1682"/>
      <c r="P8" s="1681"/>
      <c r="Q8" s="1681"/>
      <c r="R8" s="1681"/>
      <c r="S8" s="1681"/>
      <c r="T8" s="1681"/>
      <c r="U8" s="1681"/>
    </row>
    <row r="9" spans="1:21" ht="15" thickBot="1">
      <c r="A9" s="1660" t="s">
        <v>1945</v>
      </c>
      <c r="B9" s="1661" t="s">
        <v>2981</v>
      </c>
      <c r="C9" s="1662"/>
      <c r="D9" s="3346"/>
      <c r="E9" s="1661" t="s">
        <v>2854</v>
      </c>
      <c r="F9" s="1733"/>
      <c r="G9" s="1728"/>
      <c r="H9" s="1728"/>
      <c r="I9" s="1729"/>
      <c r="J9" s="1681"/>
      <c r="K9" s="1760"/>
      <c r="L9" s="1710"/>
      <c r="M9" s="1710"/>
      <c r="N9" s="1681"/>
      <c r="O9" s="1682"/>
      <c r="P9" s="1681"/>
      <c r="Q9" s="1681"/>
      <c r="R9" s="1681"/>
      <c r="S9" s="1681"/>
      <c r="T9" s="1681"/>
      <c r="U9" s="1681"/>
    </row>
    <row r="10" spans="1:21" ht="15"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2.75">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42" t="s">
        <v>1899</v>
      </c>
      <c r="C12" s="3343"/>
      <c r="D12" s="3344"/>
      <c r="E12" s="1686" t="s">
        <v>2062</v>
      </c>
      <c r="F12" s="3360" t="s">
        <v>2888</v>
      </c>
      <c r="G12" s="3361"/>
      <c r="H12" s="3361"/>
      <c r="I12" s="3362"/>
      <c r="J12" s="1681"/>
      <c r="K12" s="1760"/>
      <c r="L12" s="1710"/>
      <c r="M12" s="1710"/>
      <c r="N12" s="1681"/>
      <c r="O12" s="1682"/>
      <c r="P12" s="1681"/>
      <c r="Q12" s="1681"/>
      <c r="R12" s="1681"/>
      <c r="S12" s="1681"/>
      <c r="T12" s="1681"/>
      <c r="U12" s="1681"/>
    </row>
    <row r="13" spans="1:21">
      <c r="A13" s="1674" t="s">
        <v>2060</v>
      </c>
      <c r="B13" s="3342"/>
      <c r="C13" s="3343"/>
      <c r="D13" s="3344"/>
      <c r="E13" s="1686" t="s">
        <v>2062</v>
      </c>
      <c r="F13" s="3360" t="s">
        <v>2889</v>
      </c>
      <c r="G13" s="3361"/>
      <c r="H13" s="3361"/>
      <c r="I13" s="3362"/>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2.75">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ht="15">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57"/>
      <c r="E20" s="3358"/>
      <c r="F20" s="3358"/>
      <c r="G20" s="3358"/>
      <c r="H20" s="3358"/>
      <c r="I20" s="3359"/>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47" t="s">
        <v>1999</v>
      </c>
      <c r="F21" s="3348"/>
      <c r="G21" s="3348"/>
      <c r="H21" s="3348"/>
      <c r="I21" s="3349"/>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47" t="s">
        <v>2890</v>
      </c>
      <c r="F22" s="3348"/>
      <c r="G22" s="3348"/>
      <c r="H22" s="3348"/>
      <c r="I22" s="3349"/>
      <c r="J22" s="1681"/>
      <c r="K22" s="1760"/>
      <c r="L22" s="1710"/>
      <c r="M22" s="1710"/>
      <c r="N22" s="1681"/>
      <c r="O22" s="1682"/>
      <c r="P22" s="1681"/>
      <c r="Q22" s="1681"/>
      <c r="R22" s="1681"/>
      <c r="S22" s="1681"/>
      <c r="T22" s="1681"/>
      <c r="U22" s="1681"/>
    </row>
    <row r="23" spans="1:21" ht="29.25"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50" t="s">
        <v>1968</v>
      </c>
      <c r="C24" s="3351"/>
      <c r="D24" s="3352" t="s">
        <v>1969</v>
      </c>
      <c r="E24" s="3353"/>
      <c r="F24" s="1695" t="s">
        <v>1970</v>
      </c>
      <c r="G24" s="1681"/>
      <c r="H24" s="1681"/>
      <c r="I24" s="1694"/>
      <c r="J24" s="1681"/>
      <c r="K24" s="3338"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28.5">
      <c r="A25" s="1737"/>
      <c r="B25" s="1734" t="s">
        <v>2326</v>
      </c>
      <c r="C25" s="1696" t="s">
        <v>2327</v>
      </c>
      <c r="D25" s="1697"/>
      <c r="E25" s="1698" t="s">
        <v>951</v>
      </c>
      <c r="F25" s="1699"/>
      <c r="G25" s="1681"/>
      <c r="H25" s="1681"/>
      <c r="I25" s="1694"/>
      <c r="J25" s="1681"/>
      <c r="K25" s="3338"/>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8"/>
      <c r="B26" s="1735" t="s">
        <v>1972</v>
      </c>
      <c r="C26" s="1696" t="s">
        <v>951</v>
      </c>
      <c r="D26" s="1647"/>
      <c r="E26" s="1647"/>
      <c r="F26" s="1675"/>
      <c r="G26" s="1681"/>
      <c r="H26" s="1681"/>
      <c r="I26" s="1694"/>
      <c r="J26" s="1681"/>
      <c r="K26" s="3338"/>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5"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5" thickTop="1">
      <c r="A31" s="3324" t="s">
        <v>2002</v>
      </c>
      <c r="B31" s="1750" t="s">
        <v>2003</v>
      </c>
      <c r="C31" s="3363"/>
      <c r="D31" s="3364"/>
      <c r="E31" s="1681"/>
      <c r="F31" s="1681"/>
      <c r="G31" s="1681"/>
      <c r="H31" s="1681"/>
      <c r="I31" s="1694"/>
      <c r="J31" s="1681"/>
      <c r="K31" s="2469"/>
      <c r="L31" s="1681"/>
      <c r="M31" s="1681"/>
      <c r="N31" s="1681"/>
      <c r="O31" s="1681"/>
      <c r="P31" s="1681"/>
      <c r="Q31" s="1681"/>
      <c r="R31" s="1681"/>
      <c r="S31" s="1681"/>
      <c r="T31" s="1681"/>
      <c r="U31" s="1681"/>
    </row>
    <row r="32" spans="1:21">
      <c r="A32" s="3324"/>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24"/>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25"/>
      <c r="B34" s="1648" t="s">
        <v>2006</v>
      </c>
      <c r="C34" s="3326"/>
      <c r="D34" s="3327"/>
      <c r="E34" s="1681"/>
      <c r="F34" s="1681"/>
      <c r="G34" s="1681"/>
      <c r="H34" s="1681"/>
      <c r="I34" s="1694"/>
      <c r="J34" s="1681"/>
      <c r="K34" s="2469"/>
      <c r="L34" s="1681"/>
      <c r="M34" s="1681"/>
      <c r="N34" s="1681"/>
      <c r="O34" s="1681"/>
      <c r="P34" s="1681"/>
      <c r="Q34" s="1681"/>
      <c r="R34" s="1681"/>
      <c r="S34" s="1681"/>
      <c r="T34" s="1681"/>
      <c r="U34" s="1681"/>
    </row>
    <row r="35" spans="1:21">
      <c r="A35" s="3328" t="s">
        <v>846</v>
      </c>
      <c r="B35" s="1709" t="s">
        <v>2989</v>
      </c>
      <c r="C35" s="1762" t="str">
        <f>IF(B35="场地平整","——","具体情况：")</f>
        <v>——</v>
      </c>
      <c r="D35" s="3330"/>
      <c r="E35" s="3331"/>
      <c r="F35" s="3331"/>
      <c r="G35" s="3331"/>
      <c r="H35" s="3331"/>
      <c r="I35" s="3332"/>
      <c r="J35" s="1681"/>
      <c r="K35" s="1761"/>
      <c r="L35" s="1710"/>
      <c r="M35" s="1710"/>
      <c r="N35" s="1681"/>
      <c r="O35" s="1682"/>
      <c r="P35" s="1681"/>
      <c r="Q35" s="1681"/>
      <c r="R35" s="1681"/>
      <c r="S35" s="1681"/>
      <c r="T35" s="1681"/>
      <c r="U35" s="1681"/>
    </row>
    <row r="36" spans="1:21">
      <c r="A36" s="3324"/>
      <c r="B36" s="3333" t="s">
        <v>2055</v>
      </c>
      <c r="C36" s="3334"/>
      <c r="D36" s="1778" t="s">
        <v>2990</v>
      </c>
      <c r="E36" s="3335"/>
      <c r="F36" s="3335"/>
      <c r="G36" s="1674" t="str">
        <f>IF(B35="场地未平整","估价结果处理","")</f>
        <v/>
      </c>
      <c r="H36" s="3336"/>
      <c r="I36" s="3336"/>
      <c r="J36" s="1681"/>
      <c r="K36" s="1761"/>
      <c r="L36" s="1710"/>
      <c r="M36" s="1710"/>
      <c r="N36" s="1681"/>
      <c r="O36" s="1682"/>
      <c r="P36" s="1681"/>
      <c r="Q36" s="1681"/>
      <c r="R36" s="1681"/>
      <c r="S36" s="1681"/>
      <c r="T36" s="1681"/>
      <c r="U36" s="1681"/>
    </row>
    <row r="37" spans="1:21" ht="28.5">
      <c r="A37" s="3324"/>
      <c r="B37" s="3354"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24"/>
      <c r="B38" s="3355"/>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25"/>
      <c r="B39" s="3356"/>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ht="15">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37" t="s">
        <v>1986</v>
      </c>
      <c r="T40" s="1718" t="str">
        <f>NUMBERSTRING(7-K40,1)&amp;"通"</f>
        <v>七通</v>
      </c>
      <c r="U40" s="1681"/>
    </row>
    <row r="41" spans="1:21">
      <c r="A41" s="1650"/>
      <c r="B41" s="3329" t="s">
        <v>1721</v>
      </c>
      <c r="C41" s="3329"/>
      <c r="D41" s="3329"/>
      <c r="E41" s="3329"/>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37"/>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ht="15">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5.75"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75"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28.5">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12.375" style="15" customWidth="1"/>
    <col min="16" max="16" width="9.625" style="15" customWidth="1"/>
    <col min="17" max="17" width="11.5" style="15" customWidth="1"/>
    <col min="18" max="18" width="9.125" style="15" customWidth="1"/>
    <col min="19" max="19" width="10.75" style="15" hidden="1" customWidth="1"/>
    <col min="20" max="21" width="10.625" style="15" hidden="1" customWidth="1"/>
    <col min="22" max="22" width="10.75" style="15" hidden="1" customWidth="1"/>
    <col min="23" max="27" width="10.625" style="15" hidden="1" customWidth="1"/>
    <col min="28" max="28" width="10.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2.75">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2.75">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2.75">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2.75">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2.75">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5"/>
  <sheetData>
    <row r="1" spans="1:16" ht="14.25" thickBot="1">
      <c r="A1" s="3372" t="s">
        <v>3513</v>
      </c>
      <c r="B1" s="3372" t="s">
        <v>3514</v>
      </c>
      <c r="C1" s="3375" t="s">
        <v>2994</v>
      </c>
      <c r="D1" s="3376"/>
      <c r="E1" s="3376"/>
      <c r="F1" s="3376"/>
      <c r="G1" s="3376"/>
      <c r="H1" s="3376"/>
      <c r="I1" s="3376"/>
      <c r="J1" s="3377"/>
      <c r="K1" s="3375" t="s">
        <v>2996</v>
      </c>
      <c r="L1" s="3376"/>
      <c r="M1" s="3376"/>
      <c r="N1" s="3376"/>
      <c r="O1" s="3376"/>
      <c r="P1" s="3377"/>
    </row>
    <row r="2" spans="1:16" ht="14.25" thickBot="1">
      <c r="A2" s="3373"/>
      <c r="B2" s="3373"/>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25" thickBot="1">
      <c r="A3" s="3374"/>
      <c r="B3" s="3374"/>
      <c r="C3" s="3374"/>
      <c r="D3" s="3291" t="s">
        <v>3517</v>
      </c>
      <c r="E3" s="3291" t="s">
        <v>3518</v>
      </c>
      <c r="F3" s="3374"/>
      <c r="G3" s="3374"/>
      <c r="H3" s="3374"/>
      <c r="I3" s="3374"/>
      <c r="J3" s="3374"/>
      <c r="K3" s="3374"/>
      <c r="L3" s="3374"/>
      <c r="M3" s="3374"/>
      <c r="N3" s="3374"/>
      <c r="O3" s="3374"/>
      <c r="P3" s="3374"/>
    </row>
    <row r="4" spans="1:16" ht="14.25"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25"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25"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25"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25"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25"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25"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25"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O2:O3"/>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s>
  <phoneticPr fontId="28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25" defaultRowHeight="14.25"/>
  <cols>
    <col min="1" max="1" width="8.125" style="1972" customWidth="1"/>
    <col min="2" max="2" width="10.125" style="1972" customWidth="1"/>
    <col min="3" max="3" width="18.5" style="1972" customWidth="1"/>
    <col min="4" max="4" width="11.125" style="1972" customWidth="1"/>
    <col min="5" max="5" width="13.375" style="1972" customWidth="1"/>
    <col min="6" max="8" width="11.5" style="1972" customWidth="1"/>
    <col min="9" max="9" width="11.625" style="1972" customWidth="1"/>
    <col min="10" max="10" width="3.125" style="1972" customWidth="1"/>
    <col min="11" max="16" width="11.625" style="1972" customWidth="1"/>
    <col min="17" max="17" width="3.375" style="1972" customWidth="1"/>
    <col min="18" max="16384" width="9.125" style="1972"/>
  </cols>
  <sheetData>
    <row r="1" spans="1:16" ht="18.75">
      <c r="A1" s="103" t="s">
        <v>202</v>
      </c>
      <c r="B1" s="1971"/>
      <c r="C1" s="1971"/>
      <c r="D1" s="1971"/>
      <c r="E1" s="1971"/>
      <c r="F1" s="1971"/>
      <c r="G1" s="1971"/>
      <c r="H1" s="1971"/>
      <c r="I1" s="1971"/>
      <c r="J1" s="1971"/>
      <c r="K1" s="1971"/>
      <c r="L1" s="1971"/>
    </row>
    <row r="2" spans="1:16" ht="15">
      <c r="A2" s="3389" t="s">
        <v>203</v>
      </c>
      <c r="B2" s="3389"/>
      <c r="C2" s="3389"/>
      <c r="D2" s="1962" t="s">
        <v>204</v>
      </c>
      <c r="E2" s="105" t="s">
        <v>205</v>
      </c>
      <c r="F2" s="1971"/>
      <c r="G2" s="1190"/>
      <c r="H2" s="1191"/>
      <c r="I2" s="1192" t="s">
        <v>856</v>
      </c>
      <c r="J2" s="1971"/>
      <c r="K2" s="1971"/>
      <c r="L2" s="1971"/>
    </row>
    <row r="3" spans="1:16" ht="15.7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5">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5">
      <c r="A7" s="3386"/>
      <c r="B7" s="3387"/>
      <c r="C7" s="3388"/>
      <c r="D7" s="107" t="s">
        <v>204</v>
      </c>
      <c r="E7" s="113" t="s">
        <v>231</v>
      </c>
      <c r="F7" s="1971"/>
      <c r="G7" s="1148" t="s">
        <v>1645</v>
      </c>
      <c r="H7" s="1149"/>
      <c r="I7" s="1833"/>
      <c r="J7" s="1971"/>
      <c r="K7" s="1971"/>
      <c r="L7" s="1971"/>
    </row>
    <row r="8" spans="1:16">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c r="A9" s="116"/>
      <c r="B9" s="117"/>
      <c r="C9" s="110" t="s">
        <v>212</v>
      </c>
      <c r="D9" s="110">
        <f t="shared" si="0"/>
        <v>33.35</v>
      </c>
      <c r="E9" s="118">
        <f>'数据-基础表'!AH5</f>
        <v>100</v>
      </c>
      <c r="F9" s="1971"/>
      <c r="G9" s="1973"/>
      <c r="H9" s="1973"/>
      <c r="I9" s="1971"/>
      <c r="J9" s="1971"/>
      <c r="K9" s="1971"/>
      <c r="L9" s="1971"/>
    </row>
    <row r="10" spans="1:16">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7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5">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5">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29.25"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25" defaultRowHeight="12.75"/>
  <cols>
    <col min="1" max="1" width="20.75" style="1208" customWidth="1"/>
    <col min="2" max="3" width="12" style="1195" customWidth="1"/>
    <col min="4" max="4" width="9.125" style="1209" customWidth="1"/>
    <col min="5" max="5" width="18.375" style="1195" customWidth="1"/>
    <col min="6" max="10" width="8.75" style="1195" customWidth="1"/>
    <col min="11" max="12" width="12.375" style="1210" customWidth="1"/>
    <col min="13" max="13" width="8.625" style="1195" customWidth="1"/>
    <col min="14" max="16" width="9.625" style="1195" customWidth="1"/>
    <col min="17" max="17" width="10.75" style="1195" customWidth="1"/>
    <col min="18" max="19" width="12.5" style="1195" customWidth="1"/>
    <col min="20" max="20" width="12.125" style="1195" customWidth="1"/>
    <col min="21" max="21" width="7.5" style="1195" customWidth="1"/>
    <col min="22" max="22" width="6.375" style="1195" customWidth="1"/>
    <col min="23" max="23" width="9.375" style="1195" customWidth="1"/>
    <col min="24" max="24" width="6.625" style="1195" customWidth="1"/>
    <col min="25" max="25" width="8.125" style="1195" customWidth="1"/>
    <col min="26" max="30" width="6.625" style="1195" customWidth="1"/>
    <col min="31" max="31" width="7.5" style="1195" customWidth="1"/>
    <col min="32" max="34" width="7.125" style="1195" customWidth="1"/>
    <col min="35" max="39" width="8" style="1195" customWidth="1"/>
    <col min="40" max="41" width="13.625" style="1985"/>
    <col min="42" max="42" width="0" style="1985" hidden="1" customWidth="1"/>
    <col min="43" max="83" width="13.625" style="1985"/>
    <col min="84" max="16384" width="13.625" style="1195"/>
  </cols>
  <sheetData>
    <row r="1" spans="1:83" ht="19.5"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7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5"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4">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25">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25">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25">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25">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25">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25">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25">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25">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4.25">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7">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7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7.75">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7.75">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8.5"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7">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7">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7.75"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25">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5" customWidth="1"/>
    <col min="2" max="2" width="24.5" style="2010" customWidth="1"/>
    <col min="3" max="3" width="24.5" style="2012" customWidth="1"/>
    <col min="4" max="4" width="2.625" style="2012" customWidth="1"/>
    <col min="5" max="5" width="5.75" style="2012" customWidth="1"/>
    <col min="6" max="6" width="27" style="2010" customWidth="1"/>
    <col min="7" max="7" width="27" style="2011" customWidth="1"/>
    <col min="8" max="8" width="11.75" style="2010" customWidth="1"/>
    <col min="9" max="9" width="16.625" style="2011" customWidth="1"/>
    <col min="10" max="10" width="2.625" style="2012" customWidth="1"/>
    <col min="11" max="11" width="11.75" style="2010" customWidth="1"/>
    <col min="12" max="12" width="16.625" style="2011" customWidth="1"/>
    <col min="13" max="13" width="2.625" style="2012" customWidth="1"/>
    <col min="14" max="14" width="11.75" style="2010" customWidth="1"/>
    <col min="15" max="15" width="16.625" style="2011" customWidth="1"/>
    <col min="16" max="16" width="2.625" style="2012" customWidth="1"/>
    <col min="17" max="17" width="11.75" style="2010" customWidth="1"/>
    <col min="18" max="18" width="16.625" style="2013" customWidth="1"/>
    <col min="19" max="16384" width="9" style="1995"/>
  </cols>
  <sheetData>
    <row r="1" spans="1:18" s="1994" customFormat="1" ht="19.5" thickBot="1">
      <c r="A1" s="3395" t="s">
        <v>1663</v>
      </c>
      <c r="B1" s="3396"/>
      <c r="C1" s="3396"/>
      <c r="D1" s="3396"/>
      <c r="E1" s="3396"/>
      <c r="F1" s="3396"/>
      <c r="G1" s="3396"/>
      <c r="H1" s="1989"/>
      <c r="I1" s="1990"/>
      <c r="J1" s="1991"/>
      <c r="K1" s="1989"/>
      <c r="L1" s="1990"/>
      <c r="M1" s="1991"/>
      <c r="N1" s="1989"/>
      <c r="O1" s="1990"/>
      <c r="P1" s="1991"/>
      <c r="Q1" s="1992"/>
      <c r="R1" s="1993"/>
    </row>
    <row r="2" spans="1:18" ht="14.25" thickBot="1">
      <c r="A2" s="1213"/>
      <c r="B2" s="1214"/>
      <c r="C2" s="1215" t="s">
        <v>1664</v>
      </c>
      <c r="D2" s="1216"/>
      <c r="E2" s="1217"/>
      <c r="F2" s="1218"/>
      <c r="G2" s="1215" t="s">
        <v>1665</v>
      </c>
      <c r="H2" s="1995"/>
      <c r="I2" s="1995"/>
      <c r="J2" s="1995"/>
      <c r="K2" s="1995"/>
      <c r="L2" s="1995"/>
      <c r="M2" s="1995"/>
      <c r="N2" s="1995"/>
      <c r="O2" s="1995"/>
      <c r="P2" s="1995"/>
      <c r="Q2" s="1995"/>
      <c r="R2" s="1995"/>
    </row>
    <row r="3" spans="1:18" ht="42.75">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0.5">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7">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1.25"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4.2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6"/>
      <c r="E13" s="2589"/>
      <c r="F13" s="2589"/>
      <c r="G13" s="2589"/>
    </row>
    <row r="14" spans="1:18" ht="14.25" thickBot="1">
      <c r="A14" s="1230"/>
      <c r="B14" s="1231"/>
      <c r="C14" s="1232" t="s">
        <v>1664</v>
      </c>
      <c r="D14" s="1996"/>
      <c r="E14" s="1233"/>
      <c r="F14" s="1233"/>
      <c r="G14" s="1215" t="s">
        <v>1665</v>
      </c>
    </row>
    <row r="15" spans="1:18" ht="27">
      <c r="A15" s="2599" t="s">
        <v>1657</v>
      </c>
      <c r="B15" s="1234" t="s">
        <v>1653</v>
      </c>
      <c r="C15" s="1235">
        <f>C3</f>
        <v>0</v>
      </c>
      <c r="D15" s="1996"/>
      <c r="E15" s="2596" t="s">
        <v>1658</v>
      </c>
      <c r="F15" s="1234" t="s">
        <v>1673</v>
      </c>
      <c r="G15" s="1236" t="str">
        <f>G3</f>
        <v>估价对象位于XX开发区，园区建设成熟度XX，产业集聚程度XX</v>
      </c>
    </row>
    <row r="16" spans="1:18" ht="40.5">
      <c r="A16" s="2600"/>
      <c r="B16" s="1237" t="s">
        <v>1667</v>
      </c>
      <c r="C16" s="1238" t="str">
        <f>C4</f>
        <v>一般</v>
      </c>
      <c r="D16" s="1996"/>
      <c r="E16" s="2597"/>
      <c r="F16" s="1239" t="s">
        <v>1668</v>
      </c>
      <c r="G16" s="997" t="str">
        <f>G4</f>
        <v>估价对象周边道路状况、公共交通通达情况、停车便捷程度，综合评价交通便捷度较好</v>
      </c>
    </row>
    <row r="17" spans="1:7" ht="14.25">
      <c r="A17" s="2600"/>
      <c r="B17" s="1237" t="s">
        <v>1669</v>
      </c>
      <c r="C17" s="1238" t="str">
        <f>C5</f>
        <v>一般</v>
      </c>
      <c r="D17" s="1997"/>
      <c r="E17" s="2597"/>
      <c r="F17" s="1239" t="s">
        <v>1674</v>
      </c>
      <c r="G17" s="2805"/>
    </row>
    <row r="18" spans="1:7" ht="40.5">
      <c r="A18" s="2600"/>
      <c r="B18" s="1239" t="s">
        <v>1655</v>
      </c>
      <c r="C18" s="997" t="str">
        <f>C6</f>
        <v>较好</v>
      </c>
      <c r="D18" s="1997"/>
      <c r="E18" s="2597"/>
      <c r="F18" s="1239" t="s">
        <v>1670</v>
      </c>
      <c r="G18" s="997" t="str">
        <f>G7</f>
        <v>该园区内是否有污染型企业，绿化情况，卫生条件，整体环境状况判断</v>
      </c>
    </row>
    <row r="19" spans="1:7" ht="27">
      <c r="A19" s="2600"/>
      <c r="B19" s="1239" t="s">
        <v>1659</v>
      </c>
      <c r="C19" s="3171" t="s">
        <v>3063</v>
      </c>
      <c r="D19" s="1996"/>
      <c r="E19" s="2597"/>
      <c r="F19" s="1223" t="s">
        <v>2547</v>
      </c>
      <c r="G19" s="997" t="str">
        <f>G5</f>
        <v>估价对象所在区域公共配套设施齐备情况</v>
      </c>
    </row>
    <row r="20" spans="1:7">
      <c r="A20" s="2600"/>
      <c r="B20" s="1239" t="s">
        <v>1660</v>
      </c>
      <c r="C20" s="1238" t="str">
        <f>C9</f>
        <v>一般</v>
      </c>
      <c r="D20" s="1997"/>
      <c r="E20" s="2597"/>
      <c r="F20" s="1223" t="s">
        <v>2548</v>
      </c>
      <c r="G20" s="997" t="str">
        <f>G6</f>
        <v>估价对象所在区域基础设施水平</v>
      </c>
    </row>
    <row r="21" spans="1:7" ht="14.25">
      <c r="A21" s="2600"/>
      <c r="B21" s="1223" t="s">
        <v>2547</v>
      </c>
      <c r="C21" s="997" t="str">
        <f>C7</f>
        <v>一般</v>
      </c>
      <c r="D21" s="1996"/>
      <c r="E21" s="2597"/>
      <c r="F21" s="1239" t="s">
        <v>1661</v>
      </c>
      <c r="G21" s="3083"/>
    </row>
    <row r="22" spans="1:7" ht="14.25">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4.2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workbookViewId="0">
      <pane xSplit="3" ySplit="3" topLeftCell="D109" activePane="bottomRight" state="frozen"/>
      <selection pane="topRight" activeCell="D1" sqref="D1"/>
      <selection pane="bottomLeft" activeCell="A4" sqref="A4"/>
      <selection pane="bottomRight" activeCell="U95" sqref="U95"/>
    </sheetView>
  </sheetViews>
  <sheetFormatPr defaultColWidth="8.75" defaultRowHeight="13.5"/>
  <cols>
    <col min="3" max="3" width="10.625" customWidth="1"/>
    <col min="4" max="4" width="10.125" customWidth="1"/>
    <col min="5" max="6" width="10.5" customWidth="1"/>
    <col min="8" max="8" width="10.5" customWidth="1"/>
    <col min="9" max="9" width="13.125" bestFit="1" customWidth="1"/>
    <col min="13" max="13" width="10.625" customWidth="1"/>
    <col min="15" max="15" width="10.5" customWidth="1"/>
    <col min="16" max="16" width="13.125" customWidth="1"/>
    <col min="17" max="17" width="11.375" customWidth="1"/>
    <col min="20" max="20" width="14.125" bestFit="1" customWidth="1"/>
    <col min="21" max="21" width="13.875" customWidth="1"/>
    <col min="22" max="22" width="16.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ht="14.25">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ht="14.25">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ht="14.25">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ht="14.25">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ht="14.25">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ht="14.25">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ht="14.25">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ht="14.25">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ht="14.25">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ht="14.25">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ht="14.25">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ht="14.25">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ht="14.25">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ht="14.25">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ht="14.25">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ht="14.25">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ht="14.25">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ht="14.25">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5"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25">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ht="14.25">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ht="14.25">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ht="14.25">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ht="14.25">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ht="14.25">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ht="14.25">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ht="14.25">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ht="14.25">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ht="14.25">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ht="14.25">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ht="14.25">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ht="14.25">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ht="14.25">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ht="14.25">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ht="14.25">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ht="14.25">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ht="14.25">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ht="14.25">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ht="14.25">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ht="14.25">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ht="14.25">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ht="14.25">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ht="14.25">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ht="14.25">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ht="14.25">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ht="14.25">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ht="14.25">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ht="14.25">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ht="14.25">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ht="14.25">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ht="14.25">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ht="14.25">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ht="14.25">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ht="14.25">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5"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25">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ht="14.25">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ht="14.25">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ht="14.25">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ht="14.25">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ht="14.25">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ht="14.25">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ht="14.25">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ht="14.25">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ht="14.25">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ht="14.25">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ht="14.25">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ht="14.25">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ht="14.25">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ht="14.25">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5"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25">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ht="14.25">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ht="14.25">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ht="14.25">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ht="14.25">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ht="14.25">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ht="14.25">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ht="14.25">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ht="14.25">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ht="14.25">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ht="14.25">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ht="14.25">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ht="14.25">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ht="14.25">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ht="14.25">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5"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25">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ht="14.25">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ht="14.25">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ht="14.25">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ht="14.25">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ht="14.25">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ht="14.25">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ht="14.25">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5"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5"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ht="14.25">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ht="14.25">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25"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ht="14.25">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ht="14.25">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ht="14.25">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ht="14.25">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ht="14.25">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ht="14.25">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ht="14.25">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E1" workbookViewId="0">
      <selection activeCell="I15" sqref="I15"/>
    </sheetView>
  </sheetViews>
  <sheetFormatPr defaultColWidth="14.625" defaultRowHeight="13.5"/>
  <cols>
    <col min="1" max="1" width="24.375" customWidth="1"/>
  </cols>
  <sheetData>
    <row r="1" spans="1:9" ht="16.5">
      <c r="A1" s="3043" t="s">
        <v>2844</v>
      </c>
      <c r="B1" s="3043">
        <f>SUM(B14:B23)</f>
        <v>52245.47</v>
      </c>
      <c r="C1" s="3044"/>
      <c r="D1" s="3044"/>
      <c r="E1" s="3044"/>
      <c r="F1" s="3044"/>
    </row>
    <row r="2" spans="1:9" ht="16.5">
      <c r="A2" s="3043" t="s">
        <v>2845</v>
      </c>
      <c r="B2" s="3043">
        <f>SUM(C14:C23)</f>
        <v>32653.42</v>
      </c>
      <c r="C2" s="3044"/>
      <c r="D2" s="3044"/>
      <c r="E2" s="3044"/>
      <c r="F2" s="3044"/>
    </row>
    <row r="3" spans="1:9" ht="16.5">
      <c r="A3" s="3043" t="s">
        <v>2846</v>
      </c>
      <c r="B3" s="3045">
        <f>项目基本情况!D3</f>
        <v>43263</v>
      </c>
      <c r="C3" s="3044"/>
      <c r="D3" s="3044"/>
      <c r="E3" s="3044"/>
      <c r="F3" s="3044"/>
    </row>
    <row r="4" spans="1:9" ht="33">
      <c r="A4" s="3043" t="s">
        <v>2847</v>
      </c>
      <c r="B4" s="3043" t="s">
        <v>2848</v>
      </c>
      <c r="C4" s="3043" t="s">
        <v>2849</v>
      </c>
      <c r="D4" s="3043" t="s">
        <v>2850</v>
      </c>
      <c r="E4" s="3044"/>
      <c r="F4" s="3044"/>
    </row>
    <row r="5" spans="1:9" ht="16.5">
      <c r="A5" s="3043" t="s">
        <v>2851</v>
      </c>
      <c r="B5" s="3043">
        <f ca="1">SUM(D14:D23)</f>
        <v>9615</v>
      </c>
      <c r="C5" s="3043">
        <f ca="1">ROUND(B5*10000/$B$1,0)</f>
        <v>1840</v>
      </c>
      <c r="D5" s="3043">
        <f ca="1">ROUND(B5*10000/$B$2,0)</f>
        <v>2945</v>
      </c>
      <c r="E5" s="3044"/>
      <c r="F5" s="3044"/>
    </row>
    <row r="6" spans="1:9" ht="16.5">
      <c r="A6" s="3043" t="s">
        <v>2852</v>
      </c>
      <c r="B6" s="3043">
        <f ca="1">SUM(G14:G23)</f>
        <v>9615</v>
      </c>
      <c r="C6" s="3043">
        <f t="shared" ref="C6:C8" ca="1" si="0">ROUND(B6*10000/$B$1,0)</f>
        <v>1840</v>
      </c>
      <c r="D6" s="3043">
        <f t="shared" ref="D6:D8" ca="1" si="1">ROUND(B6*10000/$B$2,0)</f>
        <v>2945</v>
      </c>
      <c r="E6" s="3044"/>
      <c r="F6" s="3044"/>
    </row>
    <row r="7" spans="1:9" ht="16.5">
      <c r="A7" s="3043" t="s">
        <v>2853</v>
      </c>
      <c r="B7" s="3043">
        <f>SUM(H14:H23)</f>
        <v>0</v>
      </c>
      <c r="C7" s="3043">
        <f t="shared" si="0"/>
        <v>0</v>
      </c>
      <c r="D7" s="3043">
        <f t="shared" si="1"/>
        <v>0</v>
      </c>
      <c r="E7" s="3044"/>
      <c r="F7" s="3044"/>
    </row>
    <row r="8" spans="1:9" ht="16.5">
      <c r="A8" s="3043" t="s">
        <v>2854</v>
      </c>
      <c r="B8" s="3043">
        <f ca="1">SUM(I14:I23)</f>
        <v>9091</v>
      </c>
      <c r="C8" s="3043">
        <f t="shared" ca="1" si="0"/>
        <v>1740</v>
      </c>
      <c r="D8" s="3043">
        <f t="shared" ca="1" si="1"/>
        <v>2784</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各地块面积指标!H129</f>
        <v>52245.47</v>
      </c>
      <c r="C14" s="3047">
        <f>各地块面积指标!G129</f>
        <v>32653.42</v>
      </c>
      <c r="D14" s="3047">
        <f ca="1">各地块面积指标!K129</f>
        <v>9615</v>
      </c>
      <c r="E14" s="3047">
        <f ca="1">ROUND(D14*10000/B14,0)</f>
        <v>1840</v>
      </c>
      <c r="F14" s="3047">
        <f ca="1">ROUND(D14*10000/C14,0)</f>
        <v>2945</v>
      </c>
      <c r="G14" s="3047">
        <f ca="1">各地块面积指标!L129</f>
        <v>9615</v>
      </c>
      <c r="H14" s="3047" t="str">
        <f>结果表!C45</f>
        <v>——</v>
      </c>
      <c r="I14" s="3047">
        <f ca="1">各地块面积指标!M129</f>
        <v>9091</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25" defaultRowHeight="21.75" customHeight="1"/>
  <cols>
    <col min="1" max="2" width="12.625" style="1242" bestFit="1" customWidth="1"/>
    <col min="3" max="4" width="12.625" style="1242" customWidth="1"/>
    <col min="5" max="9" width="12.625" style="1242"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31" t="str">
        <f>项目基本情况!K2</f>
        <v>北京市石景山区五里坨建设组团一1601-029地块等R2二类居住用地出让国有建设用地使用权</v>
      </c>
      <c r="B2" s="3432"/>
      <c r="C2" s="3433"/>
      <c r="D2" s="3433"/>
      <c r="E2" s="3433"/>
      <c r="F2" s="3433"/>
      <c r="G2" s="3432"/>
      <c r="H2" s="3432"/>
      <c r="I2" s="3434"/>
      <c r="J2" s="2017"/>
      <c r="K2" s="2016"/>
      <c r="L2" s="2016"/>
      <c r="M2" s="2016"/>
      <c r="N2" s="2016"/>
      <c r="O2" s="2016"/>
      <c r="P2" s="2016"/>
      <c r="Q2" s="2016"/>
      <c r="R2" s="2016"/>
      <c r="S2" s="2016"/>
      <c r="T2" s="2016"/>
      <c r="U2" s="2016"/>
      <c r="V2" s="2016"/>
    </row>
    <row r="3" spans="1:22" ht="14.25">
      <c r="A3" s="3424" t="s">
        <v>298</v>
      </c>
      <c r="B3" s="3425"/>
      <c r="C3" s="3425"/>
      <c r="D3" s="3425"/>
      <c r="E3" s="3425"/>
      <c r="F3" s="3425"/>
      <c r="G3" s="3425"/>
      <c r="H3" s="3425"/>
      <c r="I3" s="3425"/>
      <c r="J3" s="2017"/>
      <c r="K3" s="2016"/>
      <c r="L3" s="2016"/>
      <c r="M3" s="2016"/>
      <c r="N3" s="2016"/>
      <c r="O3" s="2016"/>
      <c r="P3" s="2016"/>
      <c r="Q3" s="2016"/>
      <c r="R3" s="2016"/>
      <c r="S3" s="2016"/>
      <c r="T3" s="2016"/>
      <c r="U3" s="2016"/>
      <c r="V3" s="2016"/>
    </row>
    <row r="4" spans="1:22" ht="14.25">
      <c r="A4" s="252" t="s">
        <v>299</v>
      </c>
      <c r="B4" s="253" t="s">
        <v>300</v>
      </c>
      <c r="C4" s="254" t="s">
        <v>3094</v>
      </c>
      <c r="D4" s="254" t="s">
        <v>3095</v>
      </c>
      <c r="E4" s="3398" t="s">
        <v>301</v>
      </c>
      <c r="F4" s="3399"/>
      <c r="G4" s="3399"/>
      <c r="H4" s="3399"/>
      <c r="I4" s="3426"/>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4.25">
      <c r="A5" s="3397" t="s">
        <v>302</v>
      </c>
      <c r="B5" s="3421">
        <v>25</v>
      </c>
      <c r="C5" s="3419"/>
      <c r="D5" s="3423"/>
      <c r="E5" s="255" t="s">
        <v>303</v>
      </c>
      <c r="F5" s="256"/>
      <c r="G5" s="256"/>
      <c r="H5" s="256"/>
      <c r="I5" s="257"/>
      <c r="J5" s="2017"/>
      <c r="K5" s="2016"/>
      <c r="L5" s="2016"/>
      <c r="M5" s="2016"/>
      <c r="N5" s="2016"/>
      <c r="O5" s="2016"/>
      <c r="P5" s="2016"/>
      <c r="Q5" s="2016"/>
      <c r="R5" s="2016"/>
      <c r="S5" s="2016"/>
      <c r="T5" s="2016"/>
      <c r="U5" s="2016"/>
      <c r="V5" s="2016"/>
    </row>
    <row r="6" spans="1:22" ht="14.25">
      <c r="A6" s="3397"/>
      <c r="B6" s="3421"/>
      <c r="C6" s="3422"/>
      <c r="D6" s="3423"/>
      <c r="E6" s="255" t="s">
        <v>304</v>
      </c>
      <c r="F6" s="256"/>
      <c r="G6" s="256"/>
      <c r="H6" s="256"/>
      <c r="I6" s="257"/>
      <c r="J6" s="2017"/>
      <c r="K6" s="2016"/>
      <c r="L6" s="2016"/>
      <c r="M6" s="2016"/>
      <c r="N6" s="2016"/>
      <c r="O6" s="2016"/>
      <c r="P6" s="2016"/>
      <c r="Q6" s="2016"/>
      <c r="R6" s="2016"/>
      <c r="S6" s="2016"/>
      <c r="T6" s="2016"/>
      <c r="U6" s="2016"/>
      <c r="V6" s="2016"/>
    </row>
    <row r="7" spans="1:22" ht="14.25">
      <c r="A7" s="3397"/>
      <c r="B7" s="3421"/>
      <c r="C7" s="3420"/>
      <c r="D7" s="3423"/>
      <c r="E7" s="255" t="s">
        <v>305</v>
      </c>
      <c r="F7" s="256"/>
      <c r="G7" s="256"/>
      <c r="H7" s="256"/>
      <c r="I7" s="257"/>
      <c r="J7" s="2017"/>
      <c r="K7" s="2016"/>
      <c r="L7" s="2016"/>
      <c r="M7" s="2016"/>
      <c r="N7" s="2016"/>
      <c r="O7" s="2016"/>
      <c r="P7" s="2016"/>
      <c r="Q7" s="2016"/>
      <c r="R7" s="2016"/>
      <c r="S7" s="2016"/>
      <c r="T7" s="2016"/>
      <c r="U7" s="2016"/>
      <c r="V7" s="2016"/>
    </row>
    <row r="8" spans="1:22" ht="14.25">
      <c r="A8" s="3397" t="s">
        <v>306</v>
      </c>
      <c r="B8" s="3421">
        <v>15</v>
      </c>
      <c r="C8" s="3419"/>
      <c r="D8" s="3423"/>
      <c r="E8" s="255" t="s">
        <v>307</v>
      </c>
      <c r="F8" s="256"/>
      <c r="G8" s="256"/>
      <c r="H8" s="256"/>
      <c r="I8" s="257"/>
      <c r="J8" s="2017"/>
      <c r="K8" s="2016"/>
      <c r="L8" s="2016"/>
      <c r="M8" s="2016"/>
      <c r="N8" s="2016"/>
      <c r="O8" s="2016"/>
      <c r="P8" s="2016"/>
      <c r="Q8" s="2016"/>
      <c r="R8" s="2016"/>
      <c r="S8" s="2016"/>
      <c r="T8" s="2016"/>
      <c r="U8" s="2016"/>
      <c r="V8" s="2016"/>
    </row>
    <row r="9" spans="1:22" ht="14.25">
      <c r="A9" s="3397"/>
      <c r="B9" s="3421"/>
      <c r="C9" s="3420"/>
      <c r="D9" s="3423"/>
      <c r="E9" s="255" t="s">
        <v>308</v>
      </c>
      <c r="F9" s="256"/>
      <c r="G9" s="256"/>
      <c r="H9" s="256"/>
      <c r="I9" s="257"/>
      <c r="J9" s="2017"/>
      <c r="K9" s="2016"/>
      <c r="L9" s="2016"/>
      <c r="M9" s="2016"/>
      <c r="N9" s="2016"/>
      <c r="O9" s="2016"/>
      <c r="P9" s="2016"/>
      <c r="Q9" s="2016"/>
      <c r="R9" s="2016"/>
      <c r="S9" s="2016"/>
      <c r="T9" s="2016"/>
      <c r="U9" s="2016"/>
      <c r="V9" s="2016"/>
    </row>
    <row r="10" spans="1:22" ht="14.25">
      <c r="A10" s="3397" t="s">
        <v>309</v>
      </c>
      <c r="B10" s="3421">
        <v>15</v>
      </c>
      <c r="C10" s="3419"/>
      <c r="D10" s="3423"/>
      <c r="E10" s="255" t="s">
        <v>310</v>
      </c>
      <c r="F10" s="256"/>
      <c r="G10" s="256"/>
      <c r="H10" s="256"/>
      <c r="I10" s="257"/>
      <c r="J10" s="2017"/>
      <c r="K10" s="2016"/>
      <c r="L10" s="2016"/>
      <c r="M10" s="2016"/>
      <c r="N10" s="2016"/>
      <c r="O10" s="2016"/>
      <c r="P10" s="2016"/>
      <c r="Q10" s="2016"/>
      <c r="R10" s="2016"/>
      <c r="S10" s="2016"/>
      <c r="T10" s="2016"/>
      <c r="U10" s="2016"/>
      <c r="V10" s="2016"/>
    </row>
    <row r="11" spans="1:22" ht="14.25">
      <c r="A11" s="3397"/>
      <c r="B11" s="3421"/>
      <c r="C11" s="3420"/>
      <c r="D11" s="3423"/>
      <c r="E11" s="255" t="s">
        <v>311</v>
      </c>
      <c r="F11" s="256"/>
      <c r="G11" s="256"/>
      <c r="H11" s="256"/>
      <c r="I11" s="257"/>
      <c r="J11" s="2017"/>
      <c r="K11" s="2016"/>
      <c r="L11" s="2016"/>
      <c r="M11" s="2016"/>
      <c r="N11" s="2016"/>
      <c r="O11" s="2016"/>
      <c r="P11" s="2016"/>
      <c r="Q11" s="2016"/>
      <c r="R11" s="2016"/>
      <c r="S11" s="2016"/>
      <c r="T11" s="2016"/>
      <c r="U11" s="2016"/>
      <c r="V11" s="2016"/>
    </row>
    <row r="12" spans="1:22" ht="14.25">
      <c r="A12" s="3397" t="s">
        <v>312</v>
      </c>
      <c r="B12" s="3421">
        <v>15</v>
      </c>
      <c r="C12" s="3419"/>
      <c r="D12" s="3423"/>
      <c r="E12" s="255" t="s">
        <v>313</v>
      </c>
      <c r="F12" s="256"/>
      <c r="G12" s="256"/>
      <c r="H12" s="256"/>
      <c r="I12" s="257"/>
      <c r="J12" s="2017"/>
      <c r="K12" s="2016"/>
      <c r="L12" s="2016"/>
      <c r="M12" s="2016"/>
      <c r="N12" s="2016"/>
      <c r="O12" s="2016"/>
      <c r="P12" s="2016"/>
      <c r="Q12" s="2016"/>
      <c r="R12" s="2016"/>
      <c r="S12" s="2016"/>
      <c r="T12" s="2016"/>
      <c r="U12" s="2016"/>
      <c r="V12" s="2016"/>
    </row>
    <row r="13" spans="1:22" ht="14.25">
      <c r="A13" s="3397"/>
      <c r="B13" s="3421"/>
      <c r="C13" s="3420"/>
      <c r="D13" s="3423"/>
      <c r="E13" s="255" t="s">
        <v>314</v>
      </c>
      <c r="F13" s="256"/>
      <c r="G13" s="256"/>
      <c r="H13" s="256"/>
      <c r="I13" s="257"/>
      <c r="J13" s="2017"/>
      <c r="K13" s="2016"/>
      <c r="L13" s="2016"/>
      <c r="M13" s="2016"/>
      <c r="N13" s="2016"/>
      <c r="O13" s="2016"/>
      <c r="P13" s="2016"/>
      <c r="Q13" s="2016"/>
      <c r="R13" s="2016"/>
      <c r="S13" s="2016"/>
      <c r="T13" s="2016"/>
      <c r="U13" s="2016"/>
      <c r="V13" s="2016"/>
    </row>
    <row r="14" spans="1:22" ht="14.25">
      <c r="A14" s="3397" t="s">
        <v>315</v>
      </c>
      <c r="B14" s="3421">
        <v>30</v>
      </c>
      <c r="C14" s="3419">
        <v>5</v>
      </c>
      <c r="D14" s="3423">
        <v>5</v>
      </c>
      <c r="E14" s="255" t="s">
        <v>316</v>
      </c>
      <c r="F14" s="256"/>
      <c r="G14" s="256"/>
      <c r="H14" s="256"/>
      <c r="I14" s="257"/>
      <c r="J14" s="2017"/>
      <c r="K14" s="2016"/>
      <c r="L14" s="2016"/>
      <c r="M14" s="2016"/>
      <c r="N14" s="2016"/>
      <c r="O14" s="2016"/>
      <c r="P14" s="2016"/>
      <c r="Q14" s="2016"/>
      <c r="R14" s="2016"/>
      <c r="S14" s="2016"/>
      <c r="T14" s="2016"/>
      <c r="U14" s="2016"/>
      <c r="V14" s="2016"/>
    </row>
    <row r="15" spans="1:22" ht="14.25">
      <c r="A15" s="3397"/>
      <c r="B15" s="3421"/>
      <c r="C15" s="3422"/>
      <c r="D15" s="3423"/>
      <c r="E15" s="255" t="s">
        <v>317</v>
      </c>
      <c r="F15" s="256"/>
      <c r="G15" s="256"/>
      <c r="H15" s="256"/>
      <c r="I15" s="257"/>
      <c r="J15" s="2017"/>
      <c r="K15" s="2016"/>
      <c r="L15" s="2016"/>
      <c r="M15" s="2016"/>
      <c r="N15" s="2016"/>
      <c r="O15" s="2016"/>
      <c r="P15" s="2016"/>
      <c r="Q15" s="2016"/>
      <c r="R15" s="2016"/>
      <c r="S15" s="2016"/>
      <c r="T15" s="2016"/>
      <c r="U15" s="2016"/>
      <c r="V15" s="2016"/>
    </row>
    <row r="16" spans="1:22" ht="14.25">
      <c r="A16" s="3397"/>
      <c r="B16" s="3421"/>
      <c r="C16" s="3420"/>
      <c r="D16" s="3423"/>
      <c r="E16" s="255" t="s">
        <v>318</v>
      </c>
      <c r="F16" s="256"/>
      <c r="G16" s="256"/>
      <c r="H16" s="256"/>
      <c r="I16" s="257"/>
      <c r="J16" s="2017"/>
      <c r="K16" s="2016"/>
      <c r="L16" s="2016"/>
      <c r="M16" s="2016"/>
      <c r="N16" s="2016"/>
      <c r="O16" s="2016"/>
      <c r="P16" s="2016"/>
      <c r="Q16" s="2016"/>
      <c r="R16" s="2016"/>
      <c r="S16" s="2016"/>
      <c r="T16" s="2016"/>
      <c r="U16" s="2016"/>
      <c r="V16" s="2016"/>
    </row>
    <row r="17" spans="1:26" ht="15">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7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5">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5">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7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5"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03"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8">
      <c r="A25" s="3404"/>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8">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8">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8">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75"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75"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75" thickBot="1">
      <c r="A33" s="292" t="s">
        <v>339</v>
      </c>
      <c r="B33" s="1373" t="s">
        <v>1690</v>
      </c>
      <c r="C33" s="258">
        <f ca="1">ROUND(C32*10000/'数据-汇总表'!E3,0)</f>
        <v>14231</v>
      </c>
      <c r="D33" s="1374" t="s">
        <v>1691</v>
      </c>
      <c r="E33" s="3403"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75" thickBot="1">
      <c r="A34" s="294"/>
      <c r="B34" s="1375" t="s">
        <v>1692</v>
      </c>
      <c r="C34" s="258">
        <f ca="1">ROUND(C32*10000/'数据-汇总表'!D3,0)</f>
        <v>42665</v>
      </c>
      <c r="D34" s="1376" t="s">
        <v>1691</v>
      </c>
      <c r="E34" s="3442"/>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75" thickBot="1">
      <c r="A35" s="278"/>
      <c r="B35" s="1377"/>
      <c r="C35" s="1378">
        <f ca="1">ROUND(C32/('数据-汇总表'!D3/666.67),0)</f>
        <v>2844</v>
      </c>
      <c r="D35" s="1379" t="s">
        <v>1693</v>
      </c>
      <c r="E35" s="3443"/>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18"/>
      <c r="L37" s="3418"/>
      <c r="M37" s="1259"/>
      <c r="N37" s="3418"/>
      <c r="O37" s="3418"/>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61" t="str">
        <f>MID(A44,3,LEN(A44)-2)</f>
        <v>抵押价格</v>
      </c>
      <c r="L39" s="3462"/>
      <c r="M39" s="3462"/>
      <c r="N39" s="3463"/>
      <c r="O39" s="1381">
        <f ca="1">C44</f>
        <v>887821</v>
      </c>
      <c r="P39" s="2016"/>
      <c r="V39" s="2016"/>
    </row>
    <row r="40" spans="1:26" ht="19.5" thickBot="1">
      <c r="A40" s="103" t="s">
        <v>872</v>
      </c>
      <c r="B40" s="304"/>
      <c r="C40" s="304"/>
      <c r="D40" s="304"/>
      <c r="E40" s="304"/>
      <c r="F40" s="304"/>
      <c r="G40" s="304"/>
      <c r="H40" s="304"/>
      <c r="I40" s="304"/>
      <c r="J40" s="2018"/>
      <c r="K40" s="3461" t="str">
        <f t="shared" ref="K40:K41" si="0">MID(A45,3,LEN(A45)-2)</f>
        <v/>
      </c>
      <c r="L40" s="3462"/>
      <c r="M40" s="3462"/>
      <c r="N40" s="3463"/>
      <c r="O40" s="1381" t="str">
        <f>C45</f>
        <v>——</v>
      </c>
      <c r="P40" s="2016"/>
      <c r="V40" s="2016"/>
    </row>
    <row r="41" spans="1:26" ht="16.5" thickBot="1">
      <c r="A41" s="305" t="s">
        <v>355</v>
      </c>
      <c r="B41" s="306"/>
      <c r="C41" s="307" t="s">
        <v>356</v>
      </c>
      <c r="D41" s="308" t="s">
        <v>357</v>
      </c>
      <c r="E41" s="308" t="s">
        <v>358</v>
      </c>
      <c r="F41" s="309" t="s">
        <v>359</v>
      </c>
      <c r="G41" s="304"/>
      <c r="H41" s="304"/>
      <c r="I41" s="304"/>
      <c r="J41" s="2018"/>
      <c r="K41" s="3461" t="str">
        <f t="shared" si="0"/>
        <v>抵押净值</v>
      </c>
      <c r="L41" s="3462"/>
      <c r="M41" s="3462"/>
      <c r="N41" s="3463"/>
      <c r="O41" s="1381">
        <f ca="1">C46</f>
        <v>858492</v>
      </c>
      <c r="P41" s="2016"/>
      <c r="V41" s="2016"/>
    </row>
    <row r="42" spans="1:26" ht="29.25">
      <c r="A42" s="3405" t="s">
        <v>2068</v>
      </c>
      <c r="B42" s="3406"/>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16" t="s">
        <v>2730</v>
      </c>
      <c r="B43" s="3417"/>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75" thickBot="1">
      <c r="A44" s="3405" t="str">
        <f>IF(OR(项目基本情况!E8="抵押价格",项目基本情况!E8="已注销及未注销"),"3.抵押价格","——")</f>
        <v>3.抵押价格</v>
      </c>
      <c r="B44" s="3406"/>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5">
      <c r="A45" s="3411" t="str">
        <f>IF(项目基本情况!E8="已注销及未注销","4.抵押担保权已注销时的抵押价格",IF(项目基本情况!E8="已注销","3.抵押担保权已注销时的抵押价格","——"))</f>
        <v>——</v>
      </c>
      <c r="B45" s="3412"/>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5.75" thickBot="1">
      <c r="A46" s="3407" t="str">
        <f>IF(项目基本情况!E9="抵押净值",IF(A45="——","4.抵押净值","5.抵押净值"),"——")</f>
        <v>4.抵押净值</v>
      </c>
      <c r="B46" s="3408"/>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75">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2.75">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2.75">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2.75">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2.75">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2.75">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2.75">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2.75">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2.75">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2.75">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2.75">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2.75">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2.75">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8.75">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50" t="s">
        <v>373</v>
      </c>
      <c r="B63" s="3451"/>
      <c r="C63" s="3452"/>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13" t="s">
        <v>377</v>
      </c>
      <c r="B64" s="3414"/>
      <c r="C64" s="3414"/>
      <c r="D64" s="3414"/>
      <c r="E64" s="3414"/>
      <c r="F64" s="3414"/>
      <c r="G64" s="3415"/>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25.5">
      <c r="A66" s="3409" t="s">
        <v>385</v>
      </c>
      <c r="B66" s="3410"/>
      <c r="C66" s="3410"/>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65" t="s">
        <v>384</v>
      </c>
      <c r="M66" s="3466"/>
      <c r="N66" s="2470"/>
      <c r="O66" s="2471"/>
      <c r="P66" s="2472"/>
      <c r="Q66" s="2016"/>
      <c r="R66" s="2016"/>
      <c r="S66" s="2016"/>
      <c r="T66" s="2016"/>
      <c r="U66" s="2016"/>
      <c r="V66" s="2016"/>
    </row>
    <row r="67" spans="1:22" ht="25.5" customHeight="1">
      <c r="A67" s="345" t="s">
        <v>389</v>
      </c>
      <c r="B67" s="3400" t="s">
        <v>390</v>
      </c>
      <c r="C67" s="3400"/>
      <c r="D67" s="346">
        <v>0</v>
      </c>
      <c r="E67" s="40" t="s">
        <v>391</v>
      </c>
      <c r="F67" s="61" t="s">
        <v>21</v>
      </c>
      <c r="G67" s="3453"/>
      <c r="H67" s="304"/>
      <c r="I67" s="1284"/>
      <c r="J67" s="2023"/>
      <c r="K67" s="1964">
        <v>2</v>
      </c>
      <c r="L67" s="3464" t="s">
        <v>388</v>
      </c>
      <c r="M67" s="3464"/>
      <c r="N67" s="1317">
        <f>'数据-取费表'!B2</f>
        <v>43263</v>
      </c>
      <c r="O67" s="1317"/>
      <c r="P67" s="1317"/>
      <c r="Q67" s="2016"/>
      <c r="R67" s="2016"/>
      <c r="S67" s="2016"/>
      <c r="T67" s="2016"/>
      <c r="U67" s="2016"/>
      <c r="V67" s="2016"/>
    </row>
    <row r="68" spans="1:22" ht="25.5" customHeight="1">
      <c r="A68" s="347"/>
      <c r="B68" s="3400" t="s">
        <v>393</v>
      </c>
      <c r="C68" s="3400"/>
      <c r="D68" s="348"/>
      <c r="E68" s="76"/>
      <c r="F68" s="349"/>
      <c r="G68" s="3454"/>
      <c r="H68" s="304"/>
      <c r="I68" s="1284"/>
      <c r="J68" s="2023"/>
      <c r="K68" s="1964">
        <v>3</v>
      </c>
      <c r="L68" s="3464" t="s">
        <v>392</v>
      </c>
      <c r="M68" s="3464"/>
      <c r="N68" s="1285">
        <f ca="1">C42</f>
        <v>908034</v>
      </c>
      <c r="O68" s="1285"/>
      <c r="P68" s="1285"/>
      <c r="Q68" s="2016"/>
      <c r="R68" s="2016"/>
      <c r="S68" s="2016"/>
      <c r="T68" s="2016"/>
      <c r="U68" s="2016"/>
      <c r="V68" s="2016"/>
    </row>
    <row r="69" spans="1:22" ht="12" customHeight="1">
      <c r="A69" s="350"/>
      <c r="B69" s="3400" t="s">
        <v>394</v>
      </c>
      <c r="C69" s="3400"/>
      <c r="D69" s="351"/>
      <c r="E69" s="72"/>
      <c r="F69" s="349"/>
      <c r="G69" s="3455"/>
      <c r="H69" s="304"/>
      <c r="I69" s="1284"/>
      <c r="J69" s="2023"/>
      <c r="K69" s="1286">
        <v>4</v>
      </c>
      <c r="L69" s="3469" t="s">
        <v>2883</v>
      </c>
      <c r="M69" s="3470"/>
      <c r="N69" s="1287">
        <f ca="1">C44</f>
        <v>887821</v>
      </c>
      <c r="O69" s="1287"/>
      <c r="P69" s="1287"/>
      <c r="Q69" s="2016"/>
      <c r="R69" s="2016"/>
      <c r="S69" s="2016"/>
      <c r="T69" s="2016"/>
      <c r="U69" s="2016"/>
      <c r="V69" s="2016"/>
    </row>
    <row r="70" spans="1:22" ht="24" customHeight="1">
      <c r="A70" s="352" t="s">
        <v>395</v>
      </c>
      <c r="B70" s="3400" t="s">
        <v>396</v>
      </c>
      <c r="C70" s="3400"/>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01" t="s">
        <v>404</v>
      </c>
      <c r="C71" s="3402"/>
      <c r="D71" s="351">
        <f ca="1">ROUND(D63*'数据-取费表'!B41/(1+'数据-取费表'!C42),0)</f>
        <v>29057</v>
      </c>
      <c r="E71" s="17" t="s">
        <v>397</v>
      </c>
      <c r="F71" s="353">
        <f>'数据-取费表'!B41</f>
        <v>5.6000000000000001E-2</v>
      </c>
      <c r="G71" s="354"/>
      <c r="H71" s="304"/>
      <c r="I71" s="1284"/>
      <c r="J71" s="2023"/>
      <c r="K71" s="3059" t="s">
        <v>398</v>
      </c>
      <c r="L71" s="3471" t="s">
        <v>399</v>
      </c>
      <c r="M71" s="3471"/>
      <c r="N71" s="3059" t="s">
        <v>400</v>
      </c>
      <c r="O71" s="3059" t="s">
        <v>401</v>
      </c>
      <c r="P71" s="3059" t="s">
        <v>402</v>
      </c>
      <c r="Q71" s="2016"/>
      <c r="R71" s="2016"/>
      <c r="S71" s="2016"/>
      <c r="T71" s="2016"/>
      <c r="U71" s="2016"/>
      <c r="V71" s="2016"/>
    </row>
    <row r="72" spans="1:22" ht="12" customHeight="1">
      <c r="A72" s="352" t="s">
        <v>406</v>
      </c>
      <c r="B72" s="3401" t="s">
        <v>407</v>
      </c>
      <c r="C72" s="3402"/>
      <c r="D72" s="351">
        <f ca="1">C86</f>
        <v>28945</v>
      </c>
      <c r="E72" s="72" t="s">
        <v>408</v>
      </c>
      <c r="F72" s="353">
        <f>'数据-取费表'!B41</f>
        <v>5.6000000000000001E-2</v>
      </c>
      <c r="G72" s="354"/>
      <c r="H72" s="1290"/>
      <c r="I72" s="1284"/>
      <c r="J72" s="2023"/>
      <c r="K72" s="1964">
        <v>1</v>
      </c>
      <c r="L72" s="3446" t="s">
        <v>405</v>
      </c>
      <c r="M72" s="3446"/>
      <c r="N72" s="1288">
        <f ca="1">D66</f>
        <v>29057</v>
      </c>
      <c r="O72" s="1847" t="str">
        <f>E66</f>
        <v>销售额×税（费）率</v>
      </c>
      <c r="P72" s="1289">
        <f>F66</f>
        <v>5.6000000000000001E-2</v>
      </c>
      <c r="Q72" s="2016"/>
      <c r="R72" s="2016"/>
      <c r="S72" s="2016"/>
      <c r="T72" s="2016"/>
      <c r="U72" s="2016"/>
      <c r="V72" s="2016"/>
    </row>
    <row r="73" spans="1:22" ht="24" customHeight="1">
      <c r="A73" s="3440" t="s">
        <v>410</v>
      </c>
      <c r="B73" s="3410"/>
      <c r="C73" s="3410"/>
      <c r="D73" s="355">
        <f ca="1">IF(H73="个人住宅",0,ROUND(D63*I73,0))</f>
        <v>272</v>
      </c>
      <c r="E73" s="17" t="s">
        <v>411</v>
      </c>
      <c r="F73" s="353">
        <f>IF(H73="正常",I73,"免征")</f>
        <v>5.0000000000000001E-4</v>
      </c>
      <c r="G73" s="354"/>
      <c r="H73" s="189" t="s">
        <v>3066</v>
      </c>
      <c r="I73" s="353">
        <f>'数据-取费表'!B49</f>
        <v>5.0000000000000001E-4</v>
      </c>
      <c r="J73" s="2023"/>
      <c r="K73" s="1964">
        <v>2</v>
      </c>
      <c r="L73" s="3446" t="s">
        <v>409</v>
      </c>
      <c r="M73" s="3446"/>
      <c r="N73" s="1288">
        <f t="shared" ref="N73:P74" ca="1" si="1">D73</f>
        <v>272</v>
      </c>
      <c r="O73" s="1847" t="str">
        <f t="shared" si="1"/>
        <v>销售额×税（费）率</v>
      </c>
      <c r="P73" s="1289">
        <f t="shared" si="1"/>
        <v>5.0000000000000001E-4</v>
      </c>
      <c r="Q73" s="2016"/>
      <c r="R73" s="2016"/>
      <c r="S73" s="2016"/>
      <c r="T73" s="2016"/>
      <c r="U73" s="2016"/>
      <c r="V73" s="2016"/>
    </row>
    <row r="74" spans="1:22" ht="24.75">
      <c r="A74" s="3440" t="s">
        <v>414</v>
      </c>
      <c r="B74" s="3410"/>
      <c r="C74" s="3410"/>
      <c r="D74" s="355">
        <f ca="1">IF(H74="个人住宅",D75,D76)</f>
        <v>0</v>
      </c>
      <c r="E74" s="17" t="s">
        <v>415</v>
      </c>
      <c r="F74" s="353" t="str">
        <f>IF(H74="正常",F76,"免征")</f>
        <v>——</v>
      </c>
      <c r="G74" s="975" t="s">
        <v>416</v>
      </c>
      <c r="H74" s="356" t="s">
        <v>412</v>
      </c>
      <c r="I74" s="41"/>
      <c r="J74" s="2023"/>
      <c r="K74" s="1964">
        <v>3</v>
      </c>
      <c r="L74" s="3446" t="s">
        <v>413</v>
      </c>
      <c r="M74" s="3446"/>
      <c r="N74" s="1288">
        <f t="shared" ca="1" si="1"/>
        <v>0</v>
      </c>
      <c r="O74" s="1847" t="str">
        <f t="shared" si="1"/>
        <v>增值额×税（费）率</v>
      </c>
      <c r="P74" s="1291" t="str">
        <f t="shared" si="1"/>
        <v>——</v>
      </c>
      <c r="Q74" s="2016"/>
      <c r="R74" s="2016"/>
      <c r="S74" s="2016"/>
      <c r="T74" s="2016"/>
      <c r="U74" s="2016"/>
      <c r="V74" s="2016"/>
    </row>
    <row r="75" spans="1:22" ht="12.75">
      <c r="A75" s="352" t="s">
        <v>417</v>
      </c>
      <c r="B75" s="3398" t="s">
        <v>418</v>
      </c>
      <c r="C75" s="3426"/>
      <c r="D75" s="357">
        <v>0</v>
      </c>
      <c r="E75" s="40" t="s">
        <v>419</v>
      </c>
      <c r="F75" s="358"/>
      <c r="G75" s="354"/>
      <c r="H75" s="41"/>
      <c r="I75" s="41"/>
      <c r="J75" s="2023"/>
      <c r="K75" s="3052" t="str">
        <f>IF(H77="非个人房产","",4)</f>
        <v/>
      </c>
      <c r="L75" s="3446" t="str">
        <f>IF(H77="非个人房产","——","个人所得税")</f>
        <v>——</v>
      </c>
      <c r="M75" s="3446"/>
      <c r="N75" s="1292" t="str">
        <f>D77</f>
        <v>——</v>
      </c>
      <c r="O75" s="1860" t="str">
        <f>E77</f>
        <v>——</v>
      </c>
      <c r="P75" s="1293" t="str">
        <f>F77</f>
        <v>——</v>
      </c>
      <c r="Q75" s="2016"/>
      <c r="R75" s="2016"/>
      <c r="S75" s="2016"/>
      <c r="T75" s="2016"/>
      <c r="U75" s="2016"/>
      <c r="V75" s="2016"/>
    </row>
    <row r="76" spans="1:22" ht="24.75">
      <c r="A76" s="352" t="s">
        <v>395</v>
      </c>
      <c r="B76" s="3398" t="s">
        <v>421</v>
      </c>
      <c r="C76" s="3399"/>
      <c r="D76" s="355">
        <f ca="1">IF(H76="转让取得",C99,C115)</f>
        <v>0</v>
      </c>
      <c r="E76" s="17" t="s">
        <v>422</v>
      </c>
      <c r="F76" s="52" t="s">
        <v>21</v>
      </c>
      <c r="G76" s="354"/>
      <c r="H76" s="356" t="s">
        <v>423</v>
      </c>
      <c r="I76" s="41"/>
      <c r="J76" s="2023"/>
      <c r="K76" s="3052" t="str">
        <f>IF(项目基本情况!K6="上海银行",IF(K75="",4,K75+1),"")</f>
        <v/>
      </c>
      <c r="L76" s="3457" t="str">
        <f>IF(项目基本情况!K6="上海银行","其他处置费用","")</f>
        <v/>
      </c>
      <c r="M76" s="3458"/>
      <c r="N76" s="1288" t="str">
        <f>IF(项目基本情况!K6="上海银行",N89,"")</f>
        <v/>
      </c>
      <c r="O76" s="3459" t="str">
        <f>IF(项目基本情况!K6="上海银行","包含处置中涉及的律师、诉讼、拍卖、评估等费用","")</f>
        <v/>
      </c>
      <c r="P76" s="3460"/>
      <c r="Q76" s="2016"/>
      <c r="R76" s="2016"/>
      <c r="S76" s="2016"/>
      <c r="T76" s="2016"/>
      <c r="U76" s="2016"/>
      <c r="V76" s="2016"/>
    </row>
    <row r="77" spans="1:22" ht="24.75" thickBot="1">
      <c r="A77" s="3448" t="s">
        <v>425</v>
      </c>
      <c r="B77" s="3449"/>
      <c r="C77" s="3449"/>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47">
        <f>IF(AND(K75="",K76=""),4,IF(项目基本情况!K6="上海银行",K76+1,K75+1))</f>
        <v>4</v>
      </c>
      <c r="L77" s="3446"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47"/>
      <c r="L78" s="3446"/>
      <c r="M78" s="3058" t="s">
        <v>424</v>
      </c>
      <c r="N78" s="1294"/>
      <c r="O78" s="1295" t="str">
        <f ca="1">NUMBERSTRING(INT(O77*10000),2)&amp;"元整"</f>
        <v>贰亿玖仟叁佰贰拾玖万元整</v>
      </c>
      <c r="P78" s="1296"/>
      <c r="Q78" s="2016"/>
      <c r="R78" s="2016"/>
      <c r="S78" s="2016"/>
      <c r="T78" s="2016"/>
      <c r="U78" s="2016"/>
      <c r="V78" s="2016"/>
    </row>
    <row r="79" spans="1:22" ht="13.5" thickBot="1">
      <c r="A79" s="3441" t="s">
        <v>426</v>
      </c>
      <c r="B79" s="3441"/>
      <c r="C79" s="3441"/>
      <c r="D79" s="3441"/>
      <c r="E79" s="3441"/>
      <c r="F79" s="41"/>
      <c r="G79" s="41"/>
      <c r="H79" s="995"/>
      <c r="I79" s="304"/>
      <c r="J79" s="2023"/>
      <c r="K79" s="3467">
        <f>K77+1</f>
        <v>5</v>
      </c>
      <c r="L79" s="3446" t="s">
        <v>2885</v>
      </c>
      <c r="M79" s="3058" t="s">
        <v>420</v>
      </c>
      <c r="N79" s="1294"/>
      <c r="O79" s="1295">
        <f ca="1">N69-O77</f>
        <v>858492</v>
      </c>
      <c r="P79" s="1296"/>
      <c r="Q79" s="2016"/>
      <c r="R79" s="2016"/>
      <c r="S79" s="2016"/>
      <c r="T79" s="2016"/>
      <c r="U79" s="2016"/>
      <c r="V79" s="2016"/>
    </row>
    <row r="80" spans="1:22" ht="25.5">
      <c r="A80" s="3436" t="s">
        <v>427</v>
      </c>
      <c r="B80" s="3437"/>
      <c r="C80" s="986"/>
      <c r="D80" s="986" t="s">
        <v>428</v>
      </c>
      <c r="E80" s="363" t="s">
        <v>429</v>
      </c>
      <c r="F80" s="41"/>
      <c r="G80" s="41"/>
      <c r="H80" s="995"/>
      <c r="I80" s="304"/>
      <c r="J80" s="2016"/>
      <c r="K80" s="3468"/>
      <c r="L80" s="3446"/>
      <c r="M80" s="3058" t="s">
        <v>424</v>
      </c>
      <c r="N80" s="1294"/>
      <c r="O80" s="1295" t="str">
        <f ca="1">NUMBERSTRING(INT(O79*10000),2)&amp;"元整"</f>
        <v>捌拾伍亿捌仟肆佰玖拾贰万元整</v>
      </c>
      <c r="P80" s="1296"/>
      <c r="Q80" s="2016"/>
      <c r="R80" s="2016"/>
      <c r="S80" s="2016"/>
      <c r="T80" s="2016"/>
      <c r="U80" s="2016"/>
      <c r="V80" s="2016"/>
    </row>
    <row r="81" spans="1:26" ht="13.5" thickBot="1">
      <c r="A81" s="374" t="s">
        <v>1823</v>
      </c>
      <c r="B81" s="364" t="s">
        <v>430</v>
      </c>
      <c r="C81" s="365">
        <f ca="1">ROUND((C82+C83)/(1+'数据-取费表'!C42),0)</f>
        <v>518876</v>
      </c>
      <c r="D81" s="366"/>
      <c r="E81" s="367"/>
      <c r="F81" s="41"/>
      <c r="G81" s="41"/>
      <c r="H81" s="995"/>
      <c r="I81" s="304"/>
      <c r="J81" s="2016"/>
      <c r="K81" s="3052">
        <f>K79+1</f>
        <v>6</v>
      </c>
      <c r="L81" s="3444" t="s">
        <v>2886</v>
      </c>
      <c r="M81" s="3445"/>
      <c r="N81" s="1298"/>
      <c r="O81" s="1299">
        <f ca="1">ROUND(O79*10000/'数据-汇总表'!E3,0)</f>
        <v>13454</v>
      </c>
      <c r="P81" s="1300"/>
      <c r="Q81" s="2016"/>
      <c r="R81" s="2016"/>
      <c r="S81" s="2016"/>
      <c r="T81" s="2016"/>
      <c r="U81" s="2016"/>
      <c r="V81" s="2016"/>
    </row>
    <row r="82" spans="1:26" ht="13.5"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1"/>
      <c r="G83" s="41"/>
      <c r="H83" s="995"/>
      <c r="I83" s="304"/>
      <c r="J83" s="2016"/>
      <c r="K83" s="3456"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12.75">
      <c r="A84" s="374" t="s">
        <v>1826</v>
      </c>
      <c r="B84" s="375" t="s">
        <v>433</v>
      </c>
      <c r="C84" s="376">
        <v>2000</v>
      </c>
      <c r="D84" s="377" t="s">
        <v>19</v>
      </c>
      <c r="E84" s="3097" t="s">
        <v>2938</v>
      </c>
      <c r="F84" s="41"/>
      <c r="G84" s="41"/>
      <c r="H84" s="995"/>
      <c r="I84" s="304"/>
      <c r="J84" s="2016"/>
      <c r="K84" s="3456"/>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2.75">
      <c r="A85" s="374" t="s">
        <v>1827</v>
      </c>
      <c r="B85" s="375" t="s">
        <v>434</v>
      </c>
      <c r="C85" s="378">
        <f ca="1">C81-C84</f>
        <v>516876</v>
      </c>
      <c r="D85" s="371" t="s">
        <v>19</v>
      </c>
      <c r="E85" s="372"/>
      <c r="F85" s="41"/>
      <c r="G85" s="41"/>
      <c r="H85" s="995"/>
      <c r="I85" s="304"/>
      <c r="J85" s="2016"/>
      <c r="K85" s="3456"/>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5" thickBot="1">
      <c r="A86" s="379" t="s">
        <v>1828</v>
      </c>
      <c r="B86" s="380" t="s">
        <v>435</v>
      </c>
      <c r="C86" s="381">
        <f ca="1">IF(C85&lt;=0,0,ROUND(C85*D86,0))</f>
        <v>28945</v>
      </c>
      <c r="D86" s="382">
        <f>'数据-取费表'!B41</f>
        <v>5.6000000000000001E-2</v>
      </c>
      <c r="E86" s="383"/>
      <c r="F86" s="41"/>
      <c r="G86" s="41"/>
      <c r="H86" s="995"/>
      <c r="I86" s="304"/>
      <c r="J86" s="2016"/>
      <c r="K86" s="3456"/>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456"/>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5" thickBot="1">
      <c r="A88" s="3438" t="s">
        <v>436</v>
      </c>
      <c r="B88" s="3439"/>
      <c r="C88" s="3439"/>
      <c r="D88" s="3439"/>
      <c r="E88" s="3439"/>
      <c r="F88" s="3439"/>
      <c r="G88" s="3439"/>
      <c r="H88" s="3439"/>
      <c r="I88" s="1307"/>
      <c r="J88" s="2024"/>
      <c r="K88" s="3456"/>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4.25">
      <c r="A89" s="3436" t="s">
        <v>427</v>
      </c>
      <c r="B89" s="3437"/>
      <c r="C89" s="986"/>
      <c r="D89" s="986" t="s">
        <v>428</v>
      </c>
      <c r="E89" s="384" t="s">
        <v>437</v>
      </c>
      <c r="F89" s="385"/>
      <c r="G89" s="385"/>
      <c r="H89" s="386"/>
      <c r="I89" s="1308"/>
      <c r="J89" s="2026"/>
      <c r="K89" s="3456"/>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4.25">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4.25">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14.25">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01" t="s">
        <v>446</v>
      </c>
      <c r="F94" s="3400"/>
      <c r="G94" s="3400"/>
      <c r="H94" s="3435"/>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27" t="s">
        <v>2430</v>
      </c>
      <c r="F96" s="3428"/>
      <c r="G96" s="3428"/>
      <c r="H96" s="3429"/>
      <c r="I96" s="1309"/>
      <c r="J96" s="2027"/>
      <c r="K96" s="2021"/>
      <c r="L96" s="2021"/>
      <c r="M96" s="2021"/>
      <c r="N96" s="2021"/>
      <c r="O96" s="2021"/>
      <c r="P96" s="2021"/>
      <c r="Q96" s="2021"/>
      <c r="R96" s="2021"/>
      <c r="S96" s="2021"/>
      <c r="T96" s="2021"/>
      <c r="U96" s="2021"/>
      <c r="V96" s="2021"/>
      <c r="W96" s="2025"/>
      <c r="X96" s="2025"/>
      <c r="Y96" s="2025"/>
      <c r="Z96" s="2025"/>
    </row>
    <row r="97" spans="1:26" s="1306" customFormat="1" ht="14.25">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75"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5" thickBot="1">
      <c r="A101" s="3438" t="s">
        <v>453</v>
      </c>
      <c r="B101" s="3439"/>
      <c r="C101" s="3439"/>
      <c r="D101" s="3439"/>
      <c r="E101" s="3439"/>
      <c r="F101" s="3439"/>
      <c r="G101" s="3439"/>
      <c r="H101" s="3439"/>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4.25">
      <c r="A102" s="3436" t="s">
        <v>427</v>
      </c>
      <c r="B102" s="3437"/>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4.25">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4.25">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14.25">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14.25">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4.25">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4.25">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0" t="s">
        <v>461</v>
      </c>
      <c r="F109" s="3428"/>
      <c r="G109" s="3428"/>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0" t="s">
        <v>463</v>
      </c>
      <c r="F110" s="3428"/>
      <c r="G110" s="3428"/>
      <c r="H110" s="3429"/>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27" t="s">
        <v>2430</v>
      </c>
      <c r="F111" s="3428"/>
      <c r="G111" s="3428"/>
      <c r="H111" s="3429"/>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0" t="s">
        <v>2455</v>
      </c>
      <c r="F112" s="3428"/>
      <c r="G112" s="3428"/>
      <c r="H112" s="3429"/>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4.25">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75"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3" customWidth="1"/>
    <col min="2" max="2" width="10.62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c r="A38" s="1644"/>
      <c r="B38" s="1644"/>
    </row>
    <row r="39" spans="1:9">
      <c r="A39" s="1642" t="s">
        <v>1901</v>
      </c>
      <c r="B39" s="1642" t="s">
        <v>2047</v>
      </c>
    </row>
    <row r="40" spans="1:9">
      <c r="A40" s="1642"/>
      <c r="B40" s="1642" t="str">
        <f>项目基本情况!B5</f>
        <v>北京景西房地产开发有限公司</v>
      </c>
    </row>
    <row r="41" spans="1:9">
      <c r="A41" s="1642"/>
      <c r="B41" s="1642"/>
    </row>
    <row r="42" spans="1:9">
      <c r="A42" s="1642" t="s">
        <v>1901</v>
      </c>
      <c r="B42" s="1642" t="s">
        <v>2048</v>
      </c>
    </row>
    <row r="43" spans="1:9">
      <c r="A43" s="1642"/>
      <c r="B43" s="1642" t="s">
        <v>1903</v>
      </c>
    </row>
    <row r="44" spans="1:9">
      <c r="A44" s="1642"/>
      <c r="B44" s="1642"/>
    </row>
    <row r="45" spans="1:9">
      <c r="A45" s="1642" t="s">
        <v>1901</v>
      </c>
      <c r="B45" s="1642" t="s">
        <v>2046</v>
      </c>
    </row>
    <row r="46" spans="1:9" s="1642" customFormat="1" ht="12.75">
      <c r="B46" s="1642" t="str">
        <f>项目基本情况!K4</f>
        <v>欧红伟、崔锴</v>
      </c>
    </row>
    <row r="47" spans="1:9">
      <c r="A47" s="1642"/>
      <c r="B47" s="1642"/>
    </row>
    <row r="48" spans="1:9">
      <c r="A48" s="1642" t="s">
        <v>1901</v>
      </c>
      <c r="B48" s="1642" t="s">
        <v>2049</v>
      </c>
    </row>
    <row r="49" spans="2:2">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4.25"/>
  <cols>
    <col min="1" max="2" width="15.625" style="1329" customWidth="1"/>
    <col min="3" max="3" width="17.5" style="1329" customWidth="1"/>
    <col min="4" max="4" width="12.125" style="1329" customWidth="1"/>
    <col min="5" max="5" width="16.125" style="1329" customWidth="1"/>
    <col min="6" max="6" width="12.125" style="1329" customWidth="1"/>
    <col min="7" max="7" width="15.625" style="1329" customWidth="1"/>
    <col min="8" max="8" width="12.125" style="1329" customWidth="1"/>
    <col min="9" max="9" width="15.62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0.25">
      <c r="A6" s="505" t="s">
        <v>520</v>
      </c>
      <c r="B6" s="506"/>
      <c r="C6" s="3481" t="s">
        <v>521</v>
      </c>
      <c r="D6" s="3482"/>
      <c r="E6" s="3481" t="s">
        <v>522</v>
      </c>
      <c r="F6" s="3482"/>
      <c r="G6" s="3481" t="s">
        <v>523</v>
      </c>
      <c r="H6" s="3482"/>
      <c r="I6" s="3481" t="s">
        <v>524</v>
      </c>
      <c r="J6" s="3482"/>
      <c r="K6" s="507" t="s">
        <v>525</v>
      </c>
      <c r="L6" s="2121"/>
      <c r="M6" s="2120"/>
      <c r="N6" s="2120"/>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30" ht="27.4" customHeight="1">
      <c r="A7" s="508"/>
      <c r="B7" s="509"/>
      <c r="C7" s="3499" t="str">
        <f>项目基本情况!F10</f>
        <v>石景山区五里坨建设组团一1601-029地块等R2二类居住用地</v>
      </c>
      <c r="D7" s="3498"/>
      <c r="E7" s="3497" t="str">
        <f>案例!A7</f>
        <v>北京市石景山区五里坨建设组团二1601-053地块等F3其他类多功能用地、R2二类居住用地、A334基础教育用地</v>
      </c>
      <c r="F7" s="3498"/>
      <c r="G7" s="3497" t="str">
        <f>案例!A12</f>
        <v>房山区青龙湖镇东部局部FS16-0201-0012等地块二类居住及基础教育用地</v>
      </c>
      <c r="H7" s="3498"/>
      <c r="I7" s="3497" t="str">
        <f>案例!A18</f>
        <v>门头沟区潭柘寺镇MC01-0003-6009、6008、0057、0086、0120、6016、6015地块</v>
      </c>
      <c r="J7" s="3498"/>
      <c r="K7" s="507"/>
      <c r="L7" s="2121"/>
      <c r="M7" s="2120"/>
      <c r="N7" s="2120"/>
      <c r="O7" s="2122"/>
      <c r="P7" s="3485"/>
      <c r="Q7" s="3486"/>
      <c r="R7" s="3491"/>
      <c r="S7" s="3492"/>
      <c r="T7" s="3491"/>
      <c r="U7" s="3492"/>
      <c r="V7" s="3476"/>
      <c r="W7" s="3476"/>
      <c r="X7" s="1555"/>
      <c r="Y7" s="3491"/>
      <c r="Z7" s="3492"/>
      <c r="AA7" s="3479"/>
      <c r="AB7" s="3479"/>
      <c r="AC7" s="3479"/>
    </row>
    <row r="8" spans="1:30" ht="21" thickBot="1">
      <c r="A8" s="508"/>
      <c r="B8" s="509"/>
      <c r="C8" s="3500" t="s">
        <v>3065</v>
      </c>
      <c r="D8" s="3501"/>
      <c r="E8" s="3500" t="s">
        <v>3130</v>
      </c>
      <c r="F8" s="3501"/>
      <c r="G8" s="3495" t="s">
        <v>3369</v>
      </c>
      <c r="H8" s="3496"/>
      <c r="I8" s="3495" t="s">
        <v>3368</v>
      </c>
      <c r="J8" s="3496"/>
      <c r="K8" s="507" t="s">
        <v>527</v>
      </c>
      <c r="L8" s="2121"/>
      <c r="M8" s="2120"/>
      <c r="N8" s="2120"/>
      <c r="O8" s="2122"/>
      <c r="P8" s="3487"/>
      <c r="Q8" s="3488"/>
      <c r="R8" s="3491"/>
      <c r="S8" s="3492"/>
      <c r="T8" s="3493"/>
      <c r="U8" s="3494"/>
      <c r="V8" s="3476"/>
      <c r="W8" s="3476"/>
      <c r="X8" s="1555"/>
      <c r="Y8" s="3493"/>
      <c r="Z8" s="3494"/>
      <c r="AA8" s="3480"/>
      <c r="AB8" s="3480"/>
      <c r="AC8" s="3480"/>
    </row>
    <row r="9" spans="1:30" s="1212" customFormat="1" ht="21"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507" t="s">
        <v>529</v>
      </c>
      <c r="Q9" s="3509"/>
      <c r="R9" s="1556" t="s">
        <v>8</v>
      </c>
      <c r="S9" s="1557">
        <f t="shared" ref="S9:S17" si="0">F9</f>
        <v>97</v>
      </c>
      <c r="T9" s="1556" t="s">
        <v>8</v>
      </c>
      <c r="U9" s="1557">
        <f t="shared" ref="U9:U17" si="1">H9</f>
        <v>94</v>
      </c>
      <c r="V9" s="1556" t="s">
        <v>8</v>
      </c>
      <c r="W9" s="1557">
        <f t="shared" ref="W9:W17" si="2">J9</f>
        <v>92.5</v>
      </c>
      <c r="X9" s="1558"/>
      <c r="Y9" s="3507" t="s">
        <v>529</v>
      </c>
      <c r="Z9" s="3508"/>
      <c r="AA9" s="1559">
        <f>D9/F9</f>
        <v>1.0309278350515463</v>
      </c>
      <c r="AB9" s="1559">
        <f>D9/H9</f>
        <v>1.0638297872340425</v>
      </c>
      <c r="AC9" s="1559">
        <f>D9/J9</f>
        <v>1.0810810810810811</v>
      </c>
    </row>
    <row r="10" spans="1:30" s="1212" customFormat="1" ht="21"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507" t="s">
        <v>532</v>
      </c>
      <c r="Q10" s="3508"/>
      <c r="R10" s="1556" t="s">
        <v>8</v>
      </c>
      <c r="S10" s="1557">
        <f t="shared" si="0"/>
        <v>100</v>
      </c>
      <c r="T10" s="1556" t="s">
        <v>8</v>
      </c>
      <c r="U10" s="1557">
        <f t="shared" si="1"/>
        <v>100</v>
      </c>
      <c r="V10" s="1556" t="s">
        <v>8</v>
      </c>
      <c r="W10" s="1557">
        <f t="shared" si="2"/>
        <v>100</v>
      </c>
      <c r="X10" s="1558"/>
      <c r="Y10" s="3507" t="s">
        <v>532</v>
      </c>
      <c r="Z10" s="3508"/>
      <c r="AA10" s="1559">
        <f t="shared" ref="AA10:AA47" si="3">D10/F10</f>
        <v>1</v>
      </c>
      <c r="AB10" s="1559">
        <f t="shared" ref="AB10:AB47" si="4">D10/H10</f>
        <v>1</v>
      </c>
      <c r="AC10" s="1559">
        <f t="shared" ref="AC10:AC47" si="5">D10/J10</f>
        <v>1</v>
      </c>
    </row>
    <row r="11" spans="1:30" s="1212" customFormat="1" ht="20.25">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75" t="s">
        <v>534</v>
      </c>
      <c r="Q11" s="1143" t="str">
        <f t="shared" ref="Q11:Q17" si="6">B11</f>
        <v>用途</v>
      </c>
      <c r="R11" s="1556" t="s">
        <v>8</v>
      </c>
      <c r="S11" s="1557">
        <f t="shared" si="0"/>
        <v>100</v>
      </c>
      <c r="T11" s="1556" t="s">
        <v>8</v>
      </c>
      <c r="U11" s="1557">
        <f t="shared" si="1"/>
        <v>102</v>
      </c>
      <c r="V11" s="1556" t="s">
        <v>8</v>
      </c>
      <c r="W11" s="1557">
        <f t="shared" si="2"/>
        <v>100</v>
      </c>
      <c r="X11" s="1558"/>
      <c r="Y11" s="3421" t="s">
        <v>535</v>
      </c>
      <c r="Z11" s="1142" t="str">
        <f t="shared" ref="Z11:Z17" si="7">Q11</f>
        <v>用途</v>
      </c>
      <c r="AA11" s="1559">
        <f t="shared" si="3"/>
        <v>1</v>
      </c>
      <c r="AB11" s="1559">
        <f t="shared" si="4"/>
        <v>0.98039215686274506</v>
      </c>
      <c r="AC11" s="1559">
        <f t="shared" si="5"/>
        <v>1</v>
      </c>
    </row>
    <row r="12" spans="1:30" s="1330" customFormat="1" ht="27">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30" ht="20.25">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75"/>
      <c r="Q13" s="1143" t="str">
        <f t="shared" si="6"/>
        <v>容积率</v>
      </c>
      <c r="R13" s="1556" t="s">
        <v>8</v>
      </c>
      <c r="S13" s="1557">
        <f t="shared" si="0"/>
        <v>100</v>
      </c>
      <c r="T13" s="1556" t="s">
        <v>8</v>
      </c>
      <c r="U13" s="1557">
        <f t="shared" si="1"/>
        <v>100</v>
      </c>
      <c r="V13" s="1556" t="s">
        <v>8</v>
      </c>
      <c r="W13" s="1557">
        <f t="shared" si="2"/>
        <v>100</v>
      </c>
      <c r="X13" s="1558"/>
      <c r="Y13" s="3421"/>
      <c r="Z13" s="1142" t="str">
        <f t="shared" si="7"/>
        <v>容积率</v>
      </c>
      <c r="AA13" s="1559">
        <f t="shared" si="3"/>
        <v>1</v>
      </c>
      <c r="AB13" s="1559">
        <f t="shared" si="4"/>
        <v>1</v>
      </c>
      <c r="AC13" s="1559">
        <f t="shared" si="5"/>
        <v>1</v>
      </c>
    </row>
    <row r="14" spans="1:30" s="1212" customFormat="1" ht="27">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75"/>
      <c r="Q14" s="1143" t="str">
        <f t="shared" si="6"/>
        <v>配建</v>
      </c>
      <c r="R14" s="1556" t="s">
        <v>8</v>
      </c>
      <c r="S14" s="1557">
        <f t="shared" si="0"/>
        <v>97</v>
      </c>
      <c r="T14" s="1556" t="s">
        <v>8</v>
      </c>
      <c r="U14" s="1557">
        <f t="shared" si="1"/>
        <v>103</v>
      </c>
      <c r="V14" s="1556" t="s">
        <v>8</v>
      </c>
      <c r="W14" s="1557">
        <f t="shared" si="2"/>
        <v>103</v>
      </c>
      <c r="X14" s="1558"/>
      <c r="Y14" s="3421"/>
      <c r="Z14" s="1142" t="str">
        <f t="shared" si="7"/>
        <v>配建</v>
      </c>
      <c r="AA14" s="1559">
        <f>D14/F14</f>
        <v>1.0309278350515463</v>
      </c>
      <c r="AB14" s="1559">
        <f>D14/H14</f>
        <v>0.970873786407767</v>
      </c>
      <c r="AC14" s="1559">
        <f>D14/J14</f>
        <v>0.970873786407767</v>
      </c>
    </row>
    <row r="15" spans="1:30" ht="20.25">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75"/>
      <c r="Q15" s="1143" t="str">
        <f t="shared" si="6"/>
        <v>是否限价</v>
      </c>
      <c r="R15" s="1556" t="s">
        <v>8</v>
      </c>
      <c r="S15" s="1557">
        <f t="shared" si="0"/>
        <v>100</v>
      </c>
      <c r="T15" s="1556" t="s">
        <v>8</v>
      </c>
      <c r="U15" s="1557">
        <f t="shared" si="1"/>
        <v>100</v>
      </c>
      <c r="V15" s="1556" t="s">
        <v>8</v>
      </c>
      <c r="W15" s="1557">
        <f t="shared" si="2"/>
        <v>100</v>
      </c>
      <c r="X15" s="1558"/>
      <c r="Y15" s="3421"/>
      <c r="Z15" s="1142" t="str">
        <f t="shared" si="7"/>
        <v>是否限价</v>
      </c>
      <c r="AA15" s="1559">
        <f>D15/F15</f>
        <v>1</v>
      </c>
      <c r="AB15" s="1559">
        <f>D15/H15</f>
        <v>1</v>
      </c>
      <c r="AC15" s="1559">
        <f>D15/J15</f>
        <v>1</v>
      </c>
    </row>
    <row r="16" spans="1:30" ht="21"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75"/>
      <c r="Q16" s="1143">
        <f t="shared" si="6"/>
        <v>0</v>
      </c>
      <c r="R16" s="1556" t="s">
        <v>8</v>
      </c>
      <c r="S16" s="1557">
        <f t="shared" si="0"/>
        <v>100</v>
      </c>
      <c r="T16" s="1556" t="s">
        <v>8</v>
      </c>
      <c r="U16" s="1557">
        <f t="shared" si="1"/>
        <v>100</v>
      </c>
      <c r="V16" s="1556" t="s">
        <v>8</v>
      </c>
      <c r="W16" s="1557">
        <f t="shared" si="2"/>
        <v>100</v>
      </c>
      <c r="X16" s="1558"/>
      <c r="Y16" s="3421"/>
      <c r="Z16" s="1142">
        <f t="shared" si="7"/>
        <v>0</v>
      </c>
      <c r="AA16" s="1559">
        <f>D16/F16</f>
        <v>1</v>
      </c>
      <c r="AB16" s="1559">
        <f>D16/H16</f>
        <v>1</v>
      </c>
      <c r="AC16" s="1559">
        <f>D16/J16</f>
        <v>1</v>
      </c>
    </row>
    <row r="17" spans="1:29" ht="20.25">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510" t="s">
        <v>539</v>
      </c>
      <c r="Q17" s="1560" t="str">
        <f t="shared" si="6"/>
        <v>居住社区成熟度</v>
      </c>
      <c r="R17" s="1561" t="s">
        <v>8</v>
      </c>
      <c r="S17" s="1562">
        <f t="shared" si="0"/>
        <v>100</v>
      </c>
      <c r="T17" s="1561" t="s">
        <v>8</v>
      </c>
      <c r="U17" s="1562">
        <f t="shared" si="1"/>
        <v>100</v>
      </c>
      <c r="V17" s="1561" t="s">
        <v>8</v>
      </c>
      <c r="W17" s="1562">
        <f t="shared" si="2"/>
        <v>100</v>
      </c>
      <c r="X17" s="1555"/>
      <c r="Y17" s="3510" t="s">
        <v>539</v>
      </c>
      <c r="Z17" s="1563" t="str">
        <f t="shared" si="7"/>
        <v>居住社区成熟度</v>
      </c>
      <c r="AA17" s="1564">
        <f t="shared" si="3"/>
        <v>1</v>
      </c>
      <c r="AB17" s="1564">
        <f t="shared" si="4"/>
        <v>1</v>
      </c>
      <c r="AC17" s="1564">
        <f t="shared" si="5"/>
        <v>1</v>
      </c>
    </row>
    <row r="18" spans="1:29" ht="20.25">
      <c r="A18" s="525"/>
      <c r="B18" s="546"/>
      <c r="C18" s="547" t="s">
        <v>3057</v>
      </c>
      <c r="D18" s="550"/>
      <c r="E18" s="547" t="s">
        <v>3057</v>
      </c>
      <c r="F18" s="548"/>
      <c r="G18" s="547" t="s">
        <v>3057</v>
      </c>
      <c r="H18" s="552"/>
      <c r="I18" s="547" t="s">
        <v>3057</v>
      </c>
      <c r="J18" s="548"/>
      <c r="K18" s="524"/>
      <c r="L18" s="2130"/>
      <c r="M18" s="2120"/>
      <c r="N18" s="2120"/>
      <c r="O18" s="2129"/>
      <c r="P18" s="3511"/>
      <c r="Q18" s="1560"/>
      <c r="R18" s="1561"/>
      <c r="S18" s="1562"/>
      <c r="T18" s="1561"/>
      <c r="U18" s="1562"/>
      <c r="V18" s="1561"/>
      <c r="W18" s="1562"/>
      <c r="X18" s="1555"/>
      <c r="Y18" s="3511"/>
      <c r="Z18" s="1563"/>
      <c r="AA18" s="1564">
        <v>1</v>
      </c>
      <c r="AB18" s="1564">
        <v>1</v>
      </c>
      <c r="AC18" s="1564">
        <v>1</v>
      </c>
    </row>
    <row r="19" spans="1:29" ht="20.25">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511"/>
      <c r="Q19" s="1560" t="str">
        <f>B19</f>
        <v>商业繁华度</v>
      </c>
      <c r="R19" s="1561" t="s">
        <v>8</v>
      </c>
      <c r="S19" s="1562">
        <f>F19</f>
        <v>100</v>
      </c>
      <c r="T19" s="1561" t="s">
        <v>8</v>
      </c>
      <c r="U19" s="1562">
        <f>H19</f>
        <v>100</v>
      </c>
      <c r="V19" s="1561" t="s">
        <v>8</v>
      </c>
      <c r="W19" s="1562">
        <f>J19</f>
        <v>100</v>
      </c>
      <c r="X19" s="1555"/>
      <c r="Y19" s="3511"/>
      <c r="Z19" s="1563" t="str">
        <f>Q19</f>
        <v>商业繁华度</v>
      </c>
      <c r="AA19" s="1564">
        <f t="shared" si="3"/>
        <v>1</v>
      </c>
      <c r="AB19" s="1564">
        <f t="shared" si="4"/>
        <v>1</v>
      </c>
      <c r="AC19" s="1564">
        <f t="shared" si="5"/>
        <v>1</v>
      </c>
    </row>
    <row r="20" spans="1:29" ht="20.25">
      <c r="A20" s="525"/>
      <c r="B20" s="559"/>
      <c r="C20" s="560" t="s">
        <v>3086</v>
      </c>
      <c r="D20" s="556"/>
      <c r="E20" s="562" t="s">
        <v>3086</v>
      </c>
      <c r="F20" s="552"/>
      <c r="G20" s="562" t="s">
        <v>3086</v>
      </c>
      <c r="H20" s="548"/>
      <c r="I20" s="562" t="s">
        <v>3086</v>
      </c>
      <c r="J20" s="548"/>
      <c r="K20" s="524"/>
      <c r="L20" s="2130"/>
      <c r="M20" s="2120"/>
      <c r="N20" s="2120"/>
      <c r="O20" s="2129"/>
      <c r="P20" s="3511"/>
      <c r="Q20" s="1560"/>
      <c r="R20" s="1561"/>
      <c r="S20" s="1562"/>
      <c r="T20" s="1561"/>
      <c r="U20" s="1562"/>
      <c r="V20" s="1561"/>
      <c r="W20" s="1562"/>
      <c r="X20" s="1555"/>
      <c r="Y20" s="3511"/>
      <c r="Z20" s="1563"/>
      <c r="AA20" s="1564">
        <v>1</v>
      </c>
      <c r="AB20" s="1564">
        <v>1</v>
      </c>
      <c r="AC20" s="1564">
        <v>1</v>
      </c>
    </row>
    <row r="21" spans="1:29" ht="20.25">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511"/>
      <c r="Q21" s="1560" t="str">
        <f>B21</f>
        <v>办公集聚程度</v>
      </c>
      <c r="R21" s="1561" t="s">
        <v>8</v>
      </c>
      <c r="S21" s="1562">
        <f>F21</f>
        <v>100</v>
      </c>
      <c r="T21" s="1561" t="s">
        <v>8</v>
      </c>
      <c r="U21" s="1562">
        <f>H21</f>
        <v>100</v>
      </c>
      <c r="V21" s="1561" t="s">
        <v>8</v>
      </c>
      <c r="W21" s="1562">
        <f>J21</f>
        <v>100</v>
      </c>
      <c r="X21" s="1555"/>
      <c r="Y21" s="3511"/>
      <c r="Z21" s="1563" t="str">
        <f>Q21</f>
        <v>办公集聚程度</v>
      </c>
      <c r="AA21" s="1564">
        <f t="shared" si="3"/>
        <v>1</v>
      </c>
      <c r="AB21" s="1564">
        <f t="shared" si="4"/>
        <v>1</v>
      </c>
      <c r="AC21" s="1564">
        <f t="shared" si="5"/>
        <v>1</v>
      </c>
    </row>
    <row r="22" spans="1:29" ht="20.25">
      <c r="A22" s="525"/>
      <c r="B22" s="559"/>
      <c r="C22" s="547" t="s">
        <v>3086</v>
      </c>
      <c r="D22" s="550"/>
      <c r="E22" s="562" t="s">
        <v>3086</v>
      </c>
      <c r="F22" s="548"/>
      <c r="G22" s="562" t="s">
        <v>3086</v>
      </c>
      <c r="H22" s="548"/>
      <c r="I22" s="562" t="s">
        <v>3086</v>
      </c>
      <c r="J22" s="548"/>
      <c r="K22" s="524"/>
      <c r="L22" s="2130"/>
      <c r="M22" s="2120"/>
      <c r="N22" s="2120"/>
      <c r="O22" s="2129"/>
      <c r="P22" s="3511"/>
      <c r="Q22" s="1560"/>
      <c r="R22" s="1561"/>
      <c r="S22" s="1562"/>
      <c r="T22" s="1561"/>
      <c r="U22" s="1562"/>
      <c r="V22" s="1561"/>
      <c r="W22" s="1562"/>
      <c r="X22" s="1555"/>
      <c r="Y22" s="3511"/>
      <c r="Z22" s="1563"/>
      <c r="AA22" s="1564">
        <v>1</v>
      </c>
      <c r="AB22" s="1564">
        <v>1</v>
      </c>
      <c r="AC22" s="1564">
        <v>1</v>
      </c>
    </row>
    <row r="23" spans="1:29" ht="20.25">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511"/>
      <c r="Q23" s="1560" t="str">
        <f>B23</f>
        <v>交通便捷度</v>
      </c>
      <c r="R23" s="1561" t="s">
        <v>8</v>
      </c>
      <c r="S23" s="1562">
        <f>F23</f>
        <v>100</v>
      </c>
      <c r="T23" s="1561" t="s">
        <v>8</v>
      </c>
      <c r="U23" s="1562">
        <f>H23</f>
        <v>100</v>
      </c>
      <c r="V23" s="1561" t="s">
        <v>8</v>
      </c>
      <c r="W23" s="1562">
        <f>J23</f>
        <v>100</v>
      </c>
      <c r="X23" s="1555"/>
      <c r="Y23" s="3511"/>
      <c r="Z23" s="1563" t="str">
        <f>Q23</f>
        <v>交通便捷度</v>
      </c>
      <c r="AA23" s="1564">
        <f t="shared" si="3"/>
        <v>1</v>
      </c>
      <c r="AB23" s="1564">
        <f t="shared" si="4"/>
        <v>1</v>
      </c>
      <c r="AC23" s="1564">
        <f t="shared" si="5"/>
        <v>1</v>
      </c>
    </row>
    <row r="24" spans="1:29" ht="20.25">
      <c r="A24" s="525"/>
      <c r="B24" s="571"/>
      <c r="C24" s="547" t="s">
        <v>3057</v>
      </c>
      <c r="D24" s="550"/>
      <c r="E24" s="547" t="s">
        <v>3057</v>
      </c>
      <c r="F24" s="548"/>
      <c r="G24" s="547" t="s">
        <v>3057</v>
      </c>
      <c r="H24" s="548"/>
      <c r="I24" s="547" t="s">
        <v>3057</v>
      </c>
      <c r="J24" s="548"/>
      <c r="K24" s="524"/>
      <c r="L24" s="2130"/>
      <c r="M24" s="2120"/>
      <c r="N24" s="2120"/>
      <c r="O24" s="2129"/>
      <c r="P24" s="3511"/>
      <c r="Q24" s="1560"/>
      <c r="R24" s="1561"/>
      <c r="S24" s="1562"/>
      <c r="T24" s="1561"/>
      <c r="U24" s="1562"/>
      <c r="V24" s="1561"/>
      <c r="W24" s="1562"/>
      <c r="X24" s="1555"/>
      <c r="Y24" s="3511"/>
      <c r="Z24" s="1563"/>
      <c r="AA24" s="1564">
        <v>1</v>
      </c>
      <c r="AB24" s="1564">
        <v>1</v>
      </c>
      <c r="AC24" s="1564">
        <v>1</v>
      </c>
    </row>
    <row r="25" spans="1:29" ht="20.25">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511"/>
      <c r="Q25" s="1560" t="str">
        <f t="shared" ref="Q25:Q39" si="8">B25</f>
        <v>区域土地利用方向</v>
      </c>
      <c r="R25" s="1561" t="s">
        <v>8</v>
      </c>
      <c r="S25" s="1562">
        <f>F25</f>
        <v>100</v>
      </c>
      <c r="T25" s="1561" t="s">
        <v>8</v>
      </c>
      <c r="U25" s="1562">
        <f>H25</f>
        <v>100</v>
      </c>
      <c r="V25" s="1561" t="s">
        <v>8</v>
      </c>
      <c r="W25" s="1562">
        <f>J25</f>
        <v>100</v>
      </c>
      <c r="X25" s="1555"/>
      <c r="Y25" s="3511"/>
      <c r="Z25" s="1563" t="str">
        <f>Q25</f>
        <v>区域土地利用方向</v>
      </c>
      <c r="AA25" s="1564">
        <f t="shared" si="3"/>
        <v>1</v>
      </c>
      <c r="AB25" s="1564">
        <f t="shared" si="4"/>
        <v>1</v>
      </c>
      <c r="AC25" s="1564">
        <f t="shared" si="5"/>
        <v>1</v>
      </c>
    </row>
    <row r="26" spans="1:29" ht="20.25">
      <c r="A26" s="508"/>
      <c r="B26" s="999"/>
      <c r="C26" s="547" t="s">
        <v>3059</v>
      </c>
      <c r="D26" s="550"/>
      <c r="E26" s="547" t="s">
        <v>3059</v>
      </c>
      <c r="F26" s="548"/>
      <c r="G26" s="547" t="s">
        <v>3059</v>
      </c>
      <c r="H26" s="548"/>
      <c r="I26" s="547" t="s">
        <v>3059</v>
      </c>
      <c r="J26" s="548"/>
      <c r="K26" s="524"/>
      <c r="L26" s="2130"/>
      <c r="M26" s="2120"/>
      <c r="N26" s="2120"/>
      <c r="O26" s="2129"/>
      <c r="P26" s="3511"/>
      <c r="Q26" s="1560"/>
      <c r="R26" s="1561"/>
      <c r="S26" s="1562"/>
      <c r="T26" s="1561"/>
      <c r="U26" s="1562"/>
      <c r="V26" s="1561"/>
      <c r="W26" s="1562"/>
      <c r="X26" s="1555"/>
      <c r="Y26" s="3511"/>
      <c r="Z26" s="1563"/>
      <c r="AA26" s="1564"/>
      <c r="AB26" s="1564"/>
      <c r="AC26" s="1564"/>
    </row>
    <row r="27" spans="1:29" ht="27">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511"/>
      <c r="Q27" s="1560" t="str">
        <f t="shared" si="8"/>
        <v>自然及人文环境状况</v>
      </c>
      <c r="R27" s="1561" t="s">
        <v>8</v>
      </c>
      <c r="S27" s="1562">
        <f>F27</f>
        <v>100</v>
      </c>
      <c r="T27" s="1561" t="s">
        <v>8</v>
      </c>
      <c r="U27" s="1562">
        <f>H27</f>
        <v>102</v>
      </c>
      <c r="V27" s="1561" t="s">
        <v>8</v>
      </c>
      <c r="W27" s="1562">
        <f>J27</f>
        <v>100</v>
      </c>
      <c r="X27" s="1555"/>
      <c r="Y27" s="3511"/>
      <c r="Z27" s="1563" t="str">
        <f>Q27</f>
        <v>自然及人文环境状况</v>
      </c>
      <c r="AA27" s="1564">
        <f t="shared" si="3"/>
        <v>1</v>
      </c>
      <c r="AB27" s="1564">
        <f t="shared" si="4"/>
        <v>0.98039215686274506</v>
      </c>
      <c r="AC27" s="1564">
        <f t="shared" si="5"/>
        <v>1</v>
      </c>
    </row>
    <row r="28" spans="1:29" ht="20.25">
      <c r="A28" s="508"/>
      <c r="B28" s="559"/>
      <c r="C28" s="547" t="s">
        <v>3057</v>
      </c>
      <c r="D28" s="550"/>
      <c r="E28" s="547" t="s">
        <v>3057</v>
      </c>
      <c r="F28" s="548"/>
      <c r="G28" s="569" t="s">
        <v>3085</v>
      </c>
      <c r="H28" s="548"/>
      <c r="I28" s="547" t="s">
        <v>3057</v>
      </c>
      <c r="J28" s="548"/>
      <c r="K28" s="524"/>
      <c r="L28" s="2130"/>
      <c r="M28" s="2120"/>
      <c r="N28" s="2120"/>
      <c r="O28" s="2129"/>
      <c r="P28" s="3511"/>
      <c r="Q28" s="1560"/>
      <c r="R28" s="1561"/>
      <c r="S28" s="1562"/>
      <c r="T28" s="1561"/>
      <c r="U28" s="1562"/>
      <c r="V28" s="1561"/>
      <c r="W28" s="1562"/>
      <c r="X28" s="1555"/>
      <c r="Y28" s="3511"/>
      <c r="Z28" s="1563"/>
      <c r="AA28" s="1564">
        <v>1</v>
      </c>
      <c r="AB28" s="1564">
        <v>1</v>
      </c>
      <c r="AC28" s="1564">
        <v>1</v>
      </c>
    </row>
    <row r="29" spans="1:29" s="1212" customFormat="1" ht="20.25">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511"/>
      <c r="Q29" s="1143" t="str">
        <f t="shared" si="8"/>
        <v>公共配套设施</v>
      </c>
      <c r="R29" s="1556" t="s">
        <v>8</v>
      </c>
      <c r="S29" s="1557">
        <f>F29</f>
        <v>100</v>
      </c>
      <c r="T29" s="1556" t="s">
        <v>8</v>
      </c>
      <c r="U29" s="1557">
        <f>H29</f>
        <v>100</v>
      </c>
      <c r="V29" s="1556" t="s">
        <v>8</v>
      </c>
      <c r="W29" s="1557">
        <f>J29</f>
        <v>100</v>
      </c>
      <c r="X29" s="1558"/>
      <c r="Y29" s="3511"/>
      <c r="Z29" s="1142" t="str">
        <f>Q29</f>
        <v>公共配套设施</v>
      </c>
      <c r="AA29" s="1564">
        <f>D29/F29</f>
        <v>1</v>
      </c>
      <c r="AB29" s="1564">
        <f>D29/H29</f>
        <v>1</v>
      </c>
      <c r="AC29" s="1564">
        <f>D29/J29</f>
        <v>1</v>
      </c>
    </row>
    <row r="30" spans="1:29" s="1212" customFormat="1" ht="20.25">
      <c r="A30" s="570"/>
      <c r="B30" s="559"/>
      <c r="C30" s="572" t="s">
        <v>3057</v>
      </c>
      <c r="D30" s="550"/>
      <c r="E30" s="572" t="s">
        <v>3057</v>
      </c>
      <c r="F30" s="548"/>
      <c r="G30" s="572" t="s">
        <v>3057</v>
      </c>
      <c r="H30" s="548"/>
      <c r="I30" s="572" t="s">
        <v>3057</v>
      </c>
      <c r="J30" s="548"/>
      <c r="K30" s="524"/>
      <c r="L30" s="2123"/>
      <c r="M30" s="2120"/>
      <c r="N30" s="2120"/>
      <c r="O30" s="2125"/>
      <c r="P30" s="3511"/>
      <c r="Q30" s="1143"/>
      <c r="R30" s="1556"/>
      <c r="S30" s="1557"/>
      <c r="T30" s="1556"/>
      <c r="U30" s="1557"/>
      <c r="V30" s="1556"/>
      <c r="W30" s="1557"/>
      <c r="X30" s="1558"/>
      <c r="Y30" s="3511"/>
      <c r="Z30" s="1142"/>
      <c r="AA30" s="1564">
        <v>1</v>
      </c>
      <c r="AB30" s="1564">
        <v>1</v>
      </c>
      <c r="AC30" s="1564">
        <v>1</v>
      </c>
    </row>
    <row r="31" spans="1:29" s="1212" customFormat="1" ht="20.25">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511"/>
      <c r="Q31" s="2590" t="str">
        <f t="shared" ref="Q31" si="9">B31</f>
        <v>基础设施水平</v>
      </c>
      <c r="R31" s="1556" t="s">
        <v>8</v>
      </c>
      <c r="S31" s="1557">
        <f>F31</f>
        <v>100</v>
      </c>
      <c r="T31" s="1556" t="s">
        <v>8</v>
      </c>
      <c r="U31" s="1557">
        <f>H31</f>
        <v>100</v>
      </c>
      <c r="V31" s="1556" t="s">
        <v>8</v>
      </c>
      <c r="W31" s="1557">
        <f>J31</f>
        <v>100</v>
      </c>
      <c r="X31" s="1558"/>
      <c r="Y31" s="3511"/>
      <c r="Z31" s="2587" t="str">
        <f>Q31</f>
        <v>基础设施水平</v>
      </c>
      <c r="AA31" s="1564">
        <f>D31/F31</f>
        <v>1</v>
      </c>
      <c r="AB31" s="1564">
        <f>D31/H31</f>
        <v>1</v>
      </c>
      <c r="AC31" s="1564">
        <f>D31/J31</f>
        <v>1</v>
      </c>
    </row>
    <row r="32" spans="1:29" s="1212" customFormat="1" ht="20.25">
      <c r="A32" s="570"/>
      <c r="B32" s="559"/>
      <c r="C32" s="572" t="s">
        <v>3061</v>
      </c>
      <c r="D32" s="550"/>
      <c r="E32" s="572" t="s">
        <v>3061</v>
      </c>
      <c r="F32" s="548"/>
      <c r="G32" s="572" t="s">
        <v>3061</v>
      </c>
      <c r="H32" s="548"/>
      <c r="I32" s="572" t="s">
        <v>3061</v>
      </c>
      <c r="J32" s="548"/>
      <c r="K32" s="524"/>
      <c r="L32" s="2123"/>
      <c r="M32" s="2120"/>
      <c r="N32" s="2120"/>
      <c r="O32" s="2125"/>
      <c r="P32" s="3511"/>
      <c r="Q32" s="2590"/>
      <c r="R32" s="1556"/>
      <c r="S32" s="1557"/>
      <c r="T32" s="1556"/>
      <c r="U32" s="1557"/>
      <c r="V32" s="1556"/>
      <c r="W32" s="1557"/>
      <c r="X32" s="1558"/>
      <c r="Y32" s="3511"/>
      <c r="Z32" s="2587"/>
      <c r="AA32" s="1564">
        <v>1</v>
      </c>
      <c r="AB32" s="1564">
        <v>1</v>
      </c>
      <c r="AC32" s="1564">
        <v>1</v>
      </c>
    </row>
    <row r="33" spans="1:29" ht="20.25">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51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511"/>
      <c r="Z33" s="1563" t="str">
        <f t="shared" ref="Z33:Z47" si="13">Q33</f>
        <v>临街状况</v>
      </c>
      <c r="AA33" s="1564">
        <f t="shared" si="3"/>
        <v>1</v>
      </c>
      <c r="AB33" s="1564">
        <f t="shared" si="4"/>
        <v>1</v>
      </c>
      <c r="AC33" s="1564">
        <f t="shared" si="5"/>
        <v>1</v>
      </c>
    </row>
    <row r="34" spans="1:29" ht="27">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511"/>
      <c r="Q34" s="1560" t="str">
        <f t="shared" si="8"/>
        <v>毗邻道路的类型与等级</v>
      </c>
      <c r="R34" s="1561" t="s">
        <v>8</v>
      </c>
      <c r="S34" s="1562">
        <f t="shared" si="10"/>
        <v>100</v>
      </c>
      <c r="T34" s="1561" t="s">
        <v>8</v>
      </c>
      <c r="U34" s="1562">
        <f t="shared" si="11"/>
        <v>100</v>
      </c>
      <c r="V34" s="1561" t="s">
        <v>8</v>
      </c>
      <c r="W34" s="1562">
        <f t="shared" si="12"/>
        <v>100</v>
      </c>
      <c r="X34" s="1555"/>
      <c r="Y34" s="3511"/>
      <c r="Z34" s="1563" t="str">
        <f t="shared" si="13"/>
        <v>毗邻道路的类型与等级</v>
      </c>
      <c r="AA34" s="1564">
        <f t="shared" si="3"/>
        <v>1</v>
      </c>
      <c r="AB34" s="1564">
        <f t="shared" si="4"/>
        <v>1</v>
      </c>
      <c r="AC34" s="1564">
        <f t="shared" si="5"/>
        <v>1</v>
      </c>
    </row>
    <row r="35" spans="1:29" ht="20.25">
      <c r="A35" s="525"/>
      <c r="B35" s="559"/>
      <c r="C35" s="569" t="s">
        <v>3089</v>
      </c>
      <c r="D35" s="550"/>
      <c r="E35" s="547" t="s">
        <v>3089</v>
      </c>
      <c r="F35" s="548"/>
      <c r="G35" s="547" t="s">
        <v>3089</v>
      </c>
      <c r="H35" s="548"/>
      <c r="I35" s="547" t="s">
        <v>3089</v>
      </c>
      <c r="J35" s="548"/>
      <c r="K35" s="574"/>
      <c r="L35" s="2130"/>
      <c r="M35" s="2120"/>
      <c r="N35" s="2120"/>
      <c r="O35" s="2129"/>
      <c r="P35" s="3511"/>
      <c r="Q35" s="1560"/>
      <c r="R35" s="1561"/>
      <c r="S35" s="1562"/>
      <c r="T35" s="1561"/>
      <c r="U35" s="1562"/>
      <c r="V35" s="1561"/>
      <c r="W35" s="1562"/>
      <c r="X35" s="1555"/>
      <c r="Y35" s="3511"/>
      <c r="Z35" s="1563"/>
      <c r="AA35" s="1564">
        <v>1</v>
      </c>
      <c r="AB35" s="1564">
        <v>1</v>
      </c>
      <c r="AC35" s="1564">
        <v>1</v>
      </c>
    </row>
    <row r="36" spans="1:29" ht="20.25">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511"/>
      <c r="Q36" s="1560" t="str">
        <f t="shared" si="8"/>
        <v>土地级别</v>
      </c>
      <c r="R36" s="1561" t="s">
        <v>8</v>
      </c>
      <c r="S36" s="1562">
        <f t="shared" si="10"/>
        <v>100</v>
      </c>
      <c r="T36" s="1561" t="s">
        <v>8</v>
      </c>
      <c r="U36" s="1562">
        <f t="shared" si="11"/>
        <v>100</v>
      </c>
      <c r="V36" s="1561" t="s">
        <v>8</v>
      </c>
      <c r="W36" s="1562">
        <f t="shared" si="12"/>
        <v>100</v>
      </c>
      <c r="X36" s="1555"/>
      <c r="Y36" s="3511"/>
      <c r="Z36" s="1563" t="str">
        <f t="shared" si="13"/>
        <v>土地级别</v>
      </c>
      <c r="AA36" s="1564">
        <f t="shared" si="3"/>
        <v>1</v>
      </c>
      <c r="AB36" s="1564">
        <f t="shared" si="4"/>
        <v>1</v>
      </c>
      <c r="AC36" s="1564">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511"/>
      <c r="Q37" s="1560">
        <f t="shared" si="8"/>
        <v>111</v>
      </c>
      <c r="R37" s="1561" t="s">
        <v>8</v>
      </c>
      <c r="S37" s="1562">
        <f t="shared" si="10"/>
        <v>100</v>
      </c>
      <c r="T37" s="1561" t="s">
        <v>8</v>
      </c>
      <c r="U37" s="1562">
        <f t="shared" si="11"/>
        <v>100</v>
      </c>
      <c r="V37" s="1561" t="s">
        <v>8</v>
      </c>
      <c r="W37" s="1562">
        <f t="shared" si="12"/>
        <v>100</v>
      </c>
      <c r="X37" s="1555"/>
      <c r="Y37" s="3511"/>
      <c r="Z37" s="1563">
        <f t="shared" si="13"/>
        <v>111</v>
      </c>
      <c r="AA37" s="1564">
        <f t="shared" si="3"/>
        <v>1</v>
      </c>
      <c r="AB37" s="1564">
        <f t="shared" si="4"/>
        <v>1</v>
      </c>
      <c r="AC37" s="1564">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512" t="s">
        <v>549</v>
      </c>
      <c r="Q38" s="1560">
        <f t="shared" si="8"/>
        <v>111</v>
      </c>
      <c r="R38" s="1561" t="s">
        <v>8</v>
      </c>
      <c r="S38" s="1562">
        <f t="shared" si="10"/>
        <v>100</v>
      </c>
      <c r="T38" s="1561" t="s">
        <v>8</v>
      </c>
      <c r="U38" s="1562">
        <f t="shared" si="11"/>
        <v>100</v>
      </c>
      <c r="V38" s="1561" t="s">
        <v>8</v>
      </c>
      <c r="W38" s="1562">
        <f t="shared" si="12"/>
        <v>100</v>
      </c>
      <c r="X38" s="1555"/>
      <c r="Y38" s="3513" t="s">
        <v>549</v>
      </c>
      <c r="Z38" s="1563">
        <f t="shared" si="13"/>
        <v>111</v>
      </c>
      <c r="AA38" s="1564">
        <f t="shared" si="3"/>
        <v>1</v>
      </c>
      <c r="AB38" s="1564">
        <f t="shared" si="4"/>
        <v>1</v>
      </c>
      <c r="AC38" s="1564">
        <f t="shared" si="5"/>
        <v>1</v>
      </c>
    </row>
    <row r="39" spans="1:29" s="1331"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513"/>
      <c r="Q39" s="1560">
        <f t="shared" si="8"/>
        <v>111</v>
      </c>
      <c r="R39" s="1565" t="s">
        <v>8</v>
      </c>
      <c r="S39" s="1566">
        <f t="shared" si="10"/>
        <v>100</v>
      </c>
      <c r="T39" s="1565" t="s">
        <v>8</v>
      </c>
      <c r="U39" s="1566">
        <f t="shared" si="11"/>
        <v>100</v>
      </c>
      <c r="V39" s="1565" t="s">
        <v>8</v>
      </c>
      <c r="W39" s="1566">
        <f t="shared" si="12"/>
        <v>100</v>
      </c>
      <c r="X39" s="1567"/>
      <c r="Y39" s="3513"/>
      <c r="Z39" s="1568">
        <f t="shared" si="13"/>
        <v>111</v>
      </c>
      <c r="AA39" s="1564">
        <f t="shared" si="3"/>
        <v>1</v>
      </c>
      <c r="AB39" s="1564">
        <f t="shared" si="4"/>
        <v>1</v>
      </c>
      <c r="AC39" s="1564">
        <f t="shared" si="5"/>
        <v>1</v>
      </c>
    </row>
    <row r="40" spans="1:29" ht="20.25">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513"/>
      <c r="Q40" s="1560" t="str">
        <f>B40</f>
        <v>宗地面积</v>
      </c>
      <c r="R40" s="1561" t="s">
        <v>8</v>
      </c>
      <c r="S40" s="1562">
        <f t="shared" si="10"/>
        <v>100</v>
      </c>
      <c r="T40" s="1561" t="s">
        <v>8</v>
      </c>
      <c r="U40" s="1562">
        <f t="shared" si="11"/>
        <v>96</v>
      </c>
      <c r="V40" s="1561" t="s">
        <v>8</v>
      </c>
      <c r="W40" s="1562">
        <f t="shared" si="12"/>
        <v>98</v>
      </c>
      <c r="X40" s="1555"/>
      <c r="Y40" s="3513"/>
      <c r="Z40" s="1563" t="str">
        <f t="shared" si="13"/>
        <v>宗地面积</v>
      </c>
      <c r="AA40" s="1564">
        <f t="shared" si="3"/>
        <v>1</v>
      </c>
      <c r="AB40" s="1564">
        <f t="shared" si="4"/>
        <v>1.0416666666666667</v>
      </c>
      <c r="AC40" s="1564">
        <f t="shared" si="5"/>
        <v>1.0204081632653061</v>
      </c>
    </row>
    <row r="41" spans="1:29" ht="20.25">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513"/>
      <c r="Q41" s="1560" t="str">
        <f t="shared" ref="Q41:Q47" si="14">B41</f>
        <v>宗地形状</v>
      </c>
      <c r="R41" s="1561" t="s">
        <v>8</v>
      </c>
      <c r="S41" s="1562">
        <f t="shared" si="10"/>
        <v>101</v>
      </c>
      <c r="T41" s="1561" t="s">
        <v>8</v>
      </c>
      <c r="U41" s="1562">
        <f t="shared" si="11"/>
        <v>101</v>
      </c>
      <c r="V41" s="1561" t="s">
        <v>8</v>
      </c>
      <c r="W41" s="1562">
        <f t="shared" si="12"/>
        <v>101</v>
      </c>
      <c r="X41" s="1555"/>
      <c r="Y41" s="3513"/>
      <c r="Z41" s="1563" t="str">
        <f t="shared" si="13"/>
        <v>宗地形状</v>
      </c>
      <c r="AA41" s="1564">
        <f t="shared" si="3"/>
        <v>0.99009900990099009</v>
      </c>
      <c r="AB41" s="1564">
        <f t="shared" si="4"/>
        <v>0.99009900990099009</v>
      </c>
      <c r="AC41" s="1564">
        <f t="shared" si="5"/>
        <v>0.99009900990099009</v>
      </c>
    </row>
    <row r="42" spans="1:29" ht="20.25">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513"/>
      <c r="Q42" s="1560" t="str">
        <f t="shared" si="14"/>
        <v>临街宽度及深度</v>
      </c>
      <c r="R42" s="1561" t="s">
        <v>8</v>
      </c>
      <c r="S42" s="1562">
        <f t="shared" si="10"/>
        <v>100</v>
      </c>
      <c r="T42" s="1561" t="s">
        <v>8</v>
      </c>
      <c r="U42" s="1562">
        <f t="shared" si="11"/>
        <v>100</v>
      </c>
      <c r="V42" s="1561" t="s">
        <v>8</v>
      </c>
      <c r="W42" s="1562">
        <f t="shared" si="12"/>
        <v>100</v>
      </c>
      <c r="X42" s="1555"/>
      <c r="Y42" s="3513"/>
      <c r="Z42" s="1563" t="str">
        <f t="shared" si="13"/>
        <v>临街宽度及深度</v>
      </c>
      <c r="AA42" s="1564">
        <f t="shared" si="3"/>
        <v>1</v>
      </c>
      <c r="AB42" s="1564">
        <f t="shared" si="4"/>
        <v>1</v>
      </c>
      <c r="AC42" s="1564">
        <f t="shared" si="5"/>
        <v>1</v>
      </c>
    </row>
    <row r="43" spans="1:29" s="1212" customFormat="1" ht="20.25">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513"/>
      <c r="Q43" s="1560" t="str">
        <f t="shared" si="14"/>
        <v>宗地开发程度</v>
      </c>
      <c r="R43" s="1556" t="s">
        <v>8</v>
      </c>
      <c r="S43" s="1557">
        <f t="shared" si="10"/>
        <v>100</v>
      </c>
      <c r="T43" s="1556" t="s">
        <v>8</v>
      </c>
      <c r="U43" s="1557">
        <f t="shared" si="11"/>
        <v>99</v>
      </c>
      <c r="V43" s="1556" t="s">
        <v>8</v>
      </c>
      <c r="W43" s="1557">
        <f t="shared" si="12"/>
        <v>101</v>
      </c>
      <c r="X43" s="1558"/>
      <c r="Y43" s="3513"/>
      <c r="Z43" s="1142" t="str">
        <f t="shared" si="13"/>
        <v>宗地开发程度</v>
      </c>
      <c r="AA43" s="1559">
        <f t="shared" si="3"/>
        <v>1</v>
      </c>
      <c r="AB43" s="1559">
        <f t="shared" si="4"/>
        <v>1.0101010101010102</v>
      </c>
      <c r="AC43" s="1559">
        <f t="shared" si="5"/>
        <v>0.99009900990099009</v>
      </c>
    </row>
    <row r="44" spans="1:29" ht="20.25">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513" t="s">
        <v>549</v>
      </c>
      <c r="Q44" s="1560" t="str">
        <f t="shared" si="14"/>
        <v>工程地质条件</v>
      </c>
      <c r="R44" s="1561" t="s">
        <v>8</v>
      </c>
      <c r="S44" s="1562">
        <f t="shared" si="10"/>
        <v>100</v>
      </c>
      <c r="T44" s="1561" t="s">
        <v>8</v>
      </c>
      <c r="U44" s="1562">
        <f t="shared" si="11"/>
        <v>100</v>
      </c>
      <c r="V44" s="1561" t="s">
        <v>8</v>
      </c>
      <c r="W44" s="1562">
        <f t="shared" si="12"/>
        <v>100</v>
      </c>
      <c r="X44" s="1555"/>
      <c r="Y44" s="3513" t="s">
        <v>549</v>
      </c>
      <c r="Z44" s="1563" t="str">
        <f t="shared" si="13"/>
        <v>工程地质条件</v>
      </c>
      <c r="AA44" s="1564">
        <f t="shared" si="3"/>
        <v>1</v>
      </c>
      <c r="AB44" s="1564">
        <f t="shared" si="4"/>
        <v>1</v>
      </c>
      <c r="AC44" s="1564">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513"/>
      <c r="Q45" s="1560">
        <f t="shared" si="14"/>
        <v>111</v>
      </c>
      <c r="R45" s="1561" t="s">
        <v>8</v>
      </c>
      <c r="S45" s="1562">
        <f t="shared" si="10"/>
        <v>100</v>
      </c>
      <c r="T45" s="1561" t="s">
        <v>8</v>
      </c>
      <c r="U45" s="1562">
        <f t="shared" si="11"/>
        <v>100</v>
      </c>
      <c r="V45" s="1561" t="s">
        <v>8</v>
      </c>
      <c r="W45" s="1562">
        <f t="shared" si="12"/>
        <v>100</v>
      </c>
      <c r="X45" s="1555"/>
      <c r="Y45" s="3513"/>
      <c r="Z45" s="1563">
        <f t="shared" si="13"/>
        <v>111</v>
      </c>
      <c r="AA45" s="1564">
        <f t="shared" si="3"/>
        <v>1</v>
      </c>
      <c r="AB45" s="1564">
        <f t="shared" si="4"/>
        <v>1</v>
      </c>
      <c r="AC45" s="1564">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513"/>
      <c r="Q46" s="1560">
        <f t="shared" si="14"/>
        <v>111</v>
      </c>
      <c r="R46" s="1561" t="s">
        <v>8</v>
      </c>
      <c r="S46" s="1562">
        <f t="shared" si="10"/>
        <v>100</v>
      </c>
      <c r="T46" s="1561" t="s">
        <v>8</v>
      </c>
      <c r="U46" s="1562">
        <f t="shared" si="11"/>
        <v>100</v>
      </c>
      <c r="V46" s="1561" t="s">
        <v>8</v>
      </c>
      <c r="W46" s="1562">
        <f t="shared" si="12"/>
        <v>100</v>
      </c>
      <c r="X46" s="1555"/>
      <c r="Y46" s="3513"/>
      <c r="Z46" s="1563">
        <f t="shared" si="13"/>
        <v>111</v>
      </c>
      <c r="AA46" s="1564">
        <f t="shared" si="3"/>
        <v>1</v>
      </c>
      <c r="AB46" s="1564">
        <f t="shared" si="4"/>
        <v>1</v>
      </c>
      <c r="AC46" s="1564">
        <f t="shared" si="5"/>
        <v>1</v>
      </c>
    </row>
    <row r="47" spans="1:29" s="133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513"/>
      <c r="Q47" s="1560">
        <f t="shared" si="14"/>
        <v>111</v>
      </c>
      <c r="R47" s="1565" t="s">
        <v>8</v>
      </c>
      <c r="S47" s="1566">
        <f t="shared" si="10"/>
        <v>100</v>
      </c>
      <c r="T47" s="1565" t="s">
        <v>8</v>
      </c>
      <c r="U47" s="1566">
        <f t="shared" si="11"/>
        <v>100</v>
      </c>
      <c r="V47" s="1565" t="s">
        <v>8</v>
      </c>
      <c r="W47" s="1566">
        <f t="shared" si="12"/>
        <v>100</v>
      </c>
      <c r="X47" s="1567"/>
      <c r="Y47" s="3513"/>
      <c r="Z47" s="1568">
        <f t="shared" si="13"/>
        <v>111</v>
      </c>
      <c r="AA47" s="1564">
        <f t="shared" si="3"/>
        <v>1</v>
      </c>
      <c r="AB47" s="1564">
        <f t="shared" si="4"/>
        <v>1</v>
      </c>
      <c r="AC47" s="1564">
        <f t="shared" si="5"/>
        <v>1</v>
      </c>
    </row>
    <row r="48" spans="1:29" ht="20.25">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75" t="str">
        <f>A48</f>
        <v>成交单价</v>
      </c>
      <c r="Q48" s="3475"/>
      <c r="R48" s="3476">
        <f>E48</f>
        <v>22511</v>
      </c>
      <c r="S48" s="3476"/>
      <c r="T48" s="3476">
        <f>G48</f>
        <v>26657</v>
      </c>
      <c r="U48" s="3476"/>
      <c r="V48" s="3476">
        <f>I48</f>
        <v>26524</v>
      </c>
      <c r="W48" s="3476"/>
      <c r="X48" s="1547"/>
      <c r="Y48" s="1569"/>
      <c r="Z48" s="1547"/>
      <c r="AA48" s="1547"/>
      <c r="AB48" s="1547"/>
      <c r="AC48" s="1547"/>
    </row>
    <row r="49" spans="1:29" ht="21"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75" t="str">
        <f>A49</f>
        <v>比较价格（元/平方米）</v>
      </c>
      <c r="Q49" s="3475"/>
      <c r="R49" s="3477">
        <f>ROUND(PRODUCT(R48,AA9:AA47),0)</f>
        <v>23688</v>
      </c>
      <c r="S49" s="3477"/>
      <c r="T49" s="3477">
        <f>ROUND(PRODUCT(T48,AB9:AB47),0)</f>
        <v>27569</v>
      </c>
      <c r="U49" s="3477"/>
      <c r="V49" s="3477">
        <f>ROUND(PRODUCT(V48,AC9:AC47),0)</f>
        <v>27848</v>
      </c>
      <c r="W49" s="3477"/>
      <c r="X49" s="1547"/>
      <c r="Y49" s="1547"/>
      <c r="Z49" s="1547"/>
      <c r="AA49" s="1547"/>
      <c r="AB49" s="1547"/>
      <c r="AC49" s="1547"/>
    </row>
    <row r="50" spans="1:29" ht="21" thickBot="1">
      <c r="A50" s="614" t="s">
        <v>2931</v>
      </c>
      <c r="B50" s="615"/>
      <c r="C50" s="616">
        <f>R50</f>
        <v>26368</v>
      </c>
      <c r="D50" s="616"/>
      <c r="E50" s="616"/>
      <c r="F50" s="616"/>
      <c r="G50" s="616"/>
      <c r="H50" s="616"/>
      <c r="I50" s="616"/>
      <c r="J50" s="616"/>
      <c r="K50" s="1334"/>
      <c r="L50" s="2132"/>
      <c r="M50" s="2120"/>
      <c r="N50" s="2120"/>
      <c r="O50" s="2133"/>
      <c r="P50" s="3472" t="str">
        <f>A50</f>
        <v>估价对象XX用房的比较价格（楼面单价，元/平方米）</v>
      </c>
      <c r="Q50" s="3473"/>
      <c r="R50" s="3474">
        <f>ROUND(AVERAGE(R49:V49),0)</f>
        <v>26368</v>
      </c>
      <c r="S50" s="3474"/>
      <c r="T50" s="3474"/>
      <c r="U50" s="3474"/>
      <c r="V50" s="3474"/>
      <c r="W50" s="3474"/>
      <c r="X50" s="1547"/>
      <c r="Y50" s="1547"/>
      <c r="Z50" s="1547"/>
      <c r="AA50" s="1547"/>
      <c r="AB50" s="1547"/>
      <c r="AC50" s="1547"/>
    </row>
    <row r="51" spans="1:29" ht="20.25">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502" t="s">
        <v>2282</v>
      </c>
      <c r="H57" s="350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2.75">
      <c r="A58" s="626" t="s">
        <v>563</v>
      </c>
      <c r="B58" s="627">
        <f>C50</f>
        <v>26368</v>
      </c>
      <c r="C58" s="628">
        <v>1</v>
      </c>
      <c r="D58" s="2216">
        <v>1</v>
      </c>
      <c r="E58" s="628">
        <f>'数据-汇总表'!E8+'数据-汇总表'!E9</f>
        <v>339247.67000000004</v>
      </c>
      <c r="F58" s="629">
        <f t="shared" ref="F58:F67" si="15">ROUND(B58*E58/10000,0)</f>
        <v>894528</v>
      </c>
      <c r="G58" s="3504"/>
      <c r="H58" s="350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564</v>
      </c>
      <c r="B59" s="631">
        <f>ROUND($C$50*C59*D59,0)</f>
        <v>3955</v>
      </c>
      <c r="C59" s="371">
        <f t="shared" ref="C59:C67" si="16">IF($C$57="北京市系数",I59,J59)</f>
        <v>0.6</v>
      </c>
      <c r="D59" s="2217">
        <v>0.25</v>
      </c>
      <c r="E59" s="632">
        <f>ROUND('数据-汇总表'!G20/2,2)</f>
        <v>0</v>
      </c>
      <c r="F59" s="629">
        <f t="shared" si="15"/>
        <v>0</v>
      </c>
      <c r="G59" s="350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565</v>
      </c>
      <c r="B60" s="631">
        <f t="shared" ref="B60:B67" si="17">ROUND($C$50*C60*D60,0)</f>
        <v>1978</v>
      </c>
      <c r="C60" s="371">
        <f t="shared" si="16"/>
        <v>0.3</v>
      </c>
      <c r="D60" s="2217">
        <v>0.25</v>
      </c>
      <c r="E60" s="632">
        <f>'数据-汇总表'!G20-E59</f>
        <v>0</v>
      </c>
      <c r="F60" s="629">
        <f t="shared" si="15"/>
        <v>0</v>
      </c>
      <c r="G60" s="350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566</v>
      </c>
      <c r="B61" s="631">
        <f t="shared" si="17"/>
        <v>1318</v>
      </c>
      <c r="C61" s="371">
        <f t="shared" si="16"/>
        <v>0.2</v>
      </c>
      <c r="D61" s="2217">
        <v>0.25</v>
      </c>
      <c r="E61" s="632">
        <v>0</v>
      </c>
      <c r="F61" s="629">
        <f t="shared" si="15"/>
        <v>0</v>
      </c>
      <c r="G61" s="350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2.75">
      <c r="A62" s="630" t="s">
        <v>567</v>
      </c>
      <c r="B62" s="631">
        <f t="shared" si="17"/>
        <v>1318</v>
      </c>
      <c r="C62" s="371">
        <f t="shared" si="16"/>
        <v>0.2</v>
      </c>
      <c r="D62" s="2217">
        <v>0.25</v>
      </c>
      <c r="E62" s="632">
        <v>0</v>
      </c>
      <c r="F62" s="629">
        <f t="shared" si="15"/>
        <v>0</v>
      </c>
      <c r="G62" s="350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2.75">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2.75">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2.75">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2.75">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ht="13.5"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ht="13.5"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1.75"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5">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5">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5.75"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7.75"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7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7.75"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7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5.75"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5.75"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5.75"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5.75"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7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7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7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15.75"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5.75"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7.75"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5.75"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7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5.75"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7.75"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5"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5"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5.75"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8.5">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5.75"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5"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5.75"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5"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5.75"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5" defaultRowHeight="13.5"/>
  <cols>
    <col min="1" max="1" width="93.5" customWidth="1"/>
    <col min="19" max="19" width="18.625" customWidth="1"/>
    <col min="20" max="20" width="15.625" customWidth="1"/>
    <col min="21" max="21" width="26.625" customWidth="1"/>
    <col min="30" max="30" width="16.5" customWidth="1"/>
  </cols>
  <sheetData>
    <row r="1" spans="1:51" s="3166" customFormat="1" ht="1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25" defaultRowHeight="12.75"/>
  <cols>
    <col min="1" max="1" width="9.625" style="2112" customWidth="1"/>
    <col min="2" max="2" width="25.625" style="2102" customWidth="1"/>
    <col min="3" max="3" width="10.375" style="2113" customWidth="1"/>
    <col min="4" max="4" width="12" style="2102" customWidth="1"/>
    <col min="5" max="5" width="9.5" style="2112" customWidth="1"/>
    <col min="6" max="6" width="10.125" style="2102" customWidth="1"/>
    <col min="7" max="7" width="11.62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5">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2" customWidth="1"/>
    <col min="2" max="2" width="25.62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5">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4.25"/>
  <cols>
    <col min="1" max="1" width="13.37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5">
      <c r="A6" s="505" t="s">
        <v>520</v>
      </c>
      <c r="B6" s="506"/>
      <c r="C6" s="3481" t="s">
        <v>521</v>
      </c>
      <c r="D6" s="3482"/>
      <c r="E6" s="3520" t="s">
        <v>522</v>
      </c>
      <c r="F6" s="3521"/>
      <c r="G6" s="3481" t="s">
        <v>523</v>
      </c>
      <c r="H6" s="3482"/>
      <c r="I6" s="3481" t="s">
        <v>524</v>
      </c>
      <c r="J6" s="3482"/>
      <c r="K6" s="507" t="s">
        <v>525</v>
      </c>
      <c r="L6" s="2121"/>
      <c r="M6" s="2122"/>
      <c r="N6" s="2122"/>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29" ht="15">
      <c r="A7" s="508"/>
      <c r="B7" s="509"/>
      <c r="C7" s="3514" t="s">
        <v>2925</v>
      </c>
      <c r="D7" s="3515"/>
      <c r="E7" s="3522" t="s">
        <v>2926</v>
      </c>
      <c r="F7" s="3523"/>
      <c r="G7" s="3514" t="s">
        <v>2927</v>
      </c>
      <c r="H7" s="3515"/>
      <c r="I7" s="3514" t="s">
        <v>2928</v>
      </c>
      <c r="J7" s="3515"/>
      <c r="K7" s="507"/>
      <c r="L7" s="2121"/>
      <c r="M7" s="2122"/>
      <c r="N7" s="2122"/>
      <c r="O7" s="2122"/>
      <c r="P7" s="3485"/>
      <c r="Q7" s="3486"/>
      <c r="R7" s="3491"/>
      <c r="S7" s="3492"/>
      <c r="T7" s="3491"/>
      <c r="U7" s="3492"/>
      <c r="V7" s="3476"/>
      <c r="W7" s="3476"/>
      <c r="X7" s="1555"/>
      <c r="Y7" s="3491"/>
      <c r="Z7" s="3492"/>
      <c r="AA7" s="3479"/>
      <c r="AB7" s="3479"/>
      <c r="AC7" s="3479"/>
    </row>
    <row r="8" spans="1:29" ht="15.75" thickBot="1">
      <c r="A8" s="510"/>
      <c r="B8" s="511"/>
      <c r="C8" s="3516" t="s">
        <v>2929</v>
      </c>
      <c r="D8" s="3517"/>
      <c r="E8" s="3518" t="s">
        <v>2929</v>
      </c>
      <c r="F8" s="3519"/>
      <c r="G8" s="3516" t="s">
        <v>2929</v>
      </c>
      <c r="H8" s="3517"/>
      <c r="I8" s="3516" t="s">
        <v>2929</v>
      </c>
      <c r="J8" s="3517"/>
      <c r="K8" s="507" t="s">
        <v>527</v>
      </c>
      <c r="L8" s="2121"/>
      <c r="M8" s="2122"/>
      <c r="N8" s="2122"/>
      <c r="O8" s="2122"/>
      <c r="P8" s="3487"/>
      <c r="Q8" s="3488"/>
      <c r="R8" s="3491"/>
      <c r="S8" s="3492"/>
      <c r="T8" s="3493"/>
      <c r="U8" s="3494"/>
      <c r="V8" s="3476"/>
      <c r="W8" s="3476"/>
      <c r="X8" s="1555"/>
      <c r="Y8" s="3493"/>
      <c r="Z8" s="3494"/>
      <c r="AA8" s="3480"/>
      <c r="AB8" s="3480"/>
      <c r="AC8" s="3480"/>
    </row>
    <row r="9" spans="1:29" s="1212" customFormat="1" ht="15.7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507" t="s">
        <v>529</v>
      </c>
      <c r="Q9" s="3509"/>
      <c r="R9" s="1556" t="s">
        <v>8</v>
      </c>
      <c r="S9" s="1557">
        <f t="shared" ref="S9:S17" si="0">F9</f>
        <v>0</v>
      </c>
      <c r="T9" s="1556" t="s">
        <v>8</v>
      </c>
      <c r="U9" s="1557">
        <f t="shared" ref="U9:U17" si="1">H9</f>
        <v>0</v>
      </c>
      <c r="V9" s="1556" t="s">
        <v>8</v>
      </c>
      <c r="W9" s="1557">
        <f t="shared" ref="W9:W17" si="2">J9</f>
        <v>0</v>
      </c>
      <c r="X9" s="1558"/>
      <c r="Y9" s="3507" t="s">
        <v>529</v>
      </c>
      <c r="Z9" s="3508"/>
      <c r="AA9" s="1559" t="e">
        <f>D9/F9</f>
        <v>#DIV/0!</v>
      </c>
      <c r="AB9" s="1559" t="e">
        <f>D9/H9</f>
        <v>#DIV/0!</v>
      </c>
      <c r="AC9" s="1559" t="e">
        <f>D9/J9</f>
        <v>#DIV/0!</v>
      </c>
    </row>
    <row r="10" spans="1:29" s="1212" customFormat="1" ht="15.7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507" t="s">
        <v>532</v>
      </c>
      <c r="Q10" s="3508"/>
      <c r="R10" s="1556" t="s">
        <v>8</v>
      </c>
      <c r="S10" s="1557">
        <f t="shared" si="0"/>
        <v>0</v>
      </c>
      <c r="T10" s="1556" t="s">
        <v>8</v>
      </c>
      <c r="U10" s="1557">
        <f t="shared" si="1"/>
        <v>0</v>
      </c>
      <c r="V10" s="1556" t="s">
        <v>8</v>
      </c>
      <c r="W10" s="1557">
        <f t="shared" si="2"/>
        <v>0</v>
      </c>
      <c r="X10" s="1558"/>
      <c r="Y10" s="3507" t="s">
        <v>532</v>
      </c>
      <c r="Z10" s="3508"/>
      <c r="AA10" s="1559" t="e">
        <f t="shared" ref="AA10:AA42" si="3">D10/F10</f>
        <v>#DIV/0!</v>
      </c>
      <c r="AB10" s="1559" t="e">
        <f t="shared" ref="AB10:AB42" si="4">D10/H10</f>
        <v>#DIV/0!</v>
      </c>
      <c r="AC10" s="1559" t="e">
        <f t="shared" ref="AC10:AC42" si="5">D10/J10</f>
        <v>#DIV/0!</v>
      </c>
    </row>
    <row r="11" spans="1:29" s="1212" customFormat="1" ht="15">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75" t="s">
        <v>534</v>
      </c>
      <c r="Q11" s="1143" t="str">
        <f t="shared" ref="Q11:Q17" si="6">B11</f>
        <v>用途</v>
      </c>
      <c r="R11" s="1556" t="s">
        <v>8</v>
      </c>
      <c r="S11" s="1557">
        <f t="shared" si="0"/>
        <v>100</v>
      </c>
      <c r="T11" s="1556" t="s">
        <v>8</v>
      </c>
      <c r="U11" s="1557">
        <f t="shared" si="1"/>
        <v>100</v>
      </c>
      <c r="V11" s="1556" t="s">
        <v>8</v>
      </c>
      <c r="W11" s="1557">
        <f t="shared" si="2"/>
        <v>100</v>
      </c>
      <c r="X11" s="1558"/>
      <c r="Y11" s="3421" t="s">
        <v>535</v>
      </c>
      <c r="Z11" s="1142" t="str">
        <f t="shared" ref="Z11:Z17" si="7">Q11</f>
        <v>用途</v>
      </c>
      <c r="AA11" s="1559">
        <f t="shared" si="3"/>
        <v>1</v>
      </c>
      <c r="AB11" s="1559">
        <f t="shared" si="4"/>
        <v>1</v>
      </c>
      <c r="AC11" s="1559">
        <f t="shared" si="5"/>
        <v>1</v>
      </c>
    </row>
    <row r="12" spans="1:29" s="1330" customFormat="1" ht="27">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75"/>
      <c r="Q13" s="1143" t="str">
        <f t="shared" si="6"/>
        <v>容积率</v>
      </c>
      <c r="R13" s="1556" t="s">
        <v>8</v>
      </c>
      <c r="S13" s="1557" t="e">
        <f t="shared" si="0"/>
        <v>#N/A</v>
      </c>
      <c r="T13" s="1556" t="s">
        <v>8</v>
      </c>
      <c r="U13" s="1557" t="e">
        <f t="shared" si="1"/>
        <v>#N/A</v>
      </c>
      <c r="V13" s="1556" t="s">
        <v>8</v>
      </c>
      <c r="W13" s="1557" t="e">
        <f t="shared" si="2"/>
        <v>#N/A</v>
      </c>
      <c r="X13" s="1558"/>
      <c r="Y13" s="3421"/>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75"/>
      <c r="Q15" s="1143">
        <f t="shared" si="6"/>
        <v>111</v>
      </c>
      <c r="R15" s="1556" t="s">
        <v>8</v>
      </c>
      <c r="S15" s="1557">
        <f t="shared" si="0"/>
        <v>100</v>
      </c>
      <c r="T15" s="1556" t="s">
        <v>8</v>
      </c>
      <c r="U15" s="1557">
        <f t="shared" si="1"/>
        <v>100</v>
      </c>
      <c r="V15" s="1556" t="s">
        <v>8</v>
      </c>
      <c r="W15" s="1557">
        <f t="shared" si="2"/>
        <v>100</v>
      </c>
      <c r="X15" s="1558"/>
      <c r="Y15" s="3421"/>
      <c r="Z15" s="1142">
        <f t="shared" si="7"/>
        <v>111</v>
      </c>
      <c r="AA15" s="1559">
        <f t="shared" si="3"/>
        <v>1</v>
      </c>
      <c r="AB15" s="1559">
        <f t="shared" si="4"/>
        <v>1</v>
      </c>
      <c r="AC15" s="1559">
        <f t="shared" si="5"/>
        <v>1</v>
      </c>
    </row>
    <row r="16" spans="1:29" ht="15.75"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75"/>
      <c r="Q16" s="1143">
        <f t="shared" si="6"/>
        <v>111</v>
      </c>
      <c r="R16" s="1556" t="s">
        <v>8</v>
      </c>
      <c r="S16" s="1557">
        <f t="shared" si="0"/>
        <v>100</v>
      </c>
      <c r="T16" s="1556" t="s">
        <v>8</v>
      </c>
      <c r="U16" s="1557">
        <f t="shared" si="1"/>
        <v>100</v>
      </c>
      <c r="V16" s="1556" t="s">
        <v>8</v>
      </c>
      <c r="W16" s="1557">
        <f t="shared" si="2"/>
        <v>100</v>
      </c>
      <c r="X16" s="1558"/>
      <c r="Y16" s="3421"/>
      <c r="Z16" s="1142">
        <f t="shared" si="7"/>
        <v>111</v>
      </c>
      <c r="AA16" s="1559">
        <f t="shared" si="3"/>
        <v>1</v>
      </c>
      <c r="AB16" s="1559">
        <f t="shared" si="4"/>
        <v>1</v>
      </c>
      <c r="AC16" s="1559">
        <f t="shared" si="5"/>
        <v>1</v>
      </c>
    </row>
    <row r="17" spans="1:29" ht="57">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510" t="s">
        <v>539</v>
      </c>
      <c r="Q17" s="1560" t="str">
        <f t="shared" si="6"/>
        <v>产业集聚程度</v>
      </c>
      <c r="R17" s="1561" t="s">
        <v>8</v>
      </c>
      <c r="S17" s="1562">
        <f t="shared" si="0"/>
        <v>100</v>
      </c>
      <c r="T17" s="1561" t="s">
        <v>8</v>
      </c>
      <c r="U17" s="1562">
        <f t="shared" si="1"/>
        <v>100</v>
      </c>
      <c r="V17" s="1561" t="s">
        <v>8</v>
      </c>
      <c r="W17" s="1562">
        <f t="shared" si="2"/>
        <v>100</v>
      </c>
      <c r="X17" s="1555"/>
      <c r="Y17" s="351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511"/>
      <c r="Q18" s="1560"/>
      <c r="R18" s="1561"/>
      <c r="S18" s="1562"/>
      <c r="T18" s="1561"/>
      <c r="U18" s="1562"/>
      <c r="V18" s="1561"/>
      <c r="W18" s="1562"/>
      <c r="X18" s="1555"/>
      <c r="Y18" s="3511"/>
      <c r="Z18" s="1563"/>
      <c r="AA18" s="1564">
        <v>1</v>
      </c>
      <c r="AB18" s="1564">
        <v>1</v>
      </c>
      <c r="AC18" s="1564">
        <v>1</v>
      </c>
    </row>
    <row r="19" spans="1:29" ht="85.5">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511"/>
      <c r="Q19" s="1560" t="str">
        <f>B19</f>
        <v>交通便捷度</v>
      </c>
      <c r="R19" s="1561" t="s">
        <v>8</v>
      </c>
      <c r="S19" s="1562">
        <f>F19</f>
        <v>100</v>
      </c>
      <c r="T19" s="1561" t="s">
        <v>8</v>
      </c>
      <c r="U19" s="1562">
        <f>H19</f>
        <v>100</v>
      </c>
      <c r="V19" s="1561" t="s">
        <v>8</v>
      </c>
      <c r="W19" s="1562">
        <f>J19</f>
        <v>100</v>
      </c>
      <c r="X19" s="1555"/>
      <c r="Y19" s="351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511"/>
      <c r="Q21" s="1560" t="str">
        <f t="shared" ref="Q21:Q35" si="8">B21</f>
        <v>区域土地利用方向</v>
      </c>
      <c r="R21" s="1561" t="s">
        <v>8</v>
      </c>
      <c r="S21" s="1562">
        <f>F21</f>
        <v>100</v>
      </c>
      <c r="T21" s="1561" t="s">
        <v>8</v>
      </c>
      <c r="U21" s="1562">
        <f>H21</f>
        <v>100</v>
      </c>
      <c r="V21" s="1561" t="s">
        <v>8</v>
      </c>
      <c r="W21" s="1562">
        <f>J21</f>
        <v>100</v>
      </c>
      <c r="X21" s="1555"/>
      <c r="Y21" s="351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511"/>
      <c r="Q22" s="1560"/>
      <c r="R22" s="1561"/>
      <c r="S22" s="1562"/>
      <c r="T22" s="1561"/>
      <c r="U22" s="1562"/>
      <c r="V22" s="1561"/>
      <c r="W22" s="1562"/>
      <c r="X22" s="1555"/>
      <c r="Y22" s="3511"/>
      <c r="Z22" s="1563"/>
      <c r="AA22" s="1564"/>
      <c r="AB22" s="1564"/>
      <c r="AC22" s="1564"/>
    </row>
    <row r="23" spans="1:29" ht="71.25">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511"/>
      <c r="Q23" s="1560" t="str">
        <f t="shared" si="8"/>
        <v>环境状况</v>
      </c>
      <c r="R23" s="1561" t="s">
        <v>8</v>
      </c>
      <c r="S23" s="1562">
        <f>F23</f>
        <v>100</v>
      </c>
      <c r="T23" s="1561" t="s">
        <v>8</v>
      </c>
      <c r="U23" s="1562">
        <f>H23</f>
        <v>100</v>
      </c>
      <c r="V23" s="1561" t="s">
        <v>8</v>
      </c>
      <c r="W23" s="1562">
        <f>J23</f>
        <v>100</v>
      </c>
      <c r="X23" s="1555"/>
      <c r="Y23" s="351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511"/>
      <c r="Q24" s="1560"/>
      <c r="R24" s="1561"/>
      <c r="S24" s="1562"/>
      <c r="T24" s="1561"/>
      <c r="U24" s="1562"/>
      <c r="V24" s="1561"/>
      <c r="W24" s="1562"/>
      <c r="X24" s="1555"/>
      <c r="Y24" s="3511"/>
      <c r="Z24" s="1563"/>
      <c r="AA24" s="1564">
        <v>1</v>
      </c>
      <c r="AB24" s="1564">
        <v>1</v>
      </c>
      <c r="AC24" s="1564">
        <v>1</v>
      </c>
    </row>
    <row r="25" spans="1:29" s="1212" customFormat="1" ht="42.75">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511"/>
      <c r="Q25" s="1143" t="str">
        <f t="shared" si="8"/>
        <v>公共配套设施</v>
      </c>
      <c r="R25" s="1556" t="s">
        <v>8</v>
      </c>
      <c r="S25" s="1557">
        <f>F25</f>
        <v>100</v>
      </c>
      <c r="T25" s="1556" t="s">
        <v>8</v>
      </c>
      <c r="U25" s="1557">
        <f>H25</f>
        <v>100</v>
      </c>
      <c r="V25" s="1556" t="s">
        <v>8</v>
      </c>
      <c r="W25" s="1557">
        <f>J25</f>
        <v>100</v>
      </c>
      <c r="X25" s="1558"/>
      <c r="Y25" s="351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511"/>
      <c r="Q26" s="1143"/>
      <c r="R26" s="1556"/>
      <c r="S26" s="1557"/>
      <c r="T26" s="1556"/>
      <c r="U26" s="1557"/>
      <c r="V26" s="1556"/>
      <c r="W26" s="1557"/>
      <c r="X26" s="1558"/>
      <c r="Y26" s="3511"/>
      <c r="Z26" s="1142"/>
      <c r="AA26" s="1559">
        <v>1</v>
      </c>
      <c r="AB26" s="1559">
        <v>1</v>
      </c>
      <c r="AC26" s="1559">
        <v>1</v>
      </c>
    </row>
    <row r="27" spans="1:29" s="1212" customFormat="1" ht="28.5">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511"/>
      <c r="Q27" s="2590" t="str">
        <f t="shared" ref="Q27" si="9">B27</f>
        <v>基础设施水平</v>
      </c>
      <c r="R27" s="1556" t="s">
        <v>8</v>
      </c>
      <c r="S27" s="1557">
        <f>F27</f>
        <v>100</v>
      </c>
      <c r="T27" s="1556" t="s">
        <v>8</v>
      </c>
      <c r="U27" s="1557">
        <f>H27</f>
        <v>100</v>
      </c>
      <c r="V27" s="1556" t="s">
        <v>8</v>
      </c>
      <c r="W27" s="1557">
        <f>J27</f>
        <v>100</v>
      </c>
      <c r="X27" s="1558"/>
      <c r="Y27" s="351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511"/>
      <c r="Q28" s="2590"/>
      <c r="R28" s="1556"/>
      <c r="S28" s="1557"/>
      <c r="T28" s="1556"/>
      <c r="U28" s="1557"/>
      <c r="V28" s="1556"/>
      <c r="W28" s="1557"/>
      <c r="X28" s="1558"/>
      <c r="Y28" s="351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51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511"/>
      <c r="Z29" s="1563" t="str">
        <f t="shared" ref="Z29:Z42" si="13">Q29</f>
        <v>临街状况</v>
      </c>
      <c r="AA29" s="1564">
        <f t="shared" si="3"/>
        <v>1</v>
      </c>
      <c r="AB29" s="1564">
        <f t="shared" si="4"/>
        <v>1</v>
      </c>
      <c r="AC29" s="1564">
        <f t="shared" si="5"/>
        <v>1</v>
      </c>
    </row>
    <row r="30" spans="1:29" ht="27">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511"/>
      <c r="Q30" s="1560" t="str">
        <f t="shared" si="8"/>
        <v>毗邻道路的类型与等级</v>
      </c>
      <c r="R30" s="1561" t="s">
        <v>8</v>
      </c>
      <c r="S30" s="1562">
        <f t="shared" si="10"/>
        <v>100</v>
      </c>
      <c r="T30" s="1561" t="s">
        <v>8</v>
      </c>
      <c r="U30" s="1562">
        <f t="shared" si="11"/>
        <v>100</v>
      </c>
      <c r="V30" s="1561" t="s">
        <v>8</v>
      </c>
      <c r="W30" s="1562">
        <f t="shared" si="12"/>
        <v>100</v>
      </c>
      <c r="X30" s="1555"/>
      <c r="Y30" s="351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511"/>
      <c r="Q31" s="1560"/>
      <c r="R31" s="1561"/>
      <c r="S31" s="1562"/>
      <c r="T31" s="1561"/>
      <c r="U31" s="1562"/>
      <c r="V31" s="1561"/>
      <c r="W31" s="1562"/>
      <c r="X31" s="1555"/>
      <c r="Y31" s="351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511"/>
      <c r="Q32" s="1560" t="str">
        <f t="shared" si="8"/>
        <v>土地级别</v>
      </c>
      <c r="R32" s="1561" t="s">
        <v>8</v>
      </c>
      <c r="S32" s="1562">
        <f t="shared" si="10"/>
        <v>100</v>
      </c>
      <c r="T32" s="1561" t="s">
        <v>8</v>
      </c>
      <c r="U32" s="1562">
        <f t="shared" si="11"/>
        <v>100</v>
      </c>
      <c r="V32" s="1561" t="s">
        <v>8</v>
      </c>
      <c r="W32" s="1562">
        <f t="shared" si="12"/>
        <v>100</v>
      </c>
      <c r="X32" s="1555"/>
      <c r="Y32" s="351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511"/>
      <c r="Q33" s="1560">
        <f t="shared" si="8"/>
        <v>111</v>
      </c>
      <c r="R33" s="1561" t="s">
        <v>8</v>
      </c>
      <c r="S33" s="1562">
        <f t="shared" si="10"/>
        <v>100</v>
      </c>
      <c r="T33" s="1561" t="s">
        <v>8</v>
      </c>
      <c r="U33" s="1562">
        <f t="shared" si="11"/>
        <v>100</v>
      </c>
      <c r="V33" s="1561" t="s">
        <v>8</v>
      </c>
      <c r="W33" s="1562">
        <f t="shared" si="12"/>
        <v>100</v>
      </c>
      <c r="X33" s="1555"/>
      <c r="Y33" s="351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512" t="s">
        <v>549</v>
      </c>
      <c r="Q34" s="1560">
        <f t="shared" si="8"/>
        <v>111</v>
      </c>
      <c r="R34" s="1561" t="s">
        <v>8</v>
      </c>
      <c r="S34" s="1562">
        <f t="shared" si="10"/>
        <v>100</v>
      </c>
      <c r="T34" s="1561" t="s">
        <v>8</v>
      </c>
      <c r="U34" s="1562">
        <f t="shared" si="11"/>
        <v>100</v>
      </c>
      <c r="V34" s="1561" t="s">
        <v>8</v>
      </c>
      <c r="W34" s="1562">
        <f t="shared" si="12"/>
        <v>100</v>
      </c>
      <c r="X34" s="1555"/>
      <c r="Y34" s="3513" t="s">
        <v>549</v>
      </c>
      <c r="Z34" s="1563">
        <f t="shared" si="13"/>
        <v>111</v>
      </c>
      <c r="AA34" s="1564">
        <f t="shared" si="3"/>
        <v>1</v>
      </c>
      <c r="AB34" s="1564">
        <f t="shared" si="4"/>
        <v>1</v>
      </c>
      <c r="AC34" s="1564">
        <f t="shared" si="5"/>
        <v>1</v>
      </c>
    </row>
    <row r="35" spans="1:29" s="1331" customFormat="1" ht="15.75"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513"/>
      <c r="Q35" s="1560">
        <f t="shared" si="8"/>
        <v>111</v>
      </c>
      <c r="R35" s="1565" t="s">
        <v>8</v>
      </c>
      <c r="S35" s="1566">
        <f t="shared" si="10"/>
        <v>100</v>
      </c>
      <c r="T35" s="1565" t="s">
        <v>8</v>
      </c>
      <c r="U35" s="1566">
        <f t="shared" si="11"/>
        <v>100</v>
      </c>
      <c r="V35" s="1565" t="s">
        <v>8</v>
      </c>
      <c r="W35" s="1566">
        <f t="shared" si="12"/>
        <v>100</v>
      </c>
      <c r="X35" s="1567"/>
      <c r="Y35" s="351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513"/>
      <c r="Q36" s="1560" t="str">
        <f>B36</f>
        <v>宗地面积</v>
      </c>
      <c r="R36" s="1561" t="s">
        <v>8</v>
      </c>
      <c r="S36" s="1562" t="e">
        <f t="shared" si="10"/>
        <v>#N/A</v>
      </c>
      <c r="T36" s="1561" t="s">
        <v>8</v>
      </c>
      <c r="U36" s="1562" t="e">
        <f t="shared" si="11"/>
        <v>#N/A</v>
      </c>
      <c r="V36" s="1561" t="s">
        <v>8</v>
      </c>
      <c r="W36" s="1562" t="e">
        <f t="shared" si="12"/>
        <v>#N/A</v>
      </c>
      <c r="X36" s="1555"/>
      <c r="Y36" s="351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513"/>
      <c r="Q37" s="1560" t="str">
        <f t="shared" ref="Q37:Q42" si="14">B37</f>
        <v>宗地形状</v>
      </c>
      <c r="R37" s="1561" t="s">
        <v>8</v>
      </c>
      <c r="S37" s="1562">
        <f t="shared" si="10"/>
        <v>100</v>
      </c>
      <c r="T37" s="1561" t="s">
        <v>8</v>
      </c>
      <c r="U37" s="1562">
        <f t="shared" si="11"/>
        <v>100</v>
      </c>
      <c r="V37" s="1561" t="s">
        <v>8</v>
      </c>
      <c r="W37" s="1562">
        <f t="shared" si="12"/>
        <v>100</v>
      </c>
      <c r="X37" s="1555"/>
      <c r="Y37" s="351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513"/>
      <c r="Q38" s="1560" t="str">
        <f t="shared" si="14"/>
        <v>宗地开发程度</v>
      </c>
      <c r="R38" s="1556" t="s">
        <v>8</v>
      </c>
      <c r="S38" s="1557">
        <f t="shared" si="10"/>
        <v>100</v>
      </c>
      <c r="T38" s="1556" t="s">
        <v>8</v>
      </c>
      <c r="U38" s="1557">
        <f t="shared" si="11"/>
        <v>100</v>
      </c>
      <c r="V38" s="1556" t="s">
        <v>8</v>
      </c>
      <c r="W38" s="1557">
        <f t="shared" si="12"/>
        <v>100</v>
      </c>
      <c r="X38" s="1558"/>
      <c r="Y38" s="351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t="s">
        <v>600</v>
      </c>
      <c r="Q39" s="1560" t="str">
        <f t="shared" si="14"/>
        <v>工程地质条件</v>
      </c>
      <c r="R39" s="1561" t="s">
        <v>8</v>
      </c>
      <c r="S39" s="1562">
        <f t="shared" si="10"/>
        <v>100</v>
      </c>
      <c r="T39" s="1561" t="s">
        <v>8</v>
      </c>
      <c r="U39" s="1562">
        <f t="shared" si="11"/>
        <v>100</v>
      </c>
      <c r="V39" s="1561" t="s">
        <v>8</v>
      </c>
      <c r="W39" s="1562">
        <f t="shared" si="12"/>
        <v>100</v>
      </c>
      <c r="X39" s="1555"/>
      <c r="Y39" s="351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513"/>
      <c r="Q40" s="1560">
        <f t="shared" si="14"/>
        <v>111</v>
      </c>
      <c r="R40" s="1561" t="s">
        <v>8</v>
      </c>
      <c r="S40" s="1562">
        <f t="shared" si="10"/>
        <v>100</v>
      </c>
      <c r="T40" s="1561" t="s">
        <v>8</v>
      </c>
      <c r="U40" s="1562">
        <f t="shared" si="11"/>
        <v>100</v>
      </c>
      <c r="V40" s="1561" t="s">
        <v>8</v>
      </c>
      <c r="W40" s="1562">
        <f t="shared" si="12"/>
        <v>100</v>
      </c>
      <c r="X40" s="1555"/>
      <c r="Y40" s="351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513"/>
      <c r="Q41" s="1560">
        <f t="shared" si="14"/>
        <v>111</v>
      </c>
      <c r="R41" s="1561" t="s">
        <v>8</v>
      </c>
      <c r="S41" s="1562">
        <f t="shared" si="10"/>
        <v>100</v>
      </c>
      <c r="T41" s="1561" t="s">
        <v>8</v>
      </c>
      <c r="U41" s="1562">
        <f t="shared" si="11"/>
        <v>100</v>
      </c>
      <c r="V41" s="1561" t="s">
        <v>8</v>
      </c>
      <c r="W41" s="1562">
        <f t="shared" si="12"/>
        <v>100</v>
      </c>
      <c r="X41" s="1555"/>
      <c r="Y41" s="3513"/>
      <c r="Z41" s="1563">
        <f t="shared" si="13"/>
        <v>111</v>
      </c>
      <c r="AA41" s="1564">
        <f t="shared" si="3"/>
        <v>1</v>
      </c>
      <c r="AB41" s="1564">
        <f t="shared" si="4"/>
        <v>1</v>
      </c>
      <c r="AC41" s="1564">
        <f t="shared" si="5"/>
        <v>1</v>
      </c>
    </row>
    <row r="42" spans="1:29" s="1331" customFormat="1" ht="15.75"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513"/>
      <c r="Q42" s="1560">
        <f t="shared" si="14"/>
        <v>111</v>
      </c>
      <c r="R42" s="1565" t="s">
        <v>8</v>
      </c>
      <c r="S42" s="1566">
        <f t="shared" si="10"/>
        <v>100</v>
      </c>
      <c r="T42" s="1565" t="s">
        <v>8</v>
      </c>
      <c r="U42" s="1566">
        <f t="shared" si="11"/>
        <v>100</v>
      </c>
      <c r="V42" s="1565" t="s">
        <v>8</v>
      </c>
      <c r="W42" s="1566">
        <f t="shared" si="12"/>
        <v>100</v>
      </c>
      <c r="X42" s="1567"/>
      <c r="Y42" s="3513"/>
      <c r="Z42" s="1568">
        <f t="shared" si="13"/>
        <v>111</v>
      </c>
      <c r="AA42" s="1564">
        <f t="shared" si="3"/>
        <v>1</v>
      </c>
      <c r="AB42" s="1564">
        <f t="shared" si="4"/>
        <v>1</v>
      </c>
      <c r="AC42" s="1564">
        <f t="shared" si="5"/>
        <v>1</v>
      </c>
    </row>
    <row r="43" spans="1:29" ht="15">
      <c r="A43" s="600" t="s">
        <v>555</v>
      </c>
      <c r="B43" s="601" t="s">
        <v>2930</v>
      </c>
      <c r="C43" s="602" t="s">
        <v>1</v>
      </c>
      <c r="D43" s="603"/>
      <c r="E43" s="604"/>
      <c r="F43" s="605"/>
      <c r="G43" s="606"/>
      <c r="H43" s="607"/>
      <c r="I43" s="604"/>
      <c r="J43" s="607"/>
      <c r="K43" s="1332"/>
      <c r="L43" s="2132"/>
      <c r="M43" s="2122"/>
      <c r="N43" s="2122"/>
      <c r="O43" s="2133"/>
      <c r="P43" s="3475" t="str">
        <f>A43</f>
        <v>成交单价</v>
      </c>
      <c r="Q43" s="3475"/>
      <c r="R43" s="3476">
        <f>E43</f>
        <v>0</v>
      </c>
      <c r="S43" s="3476"/>
      <c r="T43" s="3476">
        <f>G43</f>
        <v>0</v>
      </c>
      <c r="U43" s="3476"/>
      <c r="V43" s="3476">
        <f>I43</f>
        <v>0</v>
      </c>
      <c r="W43" s="3476"/>
      <c r="X43" s="1547"/>
      <c r="Y43" s="1569"/>
      <c r="Z43" s="1547"/>
      <c r="AA43" s="1547"/>
      <c r="AB43" s="1547"/>
      <c r="AC43" s="1547"/>
    </row>
    <row r="44" spans="1:29" ht="15.7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75" t="str">
        <f>A44</f>
        <v>比较价格（元/平方米）</v>
      </c>
      <c r="Q44" s="3475"/>
      <c r="R44" s="3477" t="e">
        <f>ROUND(PRODUCT(R43,AA9:AA42),0)</f>
        <v>#DIV/0!</v>
      </c>
      <c r="S44" s="3477"/>
      <c r="T44" s="3477" t="e">
        <f>ROUND(PRODUCT(T43,AB9:AB42),0)</f>
        <v>#DIV/0!</v>
      </c>
      <c r="U44" s="3477"/>
      <c r="V44" s="3477" t="e">
        <f>ROUND(PRODUCT(V43,AC9:AC42),0)</f>
        <v>#DIV/0!</v>
      </c>
      <c r="W44" s="3477"/>
      <c r="X44" s="1547"/>
      <c r="Y44" s="1547"/>
      <c r="Z44" s="1547"/>
      <c r="AA44" s="1547"/>
      <c r="AB44" s="1547"/>
      <c r="AC44" s="1547"/>
    </row>
    <row r="45" spans="1:29" ht="15.75" thickBot="1">
      <c r="A45" s="614" t="s">
        <v>2931</v>
      </c>
      <c r="B45" s="615"/>
      <c r="C45" s="616" t="e">
        <f>R45</f>
        <v>#DIV/0!</v>
      </c>
      <c r="D45" s="616"/>
      <c r="E45" s="616"/>
      <c r="F45" s="616"/>
      <c r="G45" s="616"/>
      <c r="H45" s="616"/>
      <c r="I45" s="616"/>
      <c r="J45" s="616"/>
      <c r="K45" s="1334"/>
      <c r="L45" s="2132"/>
      <c r="M45" s="2122"/>
      <c r="N45" s="2122"/>
      <c r="O45" s="2133"/>
      <c r="P45" s="3472" t="str">
        <f>A45</f>
        <v>估价对象XX用房的比较价格（楼面单价，元/平方米）</v>
      </c>
      <c r="Q45" s="3473"/>
      <c r="R45" s="3474" t="e">
        <f>ROUND(AVERAGE(R44:V44),0)</f>
        <v>#DIV/0!</v>
      </c>
      <c r="S45" s="3474"/>
      <c r="T45" s="3474"/>
      <c r="U45" s="3474"/>
      <c r="V45" s="3474"/>
      <c r="W45" s="3474"/>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2" t="s">
        <v>559</v>
      </c>
      <c r="B52" s="623" t="s">
        <v>560</v>
      </c>
      <c r="C52" s="1548" t="s">
        <v>1724</v>
      </c>
      <c r="D52" s="2215" t="s">
        <v>2294</v>
      </c>
      <c r="E52" s="624" t="s">
        <v>561</v>
      </c>
      <c r="F52" s="1939" t="s">
        <v>562</v>
      </c>
      <c r="G52" s="3524" t="s">
        <v>2285</v>
      </c>
      <c r="H52" s="352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2.75">
      <c r="A53" s="626" t="s">
        <v>563</v>
      </c>
      <c r="B53" s="627" t="e">
        <f>C45</f>
        <v>#DIV/0!</v>
      </c>
      <c r="C53" s="628">
        <v>1</v>
      </c>
      <c r="D53" s="2216">
        <v>1</v>
      </c>
      <c r="E53" s="628">
        <f>'数据-汇总表'!E8+'数据-汇总表'!E9</f>
        <v>339247.67000000004</v>
      </c>
      <c r="F53" s="1938" t="e">
        <f t="shared" ref="F53:F62" si="15">ROUND(B53*E53/10000,0)</f>
        <v>#DIV/0!</v>
      </c>
      <c r="G53" s="3526"/>
      <c r="H53" s="352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2.75">
      <c r="A54" s="630" t="s">
        <v>564</v>
      </c>
      <c r="B54" s="631" t="e">
        <f>ROUND($C$45*C54*D54,0)</f>
        <v>#DIV/0!</v>
      </c>
      <c r="C54" s="371">
        <f t="shared" ref="C54:C62" si="16">IF($C$52="北京市系数",I54,J54)</f>
        <v>0.6</v>
      </c>
      <c r="D54" s="2217">
        <v>0.25</v>
      </c>
      <c r="E54" s="632"/>
      <c r="F54" s="1938" t="e">
        <f t="shared" si="15"/>
        <v>#DIV/0!</v>
      </c>
      <c r="G54" s="352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2.75">
      <c r="A55" s="630" t="s">
        <v>565</v>
      </c>
      <c r="B55" s="631" t="e">
        <f t="shared" ref="B55:B62" si="17">ROUND($C$45*C55*D55,0)</f>
        <v>#DIV/0!</v>
      </c>
      <c r="C55" s="371">
        <f t="shared" si="16"/>
        <v>0.3</v>
      </c>
      <c r="D55" s="2217">
        <v>0.25</v>
      </c>
      <c r="E55" s="632"/>
      <c r="F55" s="1938" t="e">
        <f t="shared" si="15"/>
        <v>#DIV/0!</v>
      </c>
      <c r="G55" s="352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2.75">
      <c r="A56" s="630" t="s">
        <v>566</v>
      </c>
      <c r="B56" s="631" t="e">
        <f t="shared" si="17"/>
        <v>#DIV/0!</v>
      </c>
      <c r="C56" s="371">
        <f t="shared" si="16"/>
        <v>0.2</v>
      </c>
      <c r="D56" s="2217">
        <v>0.25</v>
      </c>
      <c r="E56" s="632"/>
      <c r="F56" s="1938" t="e">
        <f t="shared" si="15"/>
        <v>#DIV/0!</v>
      </c>
      <c r="G56" s="352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2.75">
      <c r="A57" s="630" t="s">
        <v>567</v>
      </c>
      <c r="B57" s="631" t="e">
        <f t="shared" si="17"/>
        <v>#DIV/0!</v>
      </c>
      <c r="C57" s="371">
        <f t="shared" si="16"/>
        <v>0.2</v>
      </c>
      <c r="D57" s="2217">
        <v>0.25</v>
      </c>
      <c r="E57" s="632"/>
      <c r="F57" s="1938" t="e">
        <f t="shared" si="15"/>
        <v>#DIV/0!</v>
      </c>
      <c r="G57" s="352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2.75">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5"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5"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1.75"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5">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7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5">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5.75"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5.75"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7.75"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5.75"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5.75"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5.75"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5.75"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5.75"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5.75"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7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15.75"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7.75"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5.75"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7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5.75"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7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5.75"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7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5.75"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5"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5"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5.75"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5"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5.75"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5"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5.75"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25" style="1392" customWidth="1"/>
    <col min="2" max="2" width="19.125" style="1516" customWidth="1"/>
    <col min="3" max="4" width="12" style="1393"/>
    <col min="5" max="5" width="14.625" style="1393" customWidth="1"/>
    <col min="6" max="8" width="12" style="1393"/>
    <col min="9" max="9" width="12.1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75">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75">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28.5">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75"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8"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9"/>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30" t="s">
        <v>2783</v>
      </c>
      <c r="X8" s="353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9"/>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2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9"/>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2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9"/>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2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5" thickBot="1">
      <c r="A12" s="3538"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2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40"/>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2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40"/>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41"/>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8"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13.5" thickBot="1">
      <c r="A17" s="3539"/>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25">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15.75"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7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25">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14.25">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75"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544"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545"/>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545"/>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546"/>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48">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36.75"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542" t="s">
        <v>1633</v>
      </c>
      <c r="B90" s="3542"/>
      <c r="C90" s="3542"/>
      <c r="D90" s="3542"/>
      <c r="E90" s="3542"/>
      <c r="F90" s="3542"/>
      <c r="G90" s="3542"/>
      <c r="H90" s="3542"/>
      <c r="I90" s="3542"/>
      <c r="J90" s="3542"/>
      <c r="K90" s="2462"/>
      <c r="L90" s="2462"/>
      <c r="M90" s="2462"/>
      <c r="N90" s="2462"/>
    </row>
    <row r="91" spans="1:40">
      <c r="A91" s="3543" t="s">
        <v>1443</v>
      </c>
      <c r="B91" s="3543" t="s">
        <v>1634</v>
      </c>
      <c r="C91" s="1132" t="s">
        <v>1635</v>
      </c>
      <c r="D91" s="1133"/>
      <c r="E91" s="1133"/>
      <c r="F91" s="1133"/>
      <c r="G91" s="1133"/>
      <c r="H91" s="1133"/>
      <c r="I91" s="1133"/>
      <c r="J91" s="1134"/>
      <c r="K91" s="1126"/>
      <c r="L91" s="1126"/>
      <c r="M91" s="1126"/>
      <c r="N91" s="1126"/>
    </row>
    <row r="92" spans="1:40">
      <c r="A92" s="3543"/>
      <c r="B92" s="354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53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53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53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53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53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53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53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53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53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c r="A102" s="353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c r="A103" s="353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c r="A104" s="353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c r="A105" s="353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c r="A106" s="353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c r="A107" s="353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c r="A108" s="3533"/>
      <c r="B108" s="353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534"/>
      <c r="B109" s="353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c r="A110" s="3537" t="s">
        <v>1639</v>
      </c>
      <c r="B110" s="3537"/>
      <c r="C110" s="3537"/>
      <c r="D110" s="3537"/>
      <c r="E110" s="3537"/>
      <c r="F110" s="3537"/>
      <c r="G110" s="3537"/>
      <c r="H110" s="3537"/>
      <c r="I110" s="3537"/>
      <c r="J110" s="3537"/>
      <c r="K110" s="2460"/>
      <c r="L110" s="2460"/>
      <c r="M110" s="2460"/>
      <c r="N110" s="2460"/>
    </row>
    <row r="112" spans="1:14" ht="12.75" thickBot="1"/>
    <row r="113" spans="1:13" ht="25.5"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2.75">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2.75">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2.75">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5"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58" customWidth="1"/>
    <col min="2" max="9" width="8.125" style="1097" customWidth="1"/>
    <col min="10" max="13" width="8.125" style="1058"/>
    <col min="14" max="14" width="10" style="1058" customWidth="1"/>
    <col min="15" max="16" width="8.125" style="1058"/>
    <col min="17" max="17" width="34.125" style="1058" customWidth="1"/>
    <col min="18" max="18" width="8.125" style="1058" customWidth="1"/>
    <col min="19" max="19" width="8.125" style="1058"/>
    <col min="20" max="20" width="11.625" style="1058" customWidth="1"/>
    <col min="21" max="16384" width="8.12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43" t="s">
        <v>1007</v>
      </c>
      <c r="B18" s="1146" t="s">
        <v>1446</v>
      </c>
      <c r="C18" s="1123" t="s">
        <v>1447</v>
      </c>
      <c r="D18" s="1124"/>
      <c r="E18" s="1146">
        <v>1</v>
      </c>
      <c r="F18" s="1125" t="s">
        <v>1448</v>
      </c>
      <c r="G18" s="1126"/>
      <c r="H18" s="1097"/>
      <c r="I18" s="1097"/>
    </row>
    <row r="19" spans="1:9" s="1587" customFormat="1" ht="19.5" customHeight="1">
      <c r="A19" s="3543"/>
      <c r="B19" s="3543" t="s">
        <v>1449</v>
      </c>
      <c r="C19" s="1123" t="s">
        <v>1450</v>
      </c>
      <c r="D19" s="1124"/>
      <c r="E19" s="1146">
        <v>0.9</v>
      </c>
      <c r="F19" s="1125" t="s">
        <v>1451</v>
      </c>
      <c r="G19" s="1126"/>
      <c r="H19" s="1097"/>
      <c r="I19" s="1097"/>
    </row>
    <row r="20" spans="1:9" s="1587" customFormat="1" ht="19.5" customHeight="1">
      <c r="A20" s="3543"/>
      <c r="B20" s="3543"/>
      <c r="C20" s="1123" t="s">
        <v>1452</v>
      </c>
      <c r="D20" s="1124"/>
      <c r="E20" s="1146">
        <v>1.1000000000000001</v>
      </c>
      <c r="F20" s="1125" t="s">
        <v>1453</v>
      </c>
      <c r="G20" s="1126"/>
      <c r="H20" s="1097"/>
      <c r="I20" s="1097"/>
    </row>
    <row r="21" spans="1:9" s="1587" customFormat="1" ht="19.5" customHeight="1">
      <c r="A21" s="3543"/>
      <c r="B21" s="3543"/>
      <c r="C21" s="1123" t="s">
        <v>1454</v>
      </c>
      <c r="D21" s="1124"/>
      <c r="E21" s="1146">
        <v>0.8</v>
      </c>
      <c r="F21" s="1125" t="s">
        <v>1455</v>
      </c>
      <c r="G21" s="1126"/>
      <c r="H21" s="1097"/>
      <c r="I21" s="1097"/>
    </row>
    <row r="22" spans="1:9" s="1587" customFormat="1" ht="19.5" customHeight="1">
      <c r="A22" s="3543"/>
      <c r="B22" s="3543"/>
      <c r="C22" s="1123" t="s">
        <v>1456</v>
      </c>
      <c r="D22" s="1124"/>
      <c r="E22" s="1146">
        <v>0.5</v>
      </c>
      <c r="F22" s="1125"/>
      <c r="G22" s="1126"/>
      <c r="H22" s="1097"/>
      <c r="I22" s="1097"/>
    </row>
    <row r="23" spans="1:9" s="1587" customFormat="1" ht="19.5" customHeight="1">
      <c r="A23" s="3543" t="s">
        <v>1029</v>
      </c>
      <c r="B23" s="1146" t="s">
        <v>1446</v>
      </c>
      <c r="C23" s="1123" t="s">
        <v>1457</v>
      </c>
      <c r="D23" s="1124"/>
      <c r="E23" s="1146">
        <v>1</v>
      </c>
      <c r="F23" s="1125" t="s">
        <v>1458</v>
      </c>
      <c r="G23" s="1126"/>
      <c r="H23" s="1097"/>
      <c r="I23" s="1097"/>
    </row>
    <row r="24" spans="1:9" s="1587" customFormat="1" ht="19.5" customHeight="1">
      <c r="A24" s="3543"/>
      <c r="B24" s="3543" t="s">
        <v>1449</v>
      </c>
      <c r="C24" s="1123" t="s">
        <v>1459</v>
      </c>
      <c r="D24" s="1124"/>
      <c r="E24" s="1146">
        <v>0.5</v>
      </c>
      <c r="F24" s="1125"/>
      <c r="G24" s="1126"/>
      <c r="H24" s="1097"/>
      <c r="I24" s="1097"/>
    </row>
    <row r="25" spans="1:9" s="1587" customFormat="1" ht="19.5" customHeight="1">
      <c r="A25" s="3543"/>
      <c r="B25" s="3543"/>
      <c r="C25" s="1123" t="s">
        <v>1460</v>
      </c>
      <c r="D25" s="1124"/>
      <c r="E25" s="1146">
        <v>1.1000000000000001</v>
      </c>
      <c r="F25" s="1125"/>
      <c r="G25" s="1126"/>
      <c r="H25" s="1097"/>
      <c r="I25" s="1097"/>
    </row>
    <row r="26" spans="1:9" s="1587" customFormat="1" ht="19.5" customHeight="1">
      <c r="A26" s="3543"/>
      <c r="B26" s="3543"/>
      <c r="C26" s="1123" t="s">
        <v>1461</v>
      </c>
      <c r="D26" s="1124"/>
      <c r="E26" s="1146">
        <v>1.1000000000000001</v>
      </c>
      <c r="F26" s="1125"/>
      <c r="G26" s="1126"/>
      <c r="H26" s="1097"/>
      <c r="I26" s="1097"/>
    </row>
    <row r="27" spans="1:9" s="1587" customFormat="1" ht="19.5" customHeight="1">
      <c r="A27" s="3543"/>
      <c r="B27" s="3543"/>
      <c r="C27" s="1123" t="s">
        <v>1462</v>
      </c>
      <c r="D27" s="1124"/>
      <c r="E27" s="1146">
        <v>0.9</v>
      </c>
      <c r="F27" s="1125" t="s">
        <v>1463</v>
      </c>
      <c r="G27" s="1126"/>
      <c r="H27" s="1097"/>
      <c r="I27" s="1097"/>
    </row>
    <row r="28" spans="1:9" s="1587" customFormat="1" ht="19.5" customHeight="1">
      <c r="A28" s="3543"/>
      <c r="B28" s="3543"/>
      <c r="C28" s="1123" t="s">
        <v>1464</v>
      </c>
      <c r="D28" s="1124"/>
      <c r="E28" s="1146">
        <v>0.9</v>
      </c>
      <c r="F28" s="1125" t="s">
        <v>1465</v>
      </c>
      <c r="G28" s="1126"/>
      <c r="H28" s="1097"/>
      <c r="I28" s="1097"/>
    </row>
    <row r="29" spans="1:9" s="1587" customFormat="1" ht="19.5" customHeight="1">
      <c r="A29" s="3543"/>
      <c r="B29" s="3543"/>
      <c r="C29" s="1123" t="s">
        <v>1466</v>
      </c>
      <c r="D29" s="1124"/>
      <c r="E29" s="1146">
        <v>0.9</v>
      </c>
      <c r="F29" s="1125" t="s">
        <v>1467</v>
      </c>
      <c r="G29" s="1126"/>
      <c r="H29" s="1097"/>
      <c r="I29" s="1097"/>
    </row>
    <row r="30" spans="1:9" s="1587" customFormat="1" ht="19.5" customHeight="1">
      <c r="A30" s="3543"/>
      <c r="B30" s="3543"/>
      <c r="C30" s="1123" t="s">
        <v>1468</v>
      </c>
      <c r="D30" s="1124"/>
      <c r="E30" s="1146">
        <v>0.9</v>
      </c>
      <c r="F30" s="1125" t="s">
        <v>1469</v>
      </c>
      <c r="G30" s="1126"/>
      <c r="H30" s="1097"/>
      <c r="I30" s="1097"/>
    </row>
    <row r="31" spans="1:9" s="1587" customFormat="1" ht="19.5" customHeight="1">
      <c r="A31" s="3543"/>
      <c r="B31" s="3543"/>
      <c r="C31" s="1123" t="s">
        <v>1470</v>
      </c>
      <c r="D31" s="1124"/>
      <c r="E31" s="1146">
        <v>0.8</v>
      </c>
      <c r="F31" s="1125" t="s">
        <v>1471</v>
      </c>
      <c r="G31" s="1126"/>
      <c r="H31" s="1097"/>
      <c r="I31" s="1097"/>
    </row>
    <row r="32" spans="1:9" s="1587" customFormat="1" ht="19.5" customHeight="1">
      <c r="A32" s="3543"/>
      <c r="B32" s="3543"/>
      <c r="C32" s="1123" t="s">
        <v>1472</v>
      </c>
      <c r="D32" s="1124"/>
      <c r="E32" s="1146">
        <v>0.8</v>
      </c>
      <c r="F32" s="1125" t="s">
        <v>1473</v>
      </c>
      <c r="G32" s="1126"/>
      <c r="H32" s="1097"/>
      <c r="I32" s="1097"/>
    </row>
    <row r="33" spans="1:9" s="1587" customFormat="1" ht="19.5" customHeight="1">
      <c r="A33" s="3543" t="s">
        <v>1474</v>
      </c>
      <c r="B33" s="1146" t="s">
        <v>1446</v>
      </c>
      <c r="C33" s="1123" t="s">
        <v>1475</v>
      </c>
      <c r="D33" s="1124"/>
      <c r="E33" s="1146">
        <v>1</v>
      </c>
      <c r="F33" s="1125" t="s">
        <v>1476</v>
      </c>
      <c r="G33" s="1126"/>
      <c r="H33" s="1097"/>
      <c r="I33" s="1097"/>
    </row>
    <row r="34" spans="1:9" s="1587" customFormat="1" ht="19.5" customHeight="1">
      <c r="A34" s="3543"/>
      <c r="B34" s="1146" t="s">
        <v>1449</v>
      </c>
      <c r="C34" s="1123" t="s">
        <v>1477</v>
      </c>
      <c r="D34" s="1124"/>
      <c r="E34" s="1146">
        <v>1.5</v>
      </c>
      <c r="F34" s="1125" t="s">
        <v>1478</v>
      </c>
      <c r="G34" s="1126"/>
      <c r="H34" s="1097"/>
      <c r="I34" s="1097"/>
    </row>
    <row r="35" spans="1:9" s="1587" customFormat="1" ht="19.5" customHeight="1">
      <c r="A35" s="3543" t="s">
        <v>1432</v>
      </c>
      <c r="B35" s="1146" t="s">
        <v>1446</v>
      </c>
      <c r="C35" s="1123" t="s">
        <v>1479</v>
      </c>
      <c r="D35" s="1124"/>
      <c r="E35" s="1146">
        <v>1</v>
      </c>
      <c r="F35" s="1125" t="s">
        <v>1480</v>
      </c>
      <c r="G35" s="1126"/>
      <c r="H35" s="1097"/>
      <c r="I35" s="1097"/>
    </row>
    <row r="36" spans="1:9" s="1587" customFormat="1" ht="19.5" customHeight="1">
      <c r="A36" s="3543"/>
      <c r="B36" s="3543" t="s">
        <v>1449</v>
      </c>
      <c r="C36" s="1123" t="s">
        <v>1481</v>
      </c>
      <c r="D36" s="1124"/>
      <c r="E36" s="1146">
        <v>1</v>
      </c>
      <c r="F36" s="1125" t="s">
        <v>1482</v>
      </c>
      <c r="G36" s="1126"/>
      <c r="H36" s="1097"/>
      <c r="I36" s="1097"/>
    </row>
    <row r="37" spans="1:9" s="1587" customFormat="1" ht="19.5" customHeight="1">
      <c r="A37" s="3543"/>
      <c r="B37" s="3543"/>
      <c r="C37" s="1123" t="s">
        <v>1483</v>
      </c>
      <c r="D37" s="1124"/>
      <c r="E37" s="1146">
        <v>1.5</v>
      </c>
      <c r="F37" s="1125" t="s">
        <v>1484</v>
      </c>
      <c r="G37" s="1126"/>
      <c r="H37" s="1097"/>
      <c r="I37" s="1097"/>
    </row>
    <row r="38" spans="1:9" s="1587" customFormat="1" ht="19.5" customHeight="1">
      <c r="A38" s="3543"/>
      <c r="B38" s="3543"/>
      <c r="C38" s="1123" t="s">
        <v>1485</v>
      </c>
      <c r="D38" s="1124"/>
      <c r="E38" s="1146">
        <v>1</v>
      </c>
      <c r="F38" s="1125" t="s">
        <v>1486</v>
      </c>
      <c r="G38" s="1126"/>
      <c r="H38" s="1097"/>
      <c r="I38" s="1097"/>
    </row>
    <row r="39" spans="1:9" s="1587" customFormat="1" ht="19.5" customHeight="1">
      <c r="A39" s="3543"/>
      <c r="B39" s="3543"/>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543" t="s">
        <v>1501</v>
      </c>
      <c r="C61" s="1060" t="s">
        <v>1502</v>
      </c>
      <c r="D61" s="1060" t="s">
        <v>1503</v>
      </c>
      <c r="E61" s="1131">
        <v>0.5</v>
      </c>
      <c r="F61" s="1146">
        <v>80</v>
      </c>
      <c r="H61" s="1097">
        <f>SUMIF(C59:C119,基准地价!C8,E59:E119)</f>
        <v>0</v>
      </c>
    </row>
    <row r="62" spans="1:8" s="1097" customFormat="1" ht="24">
      <c r="A62" s="1146">
        <v>2</v>
      </c>
      <c r="B62" s="3543"/>
      <c r="C62" s="1060" t="s">
        <v>1504</v>
      </c>
      <c r="D62" s="1060" t="s">
        <v>1505</v>
      </c>
      <c r="E62" s="1131">
        <v>0.5</v>
      </c>
      <c r="F62" s="1146">
        <v>80</v>
      </c>
    </row>
    <row r="63" spans="1:8" s="1097" customFormat="1" ht="36">
      <c r="A63" s="1146">
        <v>3</v>
      </c>
      <c r="B63" s="3543"/>
      <c r="C63" s="1060" t="s">
        <v>1506</v>
      </c>
      <c r="D63" s="1060" t="s">
        <v>1507</v>
      </c>
      <c r="E63" s="1131">
        <v>0.5</v>
      </c>
      <c r="F63" s="1146">
        <v>80</v>
      </c>
    </row>
    <row r="64" spans="1:8" s="1097" customFormat="1" ht="36">
      <c r="A64" s="1146">
        <v>4</v>
      </c>
      <c r="B64" s="3543"/>
      <c r="C64" s="1060" t="s">
        <v>1508</v>
      </c>
      <c r="D64" s="1060" t="s">
        <v>1509</v>
      </c>
      <c r="E64" s="1131">
        <v>0.4</v>
      </c>
      <c r="F64" s="1146">
        <v>60</v>
      </c>
    </row>
    <row r="65" spans="1:6" s="1097" customFormat="1" ht="36">
      <c r="A65" s="1146">
        <v>5</v>
      </c>
      <c r="B65" s="3543"/>
      <c r="C65" s="1060" t="s">
        <v>1510</v>
      </c>
      <c r="D65" s="1060" t="s">
        <v>1511</v>
      </c>
      <c r="E65" s="1131">
        <v>0.2</v>
      </c>
      <c r="F65" s="1146">
        <v>30</v>
      </c>
    </row>
    <row r="66" spans="1:6" s="1097" customFormat="1" ht="36">
      <c r="A66" s="1146">
        <v>6</v>
      </c>
      <c r="B66" s="3543"/>
      <c r="C66" s="1060" t="s">
        <v>1512</v>
      </c>
      <c r="D66" s="1060" t="s">
        <v>1513</v>
      </c>
      <c r="E66" s="1131">
        <v>0.3</v>
      </c>
      <c r="F66" s="1146">
        <v>50</v>
      </c>
    </row>
    <row r="67" spans="1:6" s="1097" customFormat="1" ht="36">
      <c r="A67" s="1146">
        <v>7</v>
      </c>
      <c r="B67" s="3543"/>
      <c r="C67" s="1060" t="s">
        <v>1514</v>
      </c>
      <c r="D67" s="1060" t="s">
        <v>1515</v>
      </c>
      <c r="E67" s="1131">
        <v>0.2</v>
      </c>
      <c r="F67" s="1146">
        <v>30</v>
      </c>
    </row>
    <row r="68" spans="1:6" s="1097" customFormat="1" ht="36">
      <c r="A68" s="1146">
        <v>8</v>
      </c>
      <c r="B68" s="3543"/>
      <c r="C68" s="1060" t="s">
        <v>1516</v>
      </c>
      <c r="D68" s="1060" t="s">
        <v>1517</v>
      </c>
      <c r="E68" s="1131">
        <v>0.2</v>
      </c>
      <c r="F68" s="1146">
        <v>30</v>
      </c>
    </row>
    <row r="69" spans="1:6" s="1097" customFormat="1" ht="36">
      <c r="A69" s="1146">
        <v>9</v>
      </c>
      <c r="B69" s="3543"/>
      <c r="C69" s="1060" t="s">
        <v>1518</v>
      </c>
      <c r="D69" s="1060" t="s">
        <v>1519</v>
      </c>
      <c r="E69" s="1131">
        <v>0.2</v>
      </c>
      <c r="F69" s="1146">
        <v>30</v>
      </c>
    </row>
    <row r="70" spans="1:6" s="1097" customFormat="1" ht="48">
      <c r="A70" s="1146">
        <v>10</v>
      </c>
      <c r="B70" s="3543"/>
      <c r="C70" s="1060" t="s">
        <v>1520</v>
      </c>
      <c r="D70" s="1060" t="s">
        <v>1521</v>
      </c>
      <c r="E70" s="1131">
        <v>0.2</v>
      </c>
      <c r="F70" s="1146">
        <v>30</v>
      </c>
    </row>
    <row r="71" spans="1:6" s="1097" customFormat="1" ht="48">
      <c r="A71" s="1146">
        <v>11</v>
      </c>
      <c r="B71" s="3543"/>
      <c r="C71" s="1060" t="s">
        <v>1522</v>
      </c>
      <c r="D71" s="1060" t="s">
        <v>1523</v>
      </c>
      <c r="E71" s="1131">
        <v>0.2</v>
      </c>
      <c r="F71" s="1146">
        <v>30</v>
      </c>
    </row>
    <row r="72" spans="1:6" s="1097" customFormat="1" ht="36">
      <c r="A72" s="1146">
        <v>12</v>
      </c>
      <c r="B72" s="3543"/>
      <c r="C72" s="1060" t="s">
        <v>1524</v>
      </c>
      <c r="D72" s="1060" t="s">
        <v>1525</v>
      </c>
      <c r="E72" s="1131">
        <v>0.5</v>
      </c>
      <c r="F72" s="1146">
        <v>80</v>
      </c>
    </row>
    <row r="73" spans="1:6" s="1097" customFormat="1" ht="24">
      <c r="A73" s="1146">
        <v>13</v>
      </c>
      <c r="B73" s="3543"/>
      <c r="C73" s="1060" t="s">
        <v>1526</v>
      </c>
      <c r="D73" s="1060" t="s">
        <v>1527</v>
      </c>
      <c r="E73" s="1131">
        <v>0.4</v>
      </c>
      <c r="F73" s="1146">
        <v>60</v>
      </c>
    </row>
    <row r="74" spans="1:6" s="1097" customFormat="1" ht="24">
      <c r="A74" s="1146">
        <v>14</v>
      </c>
      <c r="B74" s="3543"/>
      <c r="C74" s="1060" t="s">
        <v>1528</v>
      </c>
      <c r="D74" s="1060" t="s">
        <v>1529</v>
      </c>
      <c r="E74" s="1131">
        <v>0.2</v>
      </c>
      <c r="F74" s="1146">
        <v>30</v>
      </c>
    </row>
    <row r="75" spans="1:6" s="1097" customFormat="1" ht="24">
      <c r="A75" s="1146">
        <v>15</v>
      </c>
      <c r="B75" s="3543"/>
      <c r="C75" s="1060" t="s">
        <v>1530</v>
      </c>
      <c r="D75" s="1060" t="s">
        <v>1531</v>
      </c>
      <c r="E75" s="1131">
        <v>0.2</v>
      </c>
      <c r="F75" s="1146">
        <v>30</v>
      </c>
    </row>
    <row r="76" spans="1:6" s="1097" customFormat="1" ht="24">
      <c r="A76" s="1146">
        <v>16</v>
      </c>
      <c r="B76" s="3543" t="s">
        <v>1532</v>
      </c>
      <c r="C76" s="1060" t="s">
        <v>1533</v>
      </c>
      <c r="D76" s="1060" t="s">
        <v>1534</v>
      </c>
      <c r="E76" s="1131">
        <v>0.5</v>
      </c>
      <c r="F76" s="1146">
        <v>80</v>
      </c>
    </row>
    <row r="77" spans="1:6" s="1097" customFormat="1" ht="24">
      <c r="A77" s="1146">
        <v>17</v>
      </c>
      <c r="B77" s="3543"/>
      <c r="C77" s="1060" t="s">
        <v>1535</v>
      </c>
      <c r="D77" s="1060" t="s">
        <v>1536</v>
      </c>
      <c r="E77" s="1131">
        <v>0.5</v>
      </c>
      <c r="F77" s="1146">
        <v>80</v>
      </c>
    </row>
    <row r="78" spans="1:6" s="1097" customFormat="1" ht="24">
      <c r="A78" s="1146">
        <v>18</v>
      </c>
      <c r="B78" s="3543"/>
      <c r="C78" s="1060" t="s">
        <v>1537</v>
      </c>
      <c r="D78" s="1060" t="s">
        <v>1538</v>
      </c>
      <c r="E78" s="1131">
        <v>0.2</v>
      </c>
      <c r="F78" s="1146">
        <v>30</v>
      </c>
    </row>
    <row r="79" spans="1:6" s="1097" customFormat="1" ht="24">
      <c r="A79" s="1146">
        <v>19</v>
      </c>
      <c r="B79" s="3543"/>
      <c r="C79" s="1060" t="s">
        <v>1539</v>
      </c>
      <c r="D79" s="1060" t="s">
        <v>1540</v>
      </c>
      <c r="E79" s="1131">
        <v>0.5</v>
      </c>
      <c r="F79" s="1146">
        <v>80</v>
      </c>
    </row>
    <row r="80" spans="1:6" s="1097" customFormat="1" ht="36">
      <c r="A80" s="1146">
        <v>20</v>
      </c>
      <c r="B80" s="3543"/>
      <c r="C80" s="1060" t="s">
        <v>1541</v>
      </c>
      <c r="D80" s="1060" t="s">
        <v>1542</v>
      </c>
      <c r="E80" s="1131">
        <v>0.2</v>
      </c>
      <c r="F80" s="1146">
        <v>30</v>
      </c>
    </row>
    <row r="81" spans="1:6" s="1097" customFormat="1" ht="36">
      <c r="A81" s="1146">
        <v>21</v>
      </c>
      <c r="B81" s="3543"/>
      <c r="C81" s="1060" t="s">
        <v>1543</v>
      </c>
      <c r="D81" s="1060" t="s">
        <v>1544</v>
      </c>
      <c r="E81" s="1131">
        <v>0.2</v>
      </c>
      <c r="F81" s="1146">
        <v>30</v>
      </c>
    </row>
    <row r="82" spans="1:6" s="1097" customFormat="1" ht="48">
      <c r="A82" s="1146">
        <v>22</v>
      </c>
      <c r="B82" s="3543"/>
      <c r="C82" s="1060" t="s">
        <v>1545</v>
      </c>
      <c r="D82" s="1060" t="s">
        <v>1546</v>
      </c>
      <c r="E82" s="1131">
        <v>0.2</v>
      </c>
      <c r="F82" s="1146">
        <v>30</v>
      </c>
    </row>
    <row r="83" spans="1:6" s="1097" customFormat="1" ht="48">
      <c r="A83" s="1146">
        <v>23</v>
      </c>
      <c r="B83" s="3543"/>
      <c r="C83" s="1060" t="s">
        <v>1547</v>
      </c>
      <c r="D83" s="1060" t="s">
        <v>1548</v>
      </c>
      <c r="E83" s="1131">
        <v>0.2</v>
      </c>
      <c r="F83" s="1146">
        <v>30</v>
      </c>
    </row>
    <row r="84" spans="1:6" s="1097" customFormat="1" ht="36">
      <c r="A84" s="1146">
        <v>24</v>
      </c>
      <c r="B84" s="3543"/>
      <c r="C84" s="1060" t="s">
        <v>1549</v>
      </c>
      <c r="D84" s="1060" t="s">
        <v>1550</v>
      </c>
      <c r="E84" s="1131">
        <v>0.2</v>
      </c>
      <c r="F84" s="1146">
        <v>30</v>
      </c>
    </row>
    <row r="85" spans="1:6" s="1097" customFormat="1" ht="36">
      <c r="A85" s="1146">
        <v>25</v>
      </c>
      <c r="B85" s="3543"/>
      <c r="C85" s="1060" t="s">
        <v>1551</v>
      </c>
      <c r="D85" s="1060" t="s">
        <v>1552</v>
      </c>
      <c r="E85" s="1131">
        <v>0.5</v>
      </c>
      <c r="F85" s="1146">
        <v>80</v>
      </c>
    </row>
    <row r="86" spans="1:6" s="1097" customFormat="1" ht="36">
      <c r="A86" s="1146">
        <v>26</v>
      </c>
      <c r="B86" s="3543"/>
      <c r="C86" s="1060" t="s">
        <v>1553</v>
      </c>
      <c r="D86" s="1060" t="s">
        <v>1554</v>
      </c>
      <c r="E86" s="1131">
        <v>0.2</v>
      </c>
      <c r="F86" s="1146">
        <v>30</v>
      </c>
    </row>
    <row r="87" spans="1:6" s="1097" customFormat="1" ht="36">
      <c r="A87" s="1146">
        <v>27</v>
      </c>
      <c r="B87" s="3543"/>
      <c r="C87" s="1060" t="s">
        <v>1555</v>
      </c>
      <c r="D87" s="1060" t="s">
        <v>1556</v>
      </c>
      <c r="E87" s="1131">
        <v>0.2</v>
      </c>
      <c r="F87" s="1146">
        <v>30</v>
      </c>
    </row>
    <row r="88" spans="1:6" s="1097" customFormat="1" ht="36">
      <c r="A88" s="1146">
        <v>28</v>
      </c>
      <c r="B88" s="3543"/>
      <c r="C88" s="1060" t="s">
        <v>1557</v>
      </c>
      <c r="D88" s="1060" t="s">
        <v>1558</v>
      </c>
      <c r="E88" s="1131">
        <v>0.2</v>
      </c>
      <c r="F88" s="1146">
        <v>30</v>
      </c>
    </row>
    <row r="89" spans="1:6" s="1097" customFormat="1" ht="24">
      <c r="A89" s="1146">
        <v>29</v>
      </c>
      <c r="B89" s="3543"/>
      <c r="C89" s="1060" t="s">
        <v>1559</v>
      </c>
      <c r="D89" s="1060" t="s">
        <v>1560</v>
      </c>
      <c r="E89" s="1131">
        <v>0.2</v>
      </c>
      <c r="F89" s="1146">
        <v>30</v>
      </c>
    </row>
    <row r="90" spans="1:6" s="1097" customFormat="1" ht="24">
      <c r="A90" s="1146">
        <v>30</v>
      </c>
      <c r="B90" s="3543"/>
      <c r="C90" s="1060" t="s">
        <v>1561</v>
      </c>
      <c r="D90" s="1060" t="s">
        <v>1562</v>
      </c>
      <c r="E90" s="1131">
        <v>0.2</v>
      </c>
      <c r="F90" s="1146">
        <v>30</v>
      </c>
    </row>
    <row r="91" spans="1:6" s="1097" customFormat="1" ht="36">
      <c r="A91" s="1146">
        <v>31</v>
      </c>
      <c r="B91" s="3543"/>
      <c r="C91" s="1060" t="s">
        <v>1563</v>
      </c>
      <c r="D91" s="1060" t="s">
        <v>1564</v>
      </c>
      <c r="E91" s="1131">
        <v>0.2</v>
      </c>
      <c r="F91" s="1146">
        <v>30</v>
      </c>
    </row>
    <row r="92" spans="1:6" s="1097" customFormat="1" ht="24">
      <c r="A92" s="1146">
        <v>32</v>
      </c>
      <c r="B92" s="3543" t="s">
        <v>1565</v>
      </c>
      <c r="C92" s="1146" t="s">
        <v>1566</v>
      </c>
      <c r="D92" s="1060" t="s">
        <v>1567</v>
      </c>
      <c r="E92" s="1131">
        <v>0.2</v>
      </c>
      <c r="F92" s="1146">
        <v>30</v>
      </c>
    </row>
    <row r="93" spans="1:6" s="1097" customFormat="1" ht="36">
      <c r="A93" s="1146">
        <v>33</v>
      </c>
      <c r="B93" s="3543"/>
      <c r="C93" s="1146" t="s">
        <v>1568</v>
      </c>
      <c r="D93" s="1060" t="s">
        <v>1569</v>
      </c>
      <c r="E93" s="1131">
        <v>0.2</v>
      </c>
      <c r="F93" s="1146">
        <v>30</v>
      </c>
    </row>
    <row r="94" spans="1:6" s="1097" customFormat="1" ht="48">
      <c r="A94" s="1146">
        <v>34</v>
      </c>
      <c r="B94" s="3543"/>
      <c r="C94" s="1146" t="s">
        <v>1570</v>
      </c>
      <c r="D94" s="1060" t="s">
        <v>1571</v>
      </c>
      <c r="E94" s="1131">
        <v>0.2</v>
      </c>
      <c r="F94" s="1146">
        <v>30</v>
      </c>
    </row>
    <row r="95" spans="1:6" s="1097" customFormat="1" ht="36">
      <c r="A95" s="1146">
        <v>35</v>
      </c>
      <c r="B95" s="3543"/>
      <c r="C95" s="1146" t="s">
        <v>1572</v>
      </c>
      <c r="D95" s="1060" t="s">
        <v>1573</v>
      </c>
      <c r="E95" s="1131">
        <v>0.2</v>
      </c>
      <c r="F95" s="1146">
        <v>30</v>
      </c>
    </row>
    <row r="96" spans="1:6" s="1097" customFormat="1" ht="48">
      <c r="A96" s="1146">
        <v>36</v>
      </c>
      <c r="B96" s="3543"/>
      <c r="C96" s="1060" t="s">
        <v>1574</v>
      </c>
      <c r="D96" s="1060" t="s">
        <v>1575</v>
      </c>
      <c r="E96" s="1131">
        <v>0.2</v>
      </c>
      <c r="F96" s="1146">
        <v>30</v>
      </c>
    </row>
    <row r="97" spans="1:6" s="1097" customFormat="1" ht="36">
      <c r="A97" s="1146">
        <v>37</v>
      </c>
      <c r="B97" s="3543"/>
      <c r="C97" s="1146" t="s">
        <v>1576</v>
      </c>
      <c r="D97" s="1060" t="s">
        <v>1577</v>
      </c>
      <c r="E97" s="1131">
        <v>0.2</v>
      </c>
      <c r="F97" s="1146">
        <v>30</v>
      </c>
    </row>
    <row r="98" spans="1:6" s="1097" customFormat="1" ht="36">
      <c r="A98" s="1146">
        <v>38</v>
      </c>
      <c r="B98" s="3543"/>
      <c r="C98" s="1146" t="s">
        <v>1578</v>
      </c>
      <c r="D98" s="1060" t="s">
        <v>1579</v>
      </c>
      <c r="E98" s="1131">
        <v>0.2</v>
      </c>
      <c r="F98" s="1146">
        <v>30</v>
      </c>
    </row>
    <row r="99" spans="1:6" s="1097" customFormat="1" ht="36">
      <c r="A99" s="1146">
        <v>39</v>
      </c>
      <c r="B99" s="3543" t="s">
        <v>1580</v>
      </c>
      <c r="C99" s="1146" t="s">
        <v>1581</v>
      </c>
      <c r="D99" s="1060" t="s">
        <v>1582</v>
      </c>
      <c r="E99" s="1131">
        <v>0.3</v>
      </c>
      <c r="F99" s="1146">
        <v>50</v>
      </c>
    </row>
    <row r="100" spans="1:6" s="1097" customFormat="1" ht="24">
      <c r="A100" s="1146">
        <v>40</v>
      </c>
      <c r="B100" s="3543"/>
      <c r="C100" s="1146" t="s">
        <v>1583</v>
      </c>
      <c r="D100" s="1060" t="s">
        <v>1584</v>
      </c>
      <c r="E100" s="1131">
        <v>0.2</v>
      </c>
      <c r="F100" s="1146">
        <v>30</v>
      </c>
    </row>
    <row r="101" spans="1:6" s="1097" customFormat="1" ht="36">
      <c r="A101" s="1146">
        <v>41</v>
      </c>
      <c r="B101" s="3543"/>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543" t="s">
        <v>1595</v>
      </c>
      <c r="C105" s="1146" t="s">
        <v>1596</v>
      </c>
      <c r="D105" s="1060" t="s">
        <v>1597</v>
      </c>
      <c r="E105" s="1131">
        <v>0.2</v>
      </c>
      <c r="F105" s="1146">
        <v>30</v>
      </c>
    </row>
    <row r="106" spans="1:6" s="1097" customFormat="1" ht="36">
      <c r="A106" s="1146">
        <v>46</v>
      </c>
      <c r="B106" s="3543"/>
      <c r="C106" s="1146" t="s">
        <v>1598</v>
      </c>
      <c r="D106" s="1060" t="s">
        <v>1599</v>
      </c>
      <c r="E106" s="1131">
        <v>0.2</v>
      </c>
      <c r="F106" s="1146">
        <v>30</v>
      </c>
    </row>
    <row r="107" spans="1:6" s="1097" customFormat="1" ht="36">
      <c r="A107" s="1146">
        <v>47</v>
      </c>
      <c r="B107" s="3543" t="s">
        <v>1600</v>
      </c>
      <c r="C107" s="1146" t="s">
        <v>1601</v>
      </c>
      <c r="D107" s="1060" t="s">
        <v>1602</v>
      </c>
      <c r="E107" s="1131">
        <v>0.3</v>
      </c>
      <c r="F107" s="1146">
        <v>50</v>
      </c>
    </row>
    <row r="108" spans="1:6" s="1097" customFormat="1" ht="36">
      <c r="A108" s="1146">
        <v>48</v>
      </c>
      <c r="B108" s="3543"/>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543" t="s">
        <v>1611</v>
      </c>
      <c r="C111" s="1146" t="s">
        <v>1612</v>
      </c>
      <c r="D111" s="1060" t="s">
        <v>1613</v>
      </c>
      <c r="E111" s="1131">
        <v>0.2</v>
      </c>
      <c r="F111" s="1146">
        <v>30</v>
      </c>
    </row>
    <row r="112" spans="1:6" s="1097" customFormat="1" ht="24">
      <c r="A112" s="1146">
        <v>52</v>
      </c>
      <c r="B112" s="3543"/>
      <c r="C112" s="1146" t="s">
        <v>1614</v>
      </c>
      <c r="D112" s="1060" t="s">
        <v>1615</v>
      </c>
      <c r="E112" s="1131">
        <v>0.2</v>
      </c>
      <c r="F112" s="1146">
        <v>30</v>
      </c>
    </row>
    <row r="113" spans="1:14" s="1097" customFormat="1" ht="24">
      <c r="A113" s="1146">
        <v>53</v>
      </c>
      <c r="B113" s="3543"/>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543" t="s">
        <v>1624</v>
      </c>
      <c r="C116" s="1146" t="s">
        <v>1625</v>
      </c>
      <c r="D116" s="1060" t="s">
        <v>1626</v>
      </c>
      <c r="E116" s="1131">
        <v>0.2</v>
      </c>
      <c r="F116" s="1146">
        <v>30</v>
      </c>
    </row>
    <row r="117" spans="1:14" ht="36">
      <c r="A117" s="1146">
        <v>57</v>
      </c>
      <c r="B117" s="3543"/>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542" t="s">
        <v>1633</v>
      </c>
      <c r="B121" s="3542"/>
      <c r="C121" s="3542"/>
      <c r="D121" s="3542"/>
      <c r="E121" s="3542"/>
      <c r="F121" s="3542"/>
      <c r="G121" s="3542"/>
      <c r="H121" s="3542"/>
      <c r="I121" s="3542"/>
      <c r="J121" s="3542"/>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125" style="1058" customWidth="1"/>
    <col min="6" max="6" width="9" style="1058"/>
    <col min="7" max="7" width="9" style="1061"/>
    <col min="8" max="8" width="9" style="1058"/>
    <col min="9" max="9" width="9" style="1061"/>
    <col min="10" max="16384" width="9" style="1058"/>
  </cols>
  <sheetData>
    <row r="1" spans="1:20">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8" customWidth="1"/>
    <col min="2" max="2" width="10.125" style="1869" customWidth="1"/>
  </cols>
  <sheetData>
    <row r="1" spans="1:6">
      <c r="A1" s="3551" t="s">
        <v>2080</v>
      </c>
      <c r="B1" s="3551"/>
    </row>
    <row r="2" spans="1:6" ht="14.25" thickBot="1">
      <c r="A2" s="1839"/>
      <c r="B2" s="1839"/>
    </row>
    <row r="3" spans="1:6" ht="14.25" thickBot="1">
      <c r="A3" s="1839"/>
      <c r="B3" s="1839"/>
      <c r="C3" s="1840" t="s">
        <v>2081</v>
      </c>
      <c r="D3" s="1840" t="s">
        <v>2082</v>
      </c>
      <c r="E3" s="1840" t="s">
        <v>2083</v>
      </c>
      <c r="F3" s="1840" t="s">
        <v>2084</v>
      </c>
    </row>
    <row r="4" spans="1:6" ht="14.25" thickBot="1">
      <c r="A4" s="1841" t="s">
        <v>2085</v>
      </c>
      <c r="B4" s="1842" t="s">
        <v>2086</v>
      </c>
      <c r="C4" s="1840"/>
      <c r="D4" s="1840"/>
      <c r="E4" s="1840"/>
      <c r="F4" s="1840"/>
    </row>
    <row r="5" spans="1:6" ht="14.25" thickBot="1">
      <c r="A5" s="1843" t="s">
        <v>2087</v>
      </c>
      <c r="B5" s="1844" t="s">
        <v>2088</v>
      </c>
      <c r="C5" s="1845">
        <v>8.8999999999999996E-2</v>
      </c>
      <c r="D5" s="1845">
        <v>7.3999999999999996E-2</v>
      </c>
      <c r="E5" s="1845">
        <v>7.4999999999999997E-2</v>
      </c>
      <c r="F5" s="1846">
        <v>0.1</v>
      </c>
    </row>
    <row r="6" spans="1:6" ht="14.25" thickBot="1">
      <c r="A6" s="1843" t="s">
        <v>1096</v>
      </c>
      <c r="B6" s="1847" t="s">
        <v>2089</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2090</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2091</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2092</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2093</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2094</v>
      </c>
      <c r="C72" s="1857"/>
      <c r="D72" s="1857"/>
      <c r="E72" s="1857"/>
      <c r="F72" s="1849">
        <v>0.05</v>
      </c>
    </row>
    <row r="73" spans="1:6" ht="14.25" thickBot="1">
      <c r="A73" s="1843" t="s">
        <v>924</v>
      </c>
      <c r="B73" s="1847" t="s">
        <v>2095</v>
      </c>
      <c r="C73" s="1857"/>
      <c r="D73" s="1857"/>
      <c r="E73" s="1857"/>
      <c r="F73" s="1849">
        <v>0.05</v>
      </c>
    </row>
    <row r="74" spans="1:6" ht="14.25" thickBot="1">
      <c r="A74" s="1843" t="s">
        <v>924</v>
      </c>
      <c r="B74" s="1847" t="s">
        <v>2096</v>
      </c>
      <c r="C74" s="1857"/>
      <c r="D74" s="1857"/>
      <c r="E74" s="1857"/>
      <c r="F74" s="1849">
        <v>0.05</v>
      </c>
    </row>
    <row r="75" spans="1:6" ht="14.25" thickBot="1">
      <c r="A75" s="1851" t="s">
        <v>924</v>
      </c>
      <c r="B75" s="1858" t="s">
        <v>2097</v>
      </c>
      <c r="C75" s="1854"/>
      <c r="D75" s="1854"/>
      <c r="E75" s="1854"/>
      <c r="F75" s="1859">
        <v>0.05</v>
      </c>
    </row>
    <row r="76" spans="1:6" ht="14.25" thickBot="1">
      <c r="A76" s="1843" t="s">
        <v>1407</v>
      </c>
      <c r="B76" s="1844" t="s">
        <v>2098</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2099</v>
      </c>
      <c r="C102" s="1857"/>
      <c r="D102" s="1857"/>
      <c r="E102" s="1857"/>
      <c r="F102" s="1849">
        <v>0.05</v>
      </c>
    </row>
    <row r="103" spans="1:6" ht="24.75" thickBot="1">
      <c r="A103" s="1843" t="s">
        <v>1407</v>
      </c>
      <c r="B103" s="1847" t="s">
        <v>2100</v>
      </c>
      <c r="C103" s="1857"/>
      <c r="D103" s="1857"/>
      <c r="E103" s="1857"/>
      <c r="F103" s="1849">
        <v>0.05</v>
      </c>
    </row>
    <row r="104" spans="1:6" ht="14.25" thickBot="1">
      <c r="A104" s="1843" t="s">
        <v>1407</v>
      </c>
      <c r="B104" s="1847" t="s">
        <v>2101</v>
      </c>
      <c r="C104" s="1857"/>
      <c r="D104" s="1857"/>
      <c r="E104" s="1857"/>
      <c r="F104" s="1849">
        <v>0.05</v>
      </c>
    </row>
    <row r="105" spans="1:6" ht="14.25" thickBot="1">
      <c r="A105" s="1843" t="s">
        <v>1407</v>
      </c>
      <c r="B105" s="1847" t="s">
        <v>2102</v>
      </c>
      <c r="C105" s="1857"/>
      <c r="D105" s="1857"/>
      <c r="E105" s="1857"/>
      <c r="F105" s="1849">
        <v>0.05</v>
      </c>
    </row>
    <row r="106" spans="1:6" ht="14.25" thickBot="1">
      <c r="A106" s="1843" t="s">
        <v>1407</v>
      </c>
      <c r="B106" s="1847" t="s">
        <v>2103</v>
      </c>
      <c r="C106" s="1857"/>
      <c r="D106" s="1857"/>
      <c r="E106" s="1857"/>
      <c r="F106" s="1849">
        <v>0.05</v>
      </c>
    </row>
    <row r="107" spans="1:6" ht="24.75" thickBot="1">
      <c r="A107" s="1843" t="s">
        <v>1407</v>
      </c>
      <c r="B107" s="1847" t="s">
        <v>2104</v>
      </c>
      <c r="C107" s="1857"/>
      <c r="D107" s="1857"/>
      <c r="E107" s="1857"/>
      <c r="F107" s="1849">
        <v>0.05</v>
      </c>
    </row>
    <row r="108" spans="1:6" ht="24.75" thickBot="1">
      <c r="A108" s="1843" t="s">
        <v>1407</v>
      </c>
      <c r="B108" s="1847" t="s">
        <v>2105</v>
      </c>
      <c r="C108" s="1857"/>
      <c r="D108" s="1857"/>
      <c r="E108" s="1857"/>
      <c r="F108" s="1849">
        <v>0.05</v>
      </c>
    </row>
    <row r="109" spans="1:6" ht="24.75" thickBot="1">
      <c r="A109" s="1851" t="s">
        <v>1407</v>
      </c>
      <c r="B109" s="1858" t="s">
        <v>2106</v>
      </c>
      <c r="C109" s="1854"/>
      <c r="D109" s="1854"/>
      <c r="E109" s="1854"/>
      <c r="F109" s="1859">
        <v>0.05</v>
      </c>
    </row>
    <row r="110" spans="1:6" ht="14.25" thickBot="1">
      <c r="A110" s="1843" t="s">
        <v>1409</v>
      </c>
      <c r="B110" s="1844" t="s">
        <v>2107</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2108</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2109</v>
      </c>
      <c r="C138" s="1848">
        <v>0.105</v>
      </c>
      <c r="D138" s="1848">
        <v>0.125</v>
      </c>
      <c r="E138" s="1848">
        <v>0.112</v>
      </c>
      <c r="F138" s="1856"/>
    </row>
    <row r="139" spans="1:6" ht="14.25" thickBot="1">
      <c r="A139" s="1843" t="s">
        <v>1409</v>
      </c>
      <c r="B139" s="1847" t="s">
        <v>2110</v>
      </c>
      <c r="C139" s="1848">
        <v>0.127</v>
      </c>
      <c r="D139" s="1848">
        <v>0.127</v>
      </c>
      <c r="E139" s="1848">
        <v>0.122</v>
      </c>
      <c r="F139" s="1849">
        <v>0.13</v>
      </c>
    </row>
    <row r="140" spans="1:6" ht="14.25" thickBot="1">
      <c r="A140" s="1843" t="s">
        <v>1409</v>
      </c>
      <c r="B140" s="1847" t="s">
        <v>2111</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2112</v>
      </c>
      <c r="C144" s="1861">
        <v>0.126</v>
      </c>
      <c r="D144" s="1861">
        <v>0.126</v>
      </c>
      <c r="E144" s="1861">
        <v>0.121</v>
      </c>
      <c r="F144" s="1856"/>
    </row>
    <row r="145" spans="1:6" ht="14.25" thickBot="1">
      <c r="A145" s="1851" t="s">
        <v>1409</v>
      </c>
      <c r="B145" s="1862" t="s">
        <v>2113</v>
      </c>
      <c r="C145" s="1863"/>
      <c r="D145" s="1863"/>
      <c r="E145" s="1863"/>
      <c r="F145" s="1864">
        <v>0.05</v>
      </c>
    </row>
    <row r="146" spans="1:6" ht="24.75" thickBot="1">
      <c r="A146" s="1865" t="s">
        <v>1409</v>
      </c>
      <c r="B146" s="1850" t="s">
        <v>2114</v>
      </c>
      <c r="C146" s="1857"/>
      <c r="D146" s="1857"/>
      <c r="E146" s="1857"/>
      <c r="F146" s="1866">
        <v>0.05</v>
      </c>
    </row>
    <row r="147" spans="1:6" ht="24.75" thickBot="1">
      <c r="A147" s="1843" t="s">
        <v>1409</v>
      </c>
      <c r="B147" s="1847" t="s">
        <v>2115</v>
      </c>
      <c r="C147" s="1857"/>
      <c r="D147" s="1857"/>
      <c r="E147" s="1857"/>
      <c r="F147" s="1849">
        <v>0.05</v>
      </c>
    </row>
    <row r="148" spans="1:6" ht="24.75" thickBot="1">
      <c r="A148" s="1843" t="s">
        <v>1409</v>
      </c>
      <c r="B148" s="1847" t="s">
        <v>2116</v>
      </c>
      <c r="C148" s="1857"/>
      <c r="D148" s="1857"/>
      <c r="E148" s="1857"/>
      <c r="F148" s="1849">
        <v>0.05</v>
      </c>
    </row>
    <row r="149" spans="1:6" ht="24.75" thickBot="1">
      <c r="A149" s="1843" t="s">
        <v>1409</v>
      </c>
      <c r="B149" s="1847" t="s">
        <v>2117</v>
      </c>
      <c r="C149" s="1857"/>
      <c r="D149" s="1857"/>
      <c r="E149" s="1857"/>
      <c r="F149" s="1849">
        <v>0.05</v>
      </c>
    </row>
    <row r="150" spans="1:6" ht="24.75" thickBot="1">
      <c r="A150" s="1843" t="s">
        <v>1409</v>
      </c>
      <c r="B150" s="1847" t="s">
        <v>2118</v>
      </c>
      <c r="C150" s="1857"/>
      <c r="D150" s="1857"/>
      <c r="E150" s="1857"/>
      <c r="F150" s="1849">
        <v>0.05</v>
      </c>
    </row>
    <row r="151" spans="1:6" ht="24.75" thickBot="1">
      <c r="A151" s="1843" t="s">
        <v>1409</v>
      </c>
      <c r="B151" s="1847" t="s">
        <v>2119</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2120</v>
      </c>
      <c r="C153" s="1857"/>
      <c r="D153" s="1857"/>
      <c r="E153" s="1857"/>
      <c r="F153" s="1849">
        <v>0.05</v>
      </c>
    </row>
    <row r="154" spans="1:6" ht="14.25" thickBot="1">
      <c r="A154" s="1843" t="s">
        <v>1409</v>
      </c>
      <c r="B154" s="1847" t="s">
        <v>2121</v>
      </c>
      <c r="C154" s="1857"/>
      <c r="D154" s="1857"/>
      <c r="E154" s="1857"/>
      <c r="F154" s="1849">
        <v>0.05</v>
      </c>
    </row>
    <row r="155" spans="1:6" ht="24.75" thickBot="1">
      <c r="A155" s="1843" t="s">
        <v>1409</v>
      </c>
      <c r="B155" s="1847" t="s">
        <v>2122</v>
      </c>
      <c r="C155" s="1857"/>
      <c r="D155" s="1857"/>
      <c r="E155" s="1857"/>
      <c r="F155" s="1849">
        <v>0.05</v>
      </c>
    </row>
    <row r="156" spans="1:6" ht="24.75" thickBot="1">
      <c r="A156" s="1843" t="s">
        <v>1409</v>
      </c>
      <c r="B156" s="1847" t="s">
        <v>2123</v>
      </c>
      <c r="C156" s="1857"/>
      <c r="D156" s="1857"/>
      <c r="E156" s="1857"/>
      <c r="F156" s="1849">
        <v>0.05</v>
      </c>
    </row>
    <row r="157" spans="1:6" ht="14.25" thickBot="1">
      <c r="A157" s="1851" t="s">
        <v>1409</v>
      </c>
      <c r="B157" s="1858" t="s">
        <v>2124</v>
      </c>
      <c r="C157" s="1854"/>
      <c r="D157" s="1854"/>
      <c r="E157" s="1854"/>
      <c r="F157" s="1859">
        <v>0.05</v>
      </c>
    </row>
    <row r="158" spans="1:6" ht="14.25" thickBot="1">
      <c r="A158" s="1843" t="s">
        <v>1411</v>
      </c>
      <c r="B158" s="1844" t="s">
        <v>2125</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2126</v>
      </c>
      <c r="C171" s="1848">
        <v>0.127</v>
      </c>
      <c r="D171" s="1848">
        <v>0.126</v>
      </c>
      <c r="E171" s="1848">
        <v>0.126</v>
      </c>
      <c r="F171" s="1849">
        <v>0.11799999999999999</v>
      </c>
    </row>
    <row r="172" spans="1:6" ht="14.25" thickBot="1">
      <c r="A172" s="1843" t="s">
        <v>1411</v>
      </c>
      <c r="B172" s="1847" t="s">
        <v>2127</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2128</v>
      </c>
      <c r="C174" s="1848">
        <v>0.13</v>
      </c>
      <c r="D174" s="1848">
        <v>0.13</v>
      </c>
      <c r="E174" s="1848">
        <v>0.13</v>
      </c>
      <c r="F174" s="1849">
        <v>0.13</v>
      </c>
    </row>
    <row r="175" spans="1:6" ht="14.25" thickBot="1">
      <c r="A175" s="1843" t="s">
        <v>1411</v>
      </c>
      <c r="B175" s="1847" t="s">
        <v>2129</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2130</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2131</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2132</v>
      </c>
      <c r="C185" s="1848">
        <v>0.127</v>
      </c>
      <c r="D185" s="1848">
        <v>0.127</v>
      </c>
      <c r="E185" s="1848">
        <v>0.128</v>
      </c>
      <c r="F185" s="1849">
        <v>0.13</v>
      </c>
    </row>
    <row r="186" spans="1:6" ht="24.75" thickBot="1">
      <c r="A186" s="1843" t="s">
        <v>1411</v>
      </c>
      <c r="B186" s="1847" t="s">
        <v>2133</v>
      </c>
      <c r="C186" s="1857"/>
      <c r="D186" s="1857"/>
      <c r="E186" s="1857"/>
      <c r="F186" s="1849">
        <v>0.05</v>
      </c>
    </row>
    <row r="187" spans="1:6" ht="14.25" thickBot="1">
      <c r="A187" s="1843" t="s">
        <v>1411</v>
      </c>
      <c r="B187" s="1847" t="s">
        <v>2134</v>
      </c>
      <c r="C187" s="1857"/>
      <c r="D187" s="1857"/>
      <c r="E187" s="1857"/>
      <c r="F187" s="1849">
        <v>0.05</v>
      </c>
    </row>
    <row r="188" spans="1:6" ht="14.25" thickBot="1">
      <c r="A188" s="1843" t="s">
        <v>1411</v>
      </c>
      <c r="B188" s="1847" t="s">
        <v>2135</v>
      </c>
      <c r="C188" s="1857"/>
      <c r="D188" s="1857"/>
      <c r="E188" s="1857"/>
      <c r="F188" s="1849">
        <v>0.05</v>
      </c>
    </row>
    <row r="189" spans="1:6" ht="24.75" thickBot="1">
      <c r="A189" s="1843" t="s">
        <v>1411</v>
      </c>
      <c r="B189" s="1847" t="s">
        <v>2136</v>
      </c>
      <c r="C189" s="1857"/>
      <c r="D189" s="1857"/>
      <c r="E189" s="1857"/>
      <c r="F189" s="1849">
        <v>0.05</v>
      </c>
    </row>
    <row r="190" spans="1:6" ht="24.75" thickBot="1">
      <c r="A190" s="1843" t="s">
        <v>1411</v>
      </c>
      <c r="B190" s="1847" t="s">
        <v>2137</v>
      </c>
      <c r="C190" s="1857"/>
      <c r="D190" s="1857"/>
      <c r="E190" s="1857"/>
      <c r="F190" s="1849">
        <v>0.05</v>
      </c>
    </row>
    <row r="191" spans="1:6" ht="24.75" thickBot="1">
      <c r="A191" s="1843" t="s">
        <v>1411</v>
      </c>
      <c r="B191" s="1847" t="s">
        <v>2138</v>
      </c>
      <c r="C191" s="1857"/>
      <c r="D191" s="1857"/>
      <c r="E191" s="1857"/>
      <c r="F191" s="1849">
        <v>0.05</v>
      </c>
    </row>
    <row r="192" spans="1:6" ht="24.75" thickBot="1">
      <c r="A192" s="1843" t="s">
        <v>1411</v>
      </c>
      <c r="B192" s="1847" t="s">
        <v>2139</v>
      </c>
      <c r="C192" s="1857"/>
      <c r="D192" s="1857"/>
      <c r="E192" s="1857"/>
      <c r="F192" s="1849">
        <v>0.05</v>
      </c>
    </row>
    <row r="193" spans="1:6" ht="24.75" thickBot="1">
      <c r="A193" s="1843" t="s">
        <v>1411</v>
      </c>
      <c r="B193" s="1847" t="s">
        <v>2140</v>
      </c>
      <c r="C193" s="1857"/>
      <c r="D193" s="1857"/>
      <c r="E193" s="1857"/>
      <c r="F193" s="1849">
        <v>0.05</v>
      </c>
    </row>
    <row r="194" spans="1:6" ht="24.75" thickBot="1">
      <c r="A194" s="1843" t="s">
        <v>1411</v>
      </c>
      <c r="B194" s="1847" t="s">
        <v>2141</v>
      </c>
      <c r="C194" s="1857"/>
      <c r="D194" s="1857"/>
      <c r="E194" s="1857"/>
      <c r="F194" s="1849">
        <v>0.05</v>
      </c>
    </row>
    <row r="195" spans="1:6" ht="14.25" thickBot="1">
      <c r="A195" s="1843" t="s">
        <v>1411</v>
      </c>
      <c r="B195" s="1847" t="s">
        <v>2142</v>
      </c>
      <c r="C195" s="1857"/>
      <c r="D195" s="1857"/>
      <c r="E195" s="1857"/>
      <c r="F195" s="1849">
        <v>0.05</v>
      </c>
    </row>
    <row r="196" spans="1:6" ht="24.75" thickBot="1">
      <c r="A196" s="1843" t="s">
        <v>1411</v>
      </c>
      <c r="B196" s="1847" t="s">
        <v>2143</v>
      </c>
      <c r="C196" s="1857"/>
      <c r="D196" s="1857"/>
      <c r="E196" s="1857"/>
      <c r="F196" s="1849">
        <v>0.05</v>
      </c>
    </row>
    <row r="197" spans="1:6" ht="24.75" thickBot="1">
      <c r="A197" s="1843" t="s">
        <v>1411</v>
      </c>
      <c r="B197" s="1847" t="s">
        <v>2144</v>
      </c>
      <c r="C197" s="1857"/>
      <c r="D197" s="1857"/>
      <c r="E197" s="1857"/>
      <c r="F197" s="1849">
        <v>0.05</v>
      </c>
    </row>
    <row r="198" spans="1:6" ht="24.75" thickBot="1">
      <c r="A198" s="1843" t="s">
        <v>1411</v>
      </c>
      <c r="B198" s="1847" t="s">
        <v>2145</v>
      </c>
      <c r="C198" s="1857"/>
      <c r="D198" s="1857"/>
      <c r="E198" s="1857"/>
      <c r="F198" s="1849">
        <v>0.05</v>
      </c>
    </row>
    <row r="199" spans="1:6" ht="24.75" thickBot="1">
      <c r="A199" s="1843" t="s">
        <v>1411</v>
      </c>
      <c r="B199" s="1847" t="s">
        <v>2146</v>
      </c>
      <c r="C199" s="1857"/>
      <c r="D199" s="1857"/>
      <c r="E199" s="1857"/>
      <c r="F199" s="1849">
        <v>0.05</v>
      </c>
    </row>
    <row r="200" spans="1:6" ht="24.75" thickBot="1">
      <c r="A200" s="1843" t="s">
        <v>1411</v>
      </c>
      <c r="B200" s="1847" t="s">
        <v>2147</v>
      </c>
      <c r="C200" s="1857"/>
      <c r="D200" s="1857"/>
      <c r="E200" s="1857"/>
      <c r="F200" s="1849">
        <v>0.05</v>
      </c>
    </row>
    <row r="201" spans="1:6" ht="24.75" thickBot="1">
      <c r="A201" s="1843" t="s">
        <v>1411</v>
      </c>
      <c r="B201" s="1847" t="s">
        <v>2148</v>
      </c>
      <c r="C201" s="1857"/>
      <c r="D201" s="1857"/>
      <c r="E201" s="1857"/>
      <c r="F201" s="1849">
        <v>0.05</v>
      </c>
    </row>
    <row r="202" spans="1:6" ht="24.75" thickBot="1">
      <c r="A202" s="1843" t="s">
        <v>1411</v>
      </c>
      <c r="B202" s="1847" t="s">
        <v>2149</v>
      </c>
      <c r="C202" s="1857"/>
      <c r="D202" s="1857"/>
      <c r="E202" s="1857"/>
      <c r="F202" s="1849">
        <v>0.05</v>
      </c>
    </row>
    <row r="203" spans="1:6" ht="24.75" thickBot="1">
      <c r="A203" s="1843" t="s">
        <v>1411</v>
      </c>
      <c r="B203" s="1847" t="s">
        <v>2150</v>
      </c>
      <c r="C203" s="1857"/>
      <c r="D203" s="1857"/>
      <c r="E203" s="1857"/>
      <c r="F203" s="1849">
        <v>0.05</v>
      </c>
    </row>
    <row r="204" spans="1:6" ht="14.25" thickBot="1">
      <c r="A204" s="1843" t="s">
        <v>1411</v>
      </c>
      <c r="B204" s="1847" t="s">
        <v>2151</v>
      </c>
      <c r="C204" s="1857"/>
      <c r="D204" s="1857"/>
      <c r="E204" s="1857"/>
      <c r="F204" s="1849">
        <v>0.05</v>
      </c>
    </row>
    <row r="205" spans="1:6" ht="14.25" thickBot="1">
      <c r="A205" s="1851" t="s">
        <v>1411</v>
      </c>
      <c r="B205" s="1858" t="s">
        <v>2152</v>
      </c>
      <c r="C205" s="1854"/>
      <c r="D205" s="1854"/>
      <c r="E205" s="1854"/>
      <c r="F205" s="1859">
        <v>0.05</v>
      </c>
    </row>
    <row r="206" spans="1:6" ht="14.25" thickBot="1">
      <c r="A206" s="1843" t="s">
        <v>1413</v>
      </c>
      <c r="B206" s="1844" t="s">
        <v>2153</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2154</v>
      </c>
      <c r="C210" s="1848">
        <v>0.15</v>
      </c>
      <c r="D210" s="1848">
        <v>0.15</v>
      </c>
      <c r="E210" s="1848">
        <v>0.15</v>
      </c>
      <c r="F210" s="1849">
        <v>0.13800000000000001</v>
      </c>
    </row>
    <row r="211" spans="1:6" ht="14.25" thickBot="1">
      <c r="A211" s="1843" t="s">
        <v>1413</v>
      </c>
      <c r="B211" s="1847" t="s">
        <v>2155</v>
      </c>
      <c r="C211" s="1848">
        <v>0.13700000000000001</v>
      </c>
      <c r="D211" s="1848">
        <v>0.13500000000000001</v>
      </c>
      <c r="E211" s="1848">
        <v>0.13600000000000001</v>
      </c>
      <c r="F211" s="1849">
        <v>0.1</v>
      </c>
    </row>
    <row r="212" spans="1:6" ht="14.25" thickBot="1">
      <c r="A212" s="1843" t="s">
        <v>1413</v>
      </c>
      <c r="B212" s="1847" t="s">
        <v>2156</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2157</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2158</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2159</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2160</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2161</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2162</v>
      </c>
      <c r="C231" s="1848">
        <v>0.128</v>
      </c>
      <c r="D231" s="1848">
        <v>0.125</v>
      </c>
      <c r="E231" s="1848">
        <v>0.13200000000000001</v>
      </c>
      <c r="F231" s="1856"/>
    </row>
    <row r="232" spans="1:6" ht="14.25" thickBot="1">
      <c r="A232" s="1843" t="s">
        <v>1413</v>
      </c>
      <c r="B232" s="1847" t="s">
        <v>2163</v>
      </c>
      <c r="C232" s="1848">
        <v>0.14499999999999999</v>
      </c>
      <c r="D232" s="1848">
        <v>0.14399999999999999</v>
      </c>
      <c r="E232" s="1848">
        <v>0.14599999999999999</v>
      </c>
      <c r="F232" s="1849">
        <v>0.13800000000000001</v>
      </c>
    </row>
    <row r="233" spans="1:6" ht="14.25" thickBot="1">
      <c r="A233" s="1843" t="s">
        <v>1413</v>
      </c>
      <c r="B233" s="1847" t="s">
        <v>2164</v>
      </c>
      <c r="C233" s="1848">
        <v>0.14499999999999999</v>
      </c>
      <c r="D233" s="1848">
        <v>0.14299999999999999</v>
      </c>
      <c r="E233" s="1848">
        <v>0.14199999999999999</v>
      </c>
      <c r="F233" s="1856"/>
    </row>
    <row r="234" spans="1:6" ht="14.25" thickBot="1">
      <c r="A234" s="1843" t="s">
        <v>1413</v>
      </c>
      <c r="B234" s="1847" t="s">
        <v>2165</v>
      </c>
      <c r="C234" s="1848">
        <v>0.14000000000000001</v>
      </c>
      <c r="D234" s="1848">
        <v>0.14000000000000001</v>
      </c>
      <c r="E234" s="1848">
        <v>0.14399999999999999</v>
      </c>
      <c r="F234" s="1856"/>
    </row>
    <row r="235" spans="1:6" ht="14.25" thickBot="1">
      <c r="A235" s="1843" t="s">
        <v>1413</v>
      </c>
      <c r="B235" s="1847" t="s">
        <v>2166</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2167</v>
      </c>
      <c r="C237" s="1857"/>
      <c r="D237" s="1857"/>
      <c r="E237" s="1857"/>
      <c r="F237" s="1849">
        <v>0.05</v>
      </c>
    </row>
    <row r="238" spans="1:6" ht="24.75" thickBot="1">
      <c r="A238" s="1843" t="s">
        <v>1413</v>
      </c>
      <c r="B238" s="1847" t="s">
        <v>2168</v>
      </c>
      <c r="C238" s="1857"/>
      <c r="D238" s="1857"/>
      <c r="E238" s="1857"/>
      <c r="F238" s="1849">
        <v>0.05</v>
      </c>
    </row>
    <row r="239" spans="1:6" ht="24.75" thickBot="1">
      <c r="A239" s="1843" t="s">
        <v>1413</v>
      </c>
      <c r="B239" s="1847" t="s">
        <v>2169</v>
      </c>
      <c r="C239" s="1857"/>
      <c r="D239" s="1857"/>
      <c r="E239" s="1857"/>
      <c r="F239" s="1849">
        <v>0.05</v>
      </c>
    </row>
    <row r="240" spans="1:6" ht="24.75" thickBot="1">
      <c r="A240" s="1843" t="s">
        <v>1413</v>
      </c>
      <c r="B240" s="1847" t="s">
        <v>2170</v>
      </c>
      <c r="C240" s="1857"/>
      <c r="D240" s="1857"/>
      <c r="E240" s="1857"/>
      <c r="F240" s="1849">
        <v>0.05</v>
      </c>
    </row>
    <row r="241" spans="1:6" ht="24.75" thickBot="1">
      <c r="A241" s="1843" t="s">
        <v>1413</v>
      </c>
      <c r="B241" s="1847" t="s">
        <v>2171</v>
      </c>
      <c r="C241" s="1857"/>
      <c r="D241" s="1857"/>
      <c r="E241" s="1857"/>
      <c r="F241" s="1849">
        <v>0.05</v>
      </c>
    </row>
    <row r="242" spans="1:6" ht="24.75" thickBot="1">
      <c r="A242" s="1843" t="s">
        <v>1413</v>
      </c>
      <c r="B242" s="1847" t="s">
        <v>2172</v>
      </c>
      <c r="C242" s="1857"/>
      <c r="D242" s="1857"/>
      <c r="E242" s="1857"/>
      <c r="F242" s="1849">
        <v>0.05</v>
      </c>
    </row>
    <row r="243" spans="1:6" ht="24.75" thickBot="1">
      <c r="A243" s="1843" t="s">
        <v>1413</v>
      </c>
      <c r="B243" s="1847" t="s">
        <v>2173</v>
      </c>
      <c r="C243" s="1857"/>
      <c r="D243" s="1857"/>
      <c r="E243" s="1857"/>
      <c r="F243" s="1849">
        <v>0.05</v>
      </c>
    </row>
    <row r="244" spans="1:6" ht="24.75" thickBot="1">
      <c r="A244" s="1851" t="s">
        <v>1413</v>
      </c>
      <c r="B244" s="1858" t="s">
        <v>2174</v>
      </c>
      <c r="C244" s="1854"/>
      <c r="D244" s="1854"/>
      <c r="E244" s="1854"/>
      <c r="F244" s="1859">
        <v>0.05</v>
      </c>
    </row>
    <row r="245" spans="1:6" ht="14.25" thickBot="1">
      <c r="A245" s="1843" t="s">
        <v>1415</v>
      </c>
      <c r="B245" s="1844" t="s">
        <v>2175</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2176</v>
      </c>
      <c r="C247" s="1848">
        <v>0.15</v>
      </c>
      <c r="D247" s="1848">
        <v>0.15</v>
      </c>
      <c r="E247" s="1848">
        <v>0.15</v>
      </c>
      <c r="F247" s="1849">
        <v>0.15</v>
      </c>
    </row>
    <row r="248" spans="1:6" ht="14.25" thickBot="1">
      <c r="A248" s="1843" t="s">
        <v>1415</v>
      </c>
      <c r="B248" s="1847" t="s">
        <v>2177</v>
      </c>
      <c r="C248" s="1848">
        <v>0.15</v>
      </c>
      <c r="D248" s="1848">
        <v>0.15</v>
      </c>
      <c r="E248" s="1848">
        <v>0.15</v>
      </c>
      <c r="F248" s="1849">
        <v>0.14000000000000001</v>
      </c>
    </row>
    <row r="249" spans="1:6" ht="14.25" thickBot="1">
      <c r="A249" s="1843" t="s">
        <v>1415</v>
      </c>
      <c r="B249" s="1847" t="s">
        <v>2178</v>
      </c>
      <c r="C249" s="1848">
        <v>0.15</v>
      </c>
      <c r="D249" s="1848">
        <v>0.14899999999999999</v>
      </c>
      <c r="E249" s="1848">
        <v>0.15</v>
      </c>
      <c r="F249" s="1849">
        <v>0.1</v>
      </c>
    </row>
    <row r="250" spans="1:6" ht="14.25" thickBot="1">
      <c r="A250" s="1843" t="s">
        <v>1415</v>
      </c>
      <c r="B250" s="1847" t="s">
        <v>2179</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2180</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2181</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2182</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2183</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2184</v>
      </c>
      <c r="C273" s="1848">
        <v>0.14199999999999999</v>
      </c>
      <c r="D273" s="1848">
        <v>0.14299999999999999</v>
      </c>
      <c r="E273" s="1848">
        <v>0.15</v>
      </c>
      <c r="F273" s="1849">
        <v>0.1</v>
      </c>
    </row>
    <row r="274" spans="1:6" ht="14.25" thickBot="1">
      <c r="A274" s="1843" t="s">
        <v>1415</v>
      </c>
      <c r="B274" s="1847" t="s">
        <v>2185</v>
      </c>
      <c r="C274" s="1848">
        <v>0.14799999999999999</v>
      </c>
      <c r="D274" s="1848">
        <v>0.14799999999999999</v>
      </c>
      <c r="E274" s="1848">
        <v>0.15</v>
      </c>
      <c r="F274" s="1849">
        <v>6.7000000000000004E-2</v>
      </c>
    </row>
    <row r="275" spans="1:6" ht="14.25" thickBot="1">
      <c r="A275" s="1843" t="s">
        <v>1415</v>
      </c>
      <c r="B275" s="1847" t="s">
        <v>2186</v>
      </c>
      <c r="C275" s="1848">
        <v>0.15</v>
      </c>
      <c r="D275" s="1848">
        <v>0.15</v>
      </c>
      <c r="E275" s="1848">
        <v>0.15</v>
      </c>
      <c r="F275" s="1849">
        <v>0.15</v>
      </c>
    </row>
    <row r="276" spans="1:6" ht="14.25" thickBot="1">
      <c r="A276" s="1843" t="s">
        <v>1415</v>
      </c>
      <c r="B276" s="1847" t="s">
        <v>2187</v>
      </c>
      <c r="C276" s="1848">
        <v>0.14499999999999999</v>
      </c>
      <c r="D276" s="1848">
        <v>0.14299999999999999</v>
      </c>
      <c r="E276" s="1848">
        <v>0.15</v>
      </c>
      <c r="F276" s="1849">
        <v>5.8999999999999997E-2</v>
      </c>
    </row>
    <row r="277" spans="1:6" ht="14.25" thickBot="1">
      <c r="A277" s="1843" t="s">
        <v>1415</v>
      </c>
      <c r="B277" s="1847" t="s">
        <v>2188</v>
      </c>
      <c r="C277" s="1848">
        <v>0.15</v>
      </c>
      <c r="D277" s="1848">
        <v>0.15</v>
      </c>
      <c r="E277" s="1848">
        <v>0.15</v>
      </c>
      <c r="F277" s="1849">
        <v>0.121</v>
      </c>
    </row>
    <row r="278" spans="1:6" ht="14.25" thickBot="1">
      <c r="A278" s="1843" t="s">
        <v>1415</v>
      </c>
      <c r="B278" s="1847" t="s">
        <v>2189</v>
      </c>
      <c r="C278" s="1848">
        <v>0.15</v>
      </c>
      <c r="D278" s="1848">
        <v>0.15</v>
      </c>
      <c r="E278" s="1848">
        <v>0.15</v>
      </c>
      <c r="F278" s="1849">
        <v>0.13800000000000001</v>
      </c>
    </row>
    <row r="279" spans="1:6" ht="24.75" thickBot="1">
      <c r="A279" s="1843" t="s">
        <v>1415</v>
      </c>
      <c r="B279" s="1847" t="s">
        <v>2190</v>
      </c>
      <c r="C279" s="1857"/>
      <c r="D279" s="1857"/>
      <c r="E279" s="1857"/>
      <c r="F279" s="1849">
        <v>0.05</v>
      </c>
    </row>
    <row r="280" spans="1:6" ht="24.75" thickBot="1">
      <c r="A280" s="1843" t="s">
        <v>1415</v>
      </c>
      <c r="B280" s="1847" t="s">
        <v>2191</v>
      </c>
      <c r="C280" s="1857"/>
      <c r="D280" s="1857"/>
      <c r="E280" s="1857"/>
      <c r="F280" s="1849">
        <v>0.05</v>
      </c>
    </row>
    <row r="281" spans="1:6" ht="24.75" thickBot="1">
      <c r="A281" s="1843" t="s">
        <v>1415</v>
      </c>
      <c r="B281" s="1847" t="s">
        <v>2192</v>
      </c>
      <c r="C281" s="1857"/>
      <c r="D281" s="1857"/>
      <c r="E281" s="1857"/>
      <c r="F281" s="1849">
        <v>0.05</v>
      </c>
    </row>
    <row r="282" spans="1:6" ht="24.75" thickBot="1">
      <c r="A282" s="1843" t="s">
        <v>1415</v>
      </c>
      <c r="B282" s="1847" t="s">
        <v>2193</v>
      </c>
      <c r="C282" s="1857"/>
      <c r="D282" s="1857"/>
      <c r="E282" s="1857"/>
      <c r="F282" s="1849">
        <v>0.05</v>
      </c>
    </row>
    <row r="283" spans="1:6" ht="24.75" thickBot="1">
      <c r="A283" s="1843" t="s">
        <v>1415</v>
      </c>
      <c r="B283" s="1847" t="s">
        <v>2194</v>
      </c>
      <c r="C283" s="1857"/>
      <c r="D283" s="1857"/>
      <c r="E283" s="1857"/>
      <c r="F283" s="1849">
        <v>0.05</v>
      </c>
    </row>
    <row r="284" spans="1:6" ht="24.75" thickBot="1">
      <c r="A284" s="1843" t="s">
        <v>1415</v>
      </c>
      <c r="B284" s="1847" t="s">
        <v>2195</v>
      </c>
      <c r="C284" s="1857"/>
      <c r="D284" s="1857"/>
      <c r="E284" s="1857"/>
      <c r="F284" s="1849">
        <v>0.05</v>
      </c>
    </row>
    <row r="285" spans="1:6" ht="24.75" thickBot="1">
      <c r="A285" s="1843" t="s">
        <v>1415</v>
      </c>
      <c r="B285" s="1847" t="s">
        <v>2196</v>
      </c>
      <c r="C285" s="1857"/>
      <c r="D285" s="1857"/>
      <c r="E285" s="1857"/>
      <c r="F285" s="1849">
        <v>0.05</v>
      </c>
    </row>
    <row r="286" spans="1:6" ht="24.75" thickBot="1">
      <c r="A286" s="1843" t="s">
        <v>1415</v>
      </c>
      <c r="B286" s="1847" t="s">
        <v>2197</v>
      </c>
      <c r="C286" s="1857"/>
      <c r="D286" s="1857"/>
      <c r="E286" s="1857"/>
      <c r="F286" s="1849">
        <v>0.05</v>
      </c>
    </row>
    <row r="287" spans="1:6" ht="24.75" thickBot="1">
      <c r="A287" s="1843" t="s">
        <v>1415</v>
      </c>
      <c r="B287" s="1847" t="s">
        <v>2198</v>
      </c>
      <c r="C287" s="1857"/>
      <c r="D287" s="1857"/>
      <c r="E287" s="1857"/>
      <c r="F287" s="1849">
        <v>0.05</v>
      </c>
    </row>
    <row r="288" spans="1:6" ht="24.75" thickBot="1">
      <c r="A288" s="1843" t="s">
        <v>1415</v>
      </c>
      <c r="B288" s="1847" t="s">
        <v>2199</v>
      </c>
      <c r="C288" s="1857"/>
      <c r="D288" s="1857"/>
      <c r="E288" s="1857"/>
      <c r="F288" s="1849">
        <v>0.05</v>
      </c>
    </row>
    <row r="289" spans="1:6" ht="24.75" thickBot="1">
      <c r="A289" s="1851" t="s">
        <v>1415</v>
      </c>
      <c r="B289" s="1858" t="s">
        <v>2200</v>
      </c>
      <c r="C289" s="1854"/>
      <c r="D289" s="1854"/>
      <c r="E289" s="1854"/>
      <c r="F289" s="1859">
        <v>0.05</v>
      </c>
    </row>
    <row r="290" spans="1:6" ht="14.25" thickBot="1">
      <c r="A290" s="1843" t="s">
        <v>1419</v>
      </c>
      <c r="B290" s="1844" t="s">
        <v>2201</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2202</v>
      </c>
      <c r="C292" s="1848">
        <v>0.15</v>
      </c>
      <c r="D292" s="1848">
        <v>0.15</v>
      </c>
      <c r="E292" s="1848">
        <v>0.15</v>
      </c>
      <c r="F292" s="1849">
        <v>0.14699999999999999</v>
      </c>
    </row>
    <row r="293" spans="1:6" ht="14.25" thickBot="1">
      <c r="A293" s="1843" t="s">
        <v>1419</v>
      </c>
      <c r="B293" s="1847" t="s">
        <v>2203</v>
      </c>
      <c r="C293" s="1857"/>
      <c r="D293" s="1857"/>
      <c r="E293" s="1857"/>
      <c r="F293" s="1849">
        <v>0.1</v>
      </c>
    </row>
    <row r="294" spans="1:6" ht="14.25" thickBot="1">
      <c r="A294" s="1843" t="s">
        <v>1419</v>
      </c>
      <c r="B294" s="1847" t="s">
        <v>2204</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2205</v>
      </c>
      <c r="C296" s="1848">
        <v>0.15</v>
      </c>
      <c r="D296" s="1848">
        <v>0.15</v>
      </c>
      <c r="E296" s="1848">
        <v>0.15</v>
      </c>
      <c r="F296" s="1849">
        <v>0.15</v>
      </c>
    </row>
    <row r="297" spans="1:6" ht="14.25" thickBot="1">
      <c r="A297" s="1843" t="s">
        <v>1419</v>
      </c>
      <c r="B297" s="1847" t="s">
        <v>2206</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2207</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2208</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2209</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2210</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2211</v>
      </c>
      <c r="C310" s="1848">
        <v>0.15</v>
      </c>
      <c r="D310" s="1848">
        <v>0.15</v>
      </c>
      <c r="E310" s="1848">
        <v>0.15</v>
      </c>
      <c r="F310" s="1849">
        <v>0.13700000000000001</v>
      </c>
    </row>
    <row r="311" spans="1:6" ht="14.25" thickBot="1">
      <c r="A311" s="1843" t="s">
        <v>1419</v>
      </c>
      <c r="B311" s="1847" t="s">
        <v>2212</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2213</v>
      </c>
      <c r="C313" s="1848">
        <v>0.15</v>
      </c>
      <c r="D313" s="1848">
        <v>0.15</v>
      </c>
      <c r="E313" s="1848">
        <v>0.15</v>
      </c>
      <c r="F313" s="1849">
        <v>0.15</v>
      </c>
    </row>
    <row r="314" spans="1:6" ht="24.75" thickBot="1">
      <c r="A314" s="1843" t="s">
        <v>1419</v>
      </c>
      <c r="B314" s="1847" t="s">
        <v>2214</v>
      </c>
      <c r="C314" s="1857"/>
      <c r="D314" s="1857"/>
      <c r="E314" s="1857"/>
      <c r="F314" s="1849">
        <v>0.05</v>
      </c>
    </row>
    <row r="315" spans="1:6" ht="24.75" thickBot="1">
      <c r="A315" s="1843" t="s">
        <v>1419</v>
      </c>
      <c r="B315" s="1847" t="s">
        <v>2215</v>
      </c>
      <c r="C315" s="1857"/>
      <c r="D315" s="1857"/>
      <c r="E315" s="1857"/>
      <c r="F315" s="1849">
        <v>0.05</v>
      </c>
    </row>
    <row r="316" spans="1:6" ht="24.75" thickBot="1">
      <c r="A316" s="1851" t="s">
        <v>1419</v>
      </c>
      <c r="B316" s="1858" t="s">
        <v>2216</v>
      </c>
      <c r="C316" s="1854"/>
      <c r="D316" s="1854"/>
      <c r="E316" s="1854"/>
      <c r="F316" s="1859">
        <v>0.05</v>
      </c>
    </row>
    <row r="317" spans="1:6" ht="14.25" thickBot="1">
      <c r="A317" s="1843" t="s">
        <v>2217</v>
      </c>
      <c r="B317" s="1844" t="s">
        <v>2218</v>
      </c>
      <c r="C317" s="1845">
        <v>0.15</v>
      </c>
      <c r="D317" s="1845">
        <v>0.15</v>
      </c>
      <c r="E317" s="1845">
        <v>0.15</v>
      </c>
      <c r="F317" s="1846">
        <v>0.15</v>
      </c>
    </row>
    <row r="318" spans="1:6" ht="14.25" thickBot="1">
      <c r="A318" s="1843" t="s">
        <v>2217</v>
      </c>
      <c r="B318" s="1847" t="s">
        <v>2219</v>
      </c>
      <c r="C318" s="1848">
        <v>0.107</v>
      </c>
      <c r="D318" s="1848">
        <v>0.11</v>
      </c>
      <c r="E318" s="1848">
        <v>0.112</v>
      </c>
      <c r="F318" s="1856"/>
    </row>
    <row r="319" spans="1:6" ht="14.25" thickBot="1">
      <c r="A319" s="1843" t="s">
        <v>2217</v>
      </c>
      <c r="B319" s="1847" t="s">
        <v>2220</v>
      </c>
      <c r="C319" s="1848">
        <v>0.15</v>
      </c>
      <c r="D319" s="1848">
        <v>0.15</v>
      </c>
      <c r="E319" s="1848">
        <v>0.15</v>
      </c>
      <c r="F319" s="1849">
        <v>0.15</v>
      </c>
    </row>
    <row r="320" spans="1:6" ht="14.25" thickBot="1">
      <c r="A320" s="1843" t="s">
        <v>2217</v>
      </c>
      <c r="B320" s="1847" t="s">
        <v>1107</v>
      </c>
      <c r="C320" s="1848">
        <v>0.15</v>
      </c>
      <c r="D320" s="1848">
        <v>0.15</v>
      </c>
      <c r="E320" s="1848">
        <v>0.15</v>
      </c>
      <c r="F320" s="1856"/>
    </row>
    <row r="321" spans="1:6" ht="14.25" thickBot="1">
      <c r="A321" s="1843" t="s">
        <v>2217</v>
      </c>
      <c r="B321" s="1847" t="s">
        <v>2221</v>
      </c>
      <c r="C321" s="1848">
        <v>0.15</v>
      </c>
      <c r="D321" s="1848">
        <v>0.15</v>
      </c>
      <c r="E321" s="1848">
        <v>0.15</v>
      </c>
      <c r="F321" s="1856"/>
    </row>
    <row r="322" spans="1:6" ht="14.25" thickBot="1">
      <c r="A322" s="1843" t="s">
        <v>2217</v>
      </c>
      <c r="B322" s="1847" t="s">
        <v>2222</v>
      </c>
      <c r="C322" s="1848">
        <v>0.15</v>
      </c>
      <c r="D322" s="1848">
        <v>0.15</v>
      </c>
      <c r="E322" s="1848">
        <v>0.15</v>
      </c>
      <c r="F322" s="1849">
        <v>0.15</v>
      </c>
    </row>
    <row r="323" spans="1:6" ht="14.25" thickBot="1">
      <c r="A323" s="1843" t="s">
        <v>2217</v>
      </c>
      <c r="B323" s="1847" t="s">
        <v>2223</v>
      </c>
      <c r="C323" s="1848">
        <v>0.15</v>
      </c>
      <c r="D323" s="1848">
        <v>0.15</v>
      </c>
      <c r="E323" s="1848">
        <v>0.15</v>
      </c>
      <c r="F323" s="1856"/>
    </row>
    <row r="324" spans="1:6" ht="14.25" thickBot="1">
      <c r="A324" s="1843" t="s">
        <v>2217</v>
      </c>
      <c r="B324" s="1847" t="s">
        <v>2224</v>
      </c>
      <c r="C324" s="1848">
        <v>0.15</v>
      </c>
      <c r="D324" s="1848">
        <v>0.15</v>
      </c>
      <c r="E324" s="1848">
        <v>0.15</v>
      </c>
      <c r="F324" s="1856"/>
    </row>
    <row r="325" spans="1:6" ht="14.25" thickBot="1">
      <c r="A325" s="1843" t="s">
        <v>2217</v>
      </c>
      <c r="B325" s="1847" t="s">
        <v>2225</v>
      </c>
      <c r="C325" s="1848">
        <v>0.15</v>
      </c>
      <c r="D325" s="1848">
        <v>0.15</v>
      </c>
      <c r="E325" s="1848">
        <v>0.15</v>
      </c>
      <c r="F325" s="1849">
        <v>0.14699999999999999</v>
      </c>
    </row>
    <row r="326" spans="1:6" ht="14.25" thickBot="1">
      <c r="A326" s="1843" t="s">
        <v>2217</v>
      </c>
      <c r="B326" s="1847" t="s">
        <v>1176</v>
      </c>
      <c r="C326" s="1848">
        <v>0.15</v>
      </c>
      <c r="D326" s="1848">
        <v>0.15</v>
      </c>
      <c r="E326" s="1848">
        <v>0.15</v>
      </c>
      <c r="F326" s="1856"/>
    </row>
    <row r="327" spans="1:6" ht="14.25" thickBot="1">
      <c r="A327" s="1843" t="s">
        <v>2217</v>
      </c>
      <c r="B327" s="1847" t="s">
        <v>2226</v>
      </c>
      <c r="C327" s="1848">
        <v>0.15</v>
      </c>
      <c r="D327" s="1848">
        <v>0.15</v>
      </c>
      <c r="E327" s="1848">
        <v>0.15</v>
      </c>
      <c r="F327" s="1849">
        <v>0.15</v>
      </c>
    </row>
    <row r="328" spans="1:6" ht="14.25" thickBot="1">
      <c r="A328" s="1843" t="s">
        <v>2217</v>
      </c>
      <c r="B328" s="1847" t="s">
        <v>1196</v>
      </c>
      <c r="C328" s="1848">
        <v>0.15</v>
      </c>
      <c r="D328" s="1848">
        <v>0.15</v>
      </c>
      <c r="E328" s="1848">
        <v>0.15</v>
      </c>
      <c r="F328" s="1849">
        <v>0.14099999999999999</v>
      </c>
    </row>
    <row r="329" spans="1:6" ht="14.25" thickBot="1">
      <c r="A329" s="1843" t="s">
        <v>2217</v>
      </c>
      <c r="B329" s="1847" t="s">
        <v>1206</v>
      </c>
      <c r="C329" s="1848">
        <v>0.15</v>
      </c>
      <c r="D329" s="1848">
        <v>0.15</v>
      </c>
      <c r="E329" s="1848">
        <v>0.15</v>
      </c>
      <c r="F329" s="1849">
        <v>0.15</v>
      </c>
    </row>
    <row r="330" spans="1:6" ht="14.25" thickBot="1">
      <c r="A330" s="1843" t="s">
        <v>2217</v>
      </c>
      <c r="B330" s="1847" t="s">
        <v>1216</v>
      </c>
      <c r="C330" s="1848">
        <v>0.15</v>
      </c>
      <c r="D330" s="1848">
        <v>0.15</v>
      </c>
      <c r="E330" s="1848">
        <v>0.15</v>
      </c>
      <c r="F330" s="1856"/>
    </row>
    <row r="331" spans="1:6" ht="14.25" thickBot="1">
      <c r="A331" s="1843" t="s">
        <v>2217</v>
      </c>
      <c r="B331" s="1847" t="s">
        <v>2227</v>
      </c>
      <c r="C331" s="1848">
        <v>0.15</v>
      </c>
      <c r="D331" s="1848">
        <v>0.15</v>
      </c>
      <c r="E331" s="1848">
        <v>0.15</v>
      </c>
      <c r="F331" s="1849">
        <v>0.15</v>
      </c>
    </row>
    <row r="332" spans="1:6" ht="14.25" thickBot="1">
      <c r="A332" s="1843" t="s">
        <v>2217</v>
      </c>
      <c r="B332" s="1847" t="s">
        <v>1236</v>
      </c>
      <c r="C332" s="1848">
        <v>0.15</v>
      </c>
      <c r="D332" s="1848">
        <v>0.15</v>
      </c>
      <c r="E332" s="1848">
        <v>0.15</v>
      </c>
      <c r="F332" s="1849">
        <v>0.15</v>
      </c>
    </row>
    <row r="333" spans="1:6" ht="14.25" thickBot="1">
      <c r="A333" s="1843" t="s">
        <v>2217</v>
      </c>
      <c r="B333" s="1847" t="s">
        <v>2228</v>
      </c>
      <c r="C333" s="1848">
        <v>0.15</v>
      </c>
      <c r="D333" s="1848">
        <v>0.15</v>
      </c>
      <c r="E333" s="1848">
        <v>0.15</v>
      </c>
      <c r="F333" s="1849">
        <v>0.14099999999999999</v>
      </c>
    </row>
    <row r="334" spans="1:6" ht="14.25" thickBot="1">
      <c r="A334" s="1843" t="s">
        <v>2217</v>
      </c>
      <c r="B334" s="1847" t="s">
        <v>1256</v>
      </c>
      <c r="C334" s="1848">
        <v>0.15</v>
      </c>
      <c r="D334" s="1848">
        <v>0.15</v>
      </c>
      <c r="E334" s="1848">
        <v>0.15</v>
      </c>
      <c r="F334" s="1849">
        <v>0.15</v>
      </c>
    </row>
    <row r="335" spans="1:6" ht="14.25" thickBot="1">
      <c r="A335" s="1843" t="s">
        <v>2217</v>
      </c>
      <c r="B335" s="1847" t="s">
        <v>1266</v>
      </c>
      <c r="C335" s="1848">
        <v>0.15</v>
      </c>
      <c r="D335" s="1848">
        <v>0.15</v>
      </c>
      <c r="E335" s="1848">
        <v>0.15</v>
      </c>
      <c r="F335" s="1856"/>
    </row>
    <row r="336" spans="1:6" ht="14.25" thickBot="1">
      <c r="A336" s="1843" t="s">
        <v>2217</v>
      </c>
      <c r="B336" s="1847" t="s">
        <v>2229</v>
      </c>
      <c r="C336" s="1848">
        <v>0.15</v>
      </c>
      <c r="D336" s="1848">
        <v>0.15</v>
      </c>
      <c r="E336" s="1848">
        <v>0.15</v>
      </c>
      <c r="F336" s="1849">
        <v>0.11799999999999999</v>
      </c>
    </row>
    <row r="337" spans="1:6" ht="14.25" thickBot="1">
      <c r="A337" s="1851" t="s">
        <v>2217</v>
      </c>
      <c r="B337" s="1858" t="s">
        <v>1284</v>
      </c>
      <c r="C337" s="1854"/>
      <c r="D337" s="1854"/>
      <c r="E337" s="1854"/>
      <c r="F337" s="1859">
        <v>0.14299999999999999</v>
      </c>
    </row>
    <row r="338" spans="1:6" ht="14.25" thickBot="1">
      <c r="A338" s="1843" t="s">
        <v>2230</v>
      </c>
      <c r="B338" s="1844" t="s">
        <v>2231</v>
      </c>
      <c r="C338" s="1845">
        <v>0.15</v>
      </c>
      <c r="D338" s="1845">
        <v>0.15</v>
      </c>
      <c r="E338" s="1845">
        <v>0.15</v>
      </c>
      <c r="F338" s="1867"/>
    </row>
    <row r="339" spans="1:6" ht="14.25" thickBot="1">
      <c r="A339" s="1843" t="s">
        <v>2230</v>
      </c>
      <c r="B339" s="1847" t="s">
        <v>2232</v>
      </c>
      <c r="C339" s="1848">
        <v>0.15</v>
      </c>
      <c r="D339" s="1848">
        <v>0.15</v>
      </c>
      <c r="E339" s="1848">
        <v>0.15</v>
      </c>
      <c r="F339" s="1856"/>
    </row>
    <row r="340" spans="1:6" ht="14.25" thickBot="1">
      <c r="A340" s="1843" t="s">
        <v>2230</v>
      </c>
      <c r="B340" s="1847" t="s">
        <v>2233</v>
      </c>
      <c r="C340" s="1848">
        <v>0.15</v>
      </c>
      <c r="D340" s="1848">
        <v>0.15</v>
      </c>
      <c r="E340" s="1848">
        <v>0.15</v>
      </c>
      <c r="F340" s="1856"/>
    </row>
    <row r="341" spans="1:6" ht="14.25" thickBot="1">
      <c r="A341" s="1843" t="s">
        <v>2234</v>
      </c>
      <c r="B341" s="1847" t="s">
        <v>2235</v>
      </c>
      <c r="C341" s="1848">
        <v>0.15</v>
      </c>
      <c r="D341" s="1848">
        <v>0.15</v>
      </c>
      <c r="E341" s="1848">
        <v>0.15</v>
      </c>
      <c r="F341" s="1849">
        <v>0.15</v>
      </c>
    </row>
    <row r="342" spans="1:6" ht="14.25" thickBot="1">
      <c r="A342" s="1843" t="s">
        <v>2230</v>
      </c>
      <c r="B342" s="1847" t="s">
        <v>2236</v>
      </c>
      <c r="C342" s="1848">
        <v>0.15</v>
      </c>
      <c r="D342" s="1848">
        <v>0.15</v>
      </c>
      <c r="E342" s="1848">
        <v>0.15</v>
      </c>
      <c r="F342" s="1849">
        <v>0.15</v>
      </c>
    </row>
    <row r="343" spans="1:6" ht="14.25" thickBot="1">
      <c r="A343" s="1843" t="s">
        <v>2230</v>
      </c>
      <c r="B343" s="1847" t="s">
        <v>2237</v>
      </c>
      <c r="C343" s="1848">
        <v>0.15</v>
      </c>
      <c r="D343" s="1848">
        <v>0.15</v>
      </c>
      <c r="E343" s="1848">
        <v>0.15</v>
      </c>
      <c r="F343" s="1849">
        <v>0.15</v>
      </c>
    </row>
    <row r="344" spans="1:6" ht="14.25"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6.25">
      <c r="A7" s="1783" t="s">
        <v>2747</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2939</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8.75">
      <c r="A21" s="1779" t="s">
        <v>2075</v>
      </c>
    </row>
    <row r="22" spans="1:1" ht="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79" t="str">
        <f>IF(项目基本情况!B16="出让","本次评估设定估价对象剩余土地使用年限为"&amp;项目基本情况!D20&amp;"。","")</f>
        <v>本次评估设定估价对象剩余土地使用年限为。</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2977</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69"/>
      <c r="C5" s="1869"/>
      <c r="D5" s="1869"/>
      <c r="E5" s="1869"/>
      <c r="F5" s="3106"/>
    </row>
    <row r="6" spans="1:6" ht="28.5">
      <c r="A6" s="3110" t="s">
        <v>2948</v>
      </c>
      <c r="B6" s="3107" t="s">
        <v>2945</v>
      </c>
      <c r="C6" s="3108"/>
      <c r="D6" s="1869"/>
      <c r="E6" s="3107" t="s">
        <v>2946</v>
      </c>
      <c r="F6" s="3107" t="s">
        <v>2950</v>
      </c>
    </row>
    <row r="7" spans="1:6" ht="14.25">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4.25">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4.25">
      <c r="A9" s="254"/>
      <c r="B9" s="3111" t="e">
        <f t="shared" ca="1" si="0"/>
        <v>#REF!</v>
      </c>
      <c r="C9" s="3107" t="s">
        <v>2943</v>
      </c>
      <c r="D9" s="1869"/>
      <c r="E9" s="3112" t="e">
        <f t="shared" ca="1" si="1"/>
        <v>#REF!</v>
      </c>
      <c r="F9" s="3112" t="e">
        <f t="shared" ca="1" si="2"/>
        <v>#REF!</v>
      </c>
    </row>
    <row r="10" spans="1:6" ht="14.25">
      <c r="A10" s="254"/>
      <c r="B10" s="3111" t="e">
        <f t="shared" ca="1" si="0"/>
        <v>#REF!</v>
      </c>
      <c r="C10" s="3107" t="s">
        <v>2943</v>
      </c>
      <c r="D10" s="1869"/>
      <c r="E10" s="3112" t="e">
        <f t="shared" ca="1" si="1"/>
        <v>#REF!</v>
      </c>
      <c r="F10" s="3112" t="e">
        <f t="shared" ca="1" si="2"/>
        <v>#REF!</v>
      </c>
    </row>
    <row r="11" spans="1:6" ht="14.25">
      <c r="A11" s="254"/>
      <c r="B11" s="3111" t="e">
        <f t="shared" ca="1" si="0"/>
        <v>#REF!</v>
      </c>
      <c r="C11" s="3107" t="s">
        <v>2943</v>
      </c>
      <c r="D11" s="1869"/>
      <c r="E11" s="3112" t="e">
        <f t="shared" ca="1" si="1"/>
        <v>#REF!</v>
      </c>
      <c r="F11" s="3112" t="e">
        <f t="shared" ca="1" si="2"/>
        <v>#REF!</v>
      </c>
    </row>
    <row r="12" spans="1:6" ht="14.25">
      <c r="A12" s="254"/>
      <c r="B12" s="3111" t="e">
        <f t="shared" ca="1" si="0"/>
        <v>#REF!</v>
      </c>
      <c r="C12" s="3107" t="s">
        <v>2943</v>
      </c>
      <c r="D12" s="1869"/>
      <c r="E12" s="3112" t="e">
        <f t="shared" ca="1" si="1"/>
        <v>#REF!</v>
      </c>
      <c r="F12" s="3112" t="e">
        <f t="shared" ca="1" si="2"/>
        <v>#REF!</v>
      </c>
    </row>
    <row r="13" spans="1:6" ht="14.25">
      <c r="A13" s="254"/>
      <c r="B13" s="3111" t="e">
        <f t="shared" ca="1" si="0"/>
        <v>#REF!</v>
      </c>
      <c r="C13" s="3107" t="s">
        <v>2943</v>
      </c>
      <c r="D13" s="1869"/>
      <c r="E13" s="3112" t="e">
        <f t="shared" ca="1" si="1"/>
        <v>#REF!</v>
      </c>
      <c r="F13" s="3112" t="e">
        <f t="shared" ca="1" si="2"/>
        <v>#REF!</v>
      </c>
    </row>
    <row r="14" spans="1:6" ht="14.25">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125" style="2047" customWidth="1"/>
    <col min="17" max="17" width="13.625" style="2047" customWidth="1"/>
    <col min="18" max="18" width="22.125" style="2047" customWidth="1"/>
    <col min="19" max="19" width="1.5" style="2047" customWidth="1"/>
    <col min="20" max="25" width="9" style="2047"/>
    <col min="26" max="16384" width="9" style="2048"/>
  </cols>
  <sheetData>
    <row r="1" spans="1:25" s="2042" customFormat="1" ht="21">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3.5"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5"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3.5"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29.25"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29.25"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29.25"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5.75"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20.25" thickBot="1">
      <c r="A62" s="2084"/>
      <c r="B62" s="2085"/>
      <c r="C62" s="2085"/>
      <c r="K62" s="2074"/>
      <c r="O62" s="2413" t="s">
        <v>2388</v>
      </c>
      <c r="P62" s="2411" t="s">
        <v>2396</v>
      </c>
      <c r="Q62" s="2412">
        <f ca="1">L59</f>
        <v>0</v>
      </c>
      <c r="R62" s="2415" t="s">
        <v>2397</v>
      </c>
    </row>
    <row r="63" spans="1:18" s="2047" customFormat="1" ht="20.25"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5.75"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5" thickBot="1">
      <c r="A65" s="2084"/>
      <c r="B65" s="2085"/>
      <c r="C65" s="2085"/>
      <c r="I65" s="2397" t="s">
        <v>2373</v>
      </c>
      <c r="J65" s="2398">
        <v>50</v>
      </c>
      <c r="K65" s="2398">
        <v>35</v>
      </c>
      <c r="L65" s="2398">
        <v>60</v>
      </c>
      <c r="M65" s="3103">
        <v>0</v>
      </c>
      <c r="O65" s="2416" t="s">
        <v>2417</v>
      </c>
      <c r="P65" s="1580"/>
      <c r="Q65" s="1592"/>
      <c r="R65" s="1580"/>
    </row>
    <row r="66" spans="1:18" s="2047" customFormat="1" ht="15.75"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5.75" thickBot="1">
      <c r="A67" s="2084"/>
      <c r="B67" s="2085"/>
      <c r="C67" s="2085"/>
      <c r="K67" s="2074"/>
      <c r="O67" s="2410" t="s">
        <v>2381</v>
      </c>
      <c r="P67" s="2411" t="s">
        <v>2407</v>
      </c>
      <c r="Q67" s="2412">
        <f ca="1">C41+J31</f>
        <v>0</v>
      </c>
      <c r="R67" s="2411" t="s">
        <v>2382</v>
      </c>
    </row>
    <row r="68" spans="1:18" s="2047" customFormat="1" ht="20.25" thickBot="1">
      <c r="A68" s="2084"/>
      <c r="B68" s="2085"/>
      <c r="C68" s="2085"/>
      <c r="K68" s="2074"/>
      <c r="O68" s="2410" t="s">
        <v>2383</v>
      </c>
      <c r="P68" s="2411" t="s">
        <v>2414</v>
      </c>
      <c r="Q68" s="2412" t="e">
        <f ca="1">L61</f>
        <v>#DIV/0!</v>
      </c>
      <c r="R68" s="2415" t="s">
        <v>2416</v>
      </c>
    </row>
    <row r="69" spans="1:18" s="2047" customFormat="1" ht="21.75" thickBot="1">
      <c r="A69" s="2084"/>
      <c r="B69" s="2085"/>
      <c r="C69" s="2085"/>
      <c r="K69" s="2074"/>
      <c r="O69" s="2413" t="s">
        <v>2385</v>
      </c>
      <c r="P69" s="2411" t="s">
        <v>2415</v>
      </c>
      <c r="Q69" s="2417">
        <f ca="1">L52</f>
        <v>0</v>
      </c>
      <c r="R69" s="2418" t="s">
        <v>2418</v>
      </c>
    </row>
    <row r="70" spans="1:18" s="2047" customFormat="1" ht="20.25" thickBot="1">
      <c r="A70" s="2084"/>
      <c r="B70" s="2085"/>
      <c r="C70" s="2085"/>
      <c r="K70" s="2074"/>
      <c r="O70" s="2413" t="s">
        <v>2386</v>
      </c>
      <c r="P70" s="2419" t="s">
        <v>2400</v>
      </c>
      <c r="Q70" s="2412">
        <f ca="1">ROUND(Q71-Q72*Q73,0)</f>
        <v>0</v>
      </c>
      <c r="R70" s="2415"/>
    </row>
    <row r="71" spans="1:18" s="2047" customFormat="1" ht="15.75" thickBot="1">
      <c r="A71" s="2084"/>
      <c r="B71" s="2085"/>
      <c r="C71" s="2085"/>
      <c r="K71" s="2074"/>
      <c r="O71" s="2413" t="s">
        <v>2401</v>
      </c>
      <c r="P71" s="2419" t="s">
        <v>2402</v>
      </c>
      <c r="Q71" s="2412">
        <f ca="1">C42</f>
        <v>0</v>
      </c>
      <c r="R71" s="2411" t="s">
        <v>2382</v>
      </c>
    </row>
    <row r="72" spans="1:18" s="2047" customFormat="1" ht="15.75" thickBot="1">
      <c r="A72" s="2084"/>
      <c r="B72" s="2085"/>
      <c r="C72" s="2085"/>
      <c r="K72" s="2074"/>
      <c r="O72" s="2413" t="s">
        <v>2403</v>
      </c>
      <c r="P72" s="2419" t="s">
        <v>2404</v>
      </c>
      <c r="Q72" s="2412">
        <f ca="1">C15</f>
        <v>0</v>
      </c>
      <c r="R72" s="2411" t="s">
        <v>2382</v>
      </c>
    </row>
    <row r="73" spans="1:18" s="2047" customFormat="1" ht="15.75" thickBot="1">
      <c r="A73" s="2084"/>
      <c r="B73" s="2085"/>
      <c r="C73" s="2085"/>
      <c r="K73" s="2074"/>
      <c r="O73" s="2413" t="s">
        <v>2405</v>
      </c>
      <c r="P73" s="2419" t="s">
        <v>2406</v>
      </c>
      <c r="Q73" s="2414">
        <f ca="1">F43</f>
        <v>0</v>
      </c>
      <c r="R73" s="2415"/>
    </row>
    <row r="74" spans="1:18" s="2047" customFormat="1" ht="15.75" thickBot="1">
      <c r="A74" s="2084"/>
      <c r="B74" s="2085"/>
      <c r="C74" s="2085"/>
      <c r="K74" s="2074"/>
      <c r="O74" s="2413" t="s">
        <v>2388</v>
      </c>
      <c r="P74" s="2411" t="s">
        <v>2395</v>
      </c>
      <c r="Q74" s="2414">
        <f>L53</f>
        <v>0</v>
      </c>
      <c r="R74" s="2415"/>
    </row>
    <row r="75" spans="1:18" s="2047" customFormat="1" ht="20.25" thickBot="1">
      <c r="A75" s="2084"/>
      <c r="B75" s="2085"/>
      <c r="C75" s="2085"/>
      <c r="K75" s="2074"/>
      <c r="O75" s="2413" t="s">
        <v>2390</v>
      </c>
      <c r="P75" s="2411" t="s">
        <v>2396</v>
      </c>
      <c r="Q75" s="2412">
        <f ca="1">L59</f>
        <v>0</v>
      </c>
      <c r="R75" s="2415" t="s">
        <v>2397</v>
      </c>
    </row>
    <row r="76" spans="1:18" s="2047" customFormat="1" ht="20.25" thickBot="1">
      <c r="A76" s="2084"/>
      <c r="B76" s="2085"/>
      <c r="C76" s="2085"/>
      <c r="K76" s="2074"/>
      <c r="O76" s="2413" t="s">
        <v>2419</v>
      </c>
      <c r="P76" s="2411" t="s">
        <v>2398</v>
      </c>
      <c r="Q76" s="2412">
        <f ca="1">L60</f>
        <v>0</v>
      </c>
      <c r="R76" s="2415" t="s">
        <v>2399</v>
      </c>
    </row>
    <row r="77" spans="1:18" s="2047" customFormat="1" ht="15.75"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2.75"/>
  <cols>
    <col min="1" max="1" width="9" style="2675"/>
    <col min="2" max="6" width="9" style="2675" customWidth="1"/>
    <col min="7" max="7" width="9" style="2691" customWidth="1"/>
    <col min="8" max="12" width="9" style="2675" customWidth="1"/>
    <col min="13" max="13" width="2.125" style="2675" customWidth="1"/>
    <col min="14" max="14" width="9" style="2691" customWidth="1"/>
    <col min="15" max="17" width="9" style="2675" customWidth="1"/>
    <col min="18" max="18" width="2.375" style="2675" customWidth="1"/>
    <col min="19" max="19" width="7.125" style="2691" customWidth="1"/>
    <col min="20" max="22" width="7.125" style="2675" customWidth="1"/>
    <col min="23" max="23" width="24" style="2675" customWidth="1"/>
    <col min="24" max="25" width="9" style="2675"/>
    <col min="26" max="27" width="11.625" style="2675" customWidth="1"/>
    <col min="28" max="28" width="9" style="2675"/>
    <col min="29" max="29" width="2" style="2675" customWidth="1"/>
    <col min="30" max="16384" width="9" style="2675"/>
  </cols>
  <sheetData>
    <row r="1" spans="1:34" s="2665" customFormat="1">
      <c r="B1" s="3565" t="s">
        <v>2577</v>
      </c>
      <c r="C1" s="3565"/>
      <c r="D1" s="3565"/>
      <c r="E1" s="3565"/>
      <c r="F1" s="3565"/>
      <c r="G1" s="3564" t="s">
        <v>2578</v>
      </c>
      <c r="H1" s="3564"/>
      <c r="I1" s="3564"/>
      <c r="J1" s="3564"/>
      <c r="K1" s="3564"/>
      <c r="L1" s="3564"/>
      <c r="N1" s="3564" t="s">
        <v>2579</v>
      </c>
      <c r="O1" s="3564"/>
      <c r="P1" s="3564"/>
      <c r="Q1" s="3564"/>
      <c r="R1" s="2666"/>
      <c r="S1" s="3564" t="s">
        <v>2580</v>
      </c>
      <c r="T1" s="3564"/>
      <c r="U1" s="3564"/>
      <c r="V1" s="3564"/>
      <c r="X1" s="3563" t="s">
        <v>2640</v>
      </c>
      <c r="Y1" s="3564"/>
      <c r="Z1" s="3564"/>
      <c r="AA1" s="3564"/>
      <c r="AB1" s="3564"/>
      <c r="AD1" s="3563" t="s">
        <v>2644</v>
      </c>
      <c r="AE1" s="3564"/>
      <c r="AF1" s="3564"/>
      <c r="AG1" s="3564"/>
      <c r="AH1" s="3564"/>
    </row>
    <row r="2" spans="1:34" s="2768" customFormat="1" ht="14.2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25">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25">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5"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5"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5"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0"/>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0"/>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5"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1"/>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5" thickBot="1">
      <c r="A15" s="2667" t="s">
        <v>967</v>
      </c>
      <c r="B15" s="2673">
        <v>333</v>
      </c>
      <c r="C15" s="2673">
        <v>277</v>
      </c>
      <c r="D15" s="2673">
        <f t="shared" si="35"/>
        <v>277</v>
      </c>
      <c r="E15" s="2673">
        <v>459</v>
      </c>
      <c r="F15" s="2674">
        <v>249</v>
      </c>
      <c r="G15" s="3559">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0"/>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0"/>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1"/>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5" thickBot="1">
      <c r="A19" s="2667" t="s">
        <v>963</v>
      </c>
      <c r="B19" s="2695">
        <v>318</v>
      </c>
      <c r="C19" s="2695">
        <v>268</v>
      </c>
      <c r="D19" s="2695">
        <f t="shared" si="35"/>
        <v>268</v>
      </c>
      <c r="E19" s="2695">
        <v>437</v>
      </c>
      <c r="F19" s="2696">
        <v>237</v>
      </c>
      <c r="G19" s="3559">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0"/>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5"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0"/>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5"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1"/>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5" thickBot="1">
      <c r="A23" s="2667" t="s">
        <v>2584</v>
      </c>
      <c r="B23" s="2673">
        <v>299</v>
      </c>
      <c r="C23" s="2673">
        <v>252</v>
      </c>
      <c r="D23" s="2673">
        <f t="shared" si="35"/>
        <v>252</v>
      </c>
      <c r="E23" s="2673">
        <v>409</v>
      </c>
      <c r="F23" s="2674">
        <v>227</v>
      </c>
      <c r="G23" s="3566">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7"/>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7"/>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8"/>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5" thickBot="1">
      <c r="A27" s="2667" t="s">
        <v>2588</v>
      </c>
      <c r="B27" s="2711">
        <v>278</v>
      </c>
      <c r="C27" s="2711">
        <v>234</v>
      </c>
      <c r="D27" s="2711">
        <f t="shared" si="35"/>
        <v>234</v>
      </c>
      <c r="E27" s="2711">
        <v>379</v>
      </c>
      <c r="F27" s="2712">
        <v>220</v>
      </c>
      <c r="G27" s="3559">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0"/>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0"/>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5" thickBot="1">
      <c r="A30" s="2667" t="s">
        <v>2591</v>
      </c>
      <c r="B30" s="2681">
        <f>B29/(1+N29)</f>
        <v>275.19025476197027</v>
      </c>
      <c r="C30" s="2713">
        <v>232</v>
      </c>
      <c r="D30" s="2713">
        <f t="shared" si="35"/>
        <v>232</v>
      </c>
      <c r="E30" s="2681">
        <f t="shared" si="46"/>
        <v>375.65990977608692</v>
      </c>
      <c r="F30" s="2681">
        <f t="shared" si="46"/>
        <v>214.12518283971252</v>
      </c>
      <c r="G30" s="3561"/>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5" thickBot="1">
      <c r="A31" s="2667" t="s">
        <v>2592</v>
      </c>
      <c r="B31" s="2673">
        <v>275</v>
      </c>
      <c r="C31" s="2673">
        <v>232</v>
      </c>
      <c r="D31" s="2673">
        <f t="shared" si="35"/>
        <v>232</v>
      </c>
      <c r="E31" s="2673">
        <v>376</v>
      </c>
      <c r="F31" s="2674">
        <v>213</v>
      </c>
      <c r="G31" s="3559">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0">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0">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5"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1">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5" thickBot="1">
      <c r="A35" s="2667" t="s">
        <v>2596</v>
      </c>
      <c r="B35" s="2673">
        <v>269</v>
      </c>
      <c r="C35" s="2673">
        <v>221</v>
      </c>
      <c r="D35" s="2673">
        <f t="shared" si="35"/>
        <v>221</v>
      </c>
      <c r="E35" s="2673">
        <v>373</v>
      </c>
      <c r="F35" s="2674">
        <v>196</v>
      </c>
      <c r="G35" s="3559">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0">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0">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5"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1">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5" thickBot="1">
      <c r="A39" s="2667" t="s">
        <v>2600</v>
      </c>
      <c r="B39" s="2673">
        <v>220</v>
      </c>
      <c r="C39" s="2673">
        <v>187</v>
      </c>
      <c r="D39" s="2673">
        <f t="shared" si="35"/>
        <v>187</v>
      </c>
      <c r="E39" s="2673">
        <v>301</v>
      </c>
      <c r="F39" s="2674">
        <v>168</v>
      </c>
      <c r="G39" s="3559">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0">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0">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1">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5" thickBot="1">
      <c r="A43" s="2667" t="s">
        <v>2604</v>
      </c>
      <c r="B43" s="2711">
        <v>214</v>
      </c>
      <c r="C43" s="2711">
        <v>188</v>
      </c>
      <c r="D43" s="2711">
        <f t="shared" si="35"/>
        <v>188</v>
      </c>
      <c r="E43" s="2711">
        <v>289</v>
      </c>
      <c r="F43" s="2712">
        <v>166</v>
      </c>
      <c r="G43" s="3559">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0">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0">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5"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1">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5" thickBot="1">
      <c r="A47" s="2667" t="s">
        <v>2608</v>
      </c>
      <c r="B47" s="2673">
        <v>188</v>
      </c>
      <c r="C47" s="2673">
        <v>165</v>
      </c>
      <c r="D47" s="2673">
        <f t="shared" si="35"/>
        <v>165</v>
      </c>
      <c r="E47" s="2673">
        <v>254</v>
      </c>
      <c r="F47" s="2674">
        <v>148</v>
      </c>
      <c r="G47" s="3559">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0">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0">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1">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5" thickBot="1">
      <c r="A51" s="2667" t="s">
        <v>2612</v>
      </c>
      <c r="B51" s="2695">
        <v>159</v>
      </c>
      <c r="C51" s="2695">
        <v>141</v>
      </c>
      <c r="D51" s="2695">
        <f t="shared" si="35"/>
        <v>141</v>
      </c>
      <c r="E51" s="2695">
        <v>195</v>
      </c>
      <c r="F51" s="2696">
        <v>122</v>
      </c>
      <c r="G51" s="3559">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0">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0">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1">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5" thickBot="1">
      <c r="A55" s="2667" t="s">
        <v>2616</v>
      </c>
      <c r="B55" s="2695">
        <v>138</v>
      </c>
      <c r="C55" s="2695">
        <v>131</v>
      </c>
      <c r="D55" s="2695">
        <f t="shared" si="35"/>
        <v>131</v>
      </c>
      <c r="E55" s="2695">
        <v>155</v>
      </c>
      <c r="F55" s="2696">
        <v>114</v>
      </c>
      <c r="G55" s="3559">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0">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0">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1">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5" thickBot="1">
      <c r="A59" s="2667" t="s">
        <v>2620</v>
      </c>
      <c r="B59" s="2711">
        <v>121</v>
      </c>
      <c r="C59" s="2711">
        <v>122</v>
      </c>
      <c r="D59" s="2711">
        <f t="shared" si="35"/>
        <v>122</v>
      </c>
      <c r="E59" s="2711">
        <v>124</v>
      </c>
      <c r="F59" s="2712">
        <v>107</v>
      </c>
      <c r="G59" s="3559">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0">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0">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5"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1">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5" thickBot="1">
      <c r="A63" s="2667" t="s">
        <v>2624</v>
      </c>
      <c r="B63" s="2732">
        <v>111</v>
      </c>
      <c r="C63" s="2732">
        <v>114</v>
      </c>
      <c r="D63" s="2732">
        <f t="shared" si="35"/>
        <v>114</v>
      </c>
      <c r="E63" s="2732">
        <v>108</v>
      </c>
      <c r="F63" s="2733">
        <v>104</v>
      </c>
      <c r="G63" s="3559">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0">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0">
        <v>2003</v>
      </c>
      <c r="H65" s="2672">
        <v>2</v>
      </c>
      <c r="I65" s="2734"/>
      <c r="J65" s="2734"/>
      <c r="K65" s="2734"/>
      <c r="L65" s="2734"/>
      <c r="X65" s="2726"/>
      <c r="Y65" s="2726"/>
      <c r="Z65" s="2726"/>
    </row>
    <row r="66" spans="1:26" ht="13.5" thickBot="1">
      <c r="A66" s="2667" t="s">
        <v>2627</v>
      </c>
      <c r="B66" s="2736">
        <f t="shared" si="71"/>
        <v>107.25</v>
      </c>
      <c r="C66" s="2736">
        <f t="shared" si="71"/>
        <v>108.75</v>
      </c>
      <c r="D66" s="2736">
        <f t="shared" si="35"/>
        <v>108.75</v>
      </c>
      <c r="E66" s="2736">
        <f t="shared" si="72"/>
        <v>105.75</v>
      </c>
      <c r="F66" s="2736">
        <f t="shared" si="72"/>
        <v>102.5</v>
      </c>
      <c r="G66" s="3561">
        <v>2003</v>
      </c>
      <c r="H66" s="2737">
        <v>1</v>
      </c>
      <c r="I66" s="2734"/>
      <c r="J66" s="2734"/>
      <c r="K66" s="2734"/>
      <c r="L66" s="2734"/>
      <c r="S66" s="2676"/>
      <c r="T66" s="2677"/>
      <c r="U66" s="2677"/>
      <c r="X66" s="2726"/>
      <c r="Y66" s="2726"/>
      <c r="Z66" s="2726"/>
    </row>
    <row r="67" spans="1:26" ht="13.5" thickBot="1">
      <c r="A67" s="2667" t="s">
        <v>2628</v>
      </c>
      <c r="B67" s="2738">
        <v>106</v>
      </c>
      <c r="C67" s="2738">
        <v>107</v>
      </c>
      <c r="D67" s="2738">
        <f t="shared" si="35"/>
        <v>107</v>
      </c>
      <c r="E67" s="2738">
        <v>105</v>
      </c>
      <c r="F67" s="2739">
        <v>102</v>
      </c>
      <c r="G67" s="3559">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0">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0">
        <v>2002</v>
      </c>
      <c r="H69" s="2672">
        <v>2</v>
      </c>
      <c r="I69" s="2734"/>
      <c r="J69" s="2734"/>
      <c r="K69" s="2734"/>
      <c r="L69" s="2734"/>
      <c r="X69" s="2726"/>
      <c r="Y69" s="2726"/>
      <c r="Z69" s="2726"/>
    </row>
    <row r="70" spans="1:26" s="2703" customFormat="1" ht="13.5" thickBot="1">
      <c r="A70" s="2699" t="s">
        <v>2631</v>
      </c>
      <c r="B70" s="2740">
        <f t="shared" si="73"/>
        <v>103</v>
      </c>
      <c r="C70" s="2740">
        <f t="shared" si="73"/>
        <v>104</v>
      </c>
      <c r="D70" s="2740">
        <f t="shared" si="35"/>
        <v>104</v>
      </c>
      <c r="E70" s="2740">
        <f t="shared" si="74"/>
        <v>103.5</v>
      </c>
      <c r="F70" s="2740">
        <f t="shared" si="74"/>
        <v>100.5</v>
      </c>
      <c r="G70" s="3561">
        <v>2002</v>
      </c>
      <c r="H70" s="2741">
        <v>1</v>
      </c>
      <c r="I70" s="2742"/>
      <c r="J70" s="2742"/>
      <c r="K70" s="2742"/>
      <c r="L70" s="2742"/>
      <c r="N70" s="2743"/>
      <c r="S70" s="2743"/>
      <c r="X70" s="2744"/>
      <c r="Y70" s="2744"/>
      <c r="Z70" s="2744"/>
    </row>
    <row r="71" spans="1:26" ht="13.5"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5"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5"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4.25"/>
  <cols>
    <col min="1" max="1" width="10.5" style="1329" customWidth="1"/>
    <col min="2" max="2" width="15.625" style="1329" customWidth="1"/>
    <col min="3" max="3" width="15.75" style="1329" customWidth="1"/>
    <col min="4" max="4" width="12.125" style="1329" customWidth="1"/>
    <col min="5" max="5" width="16.375" style="1329" customWidth="1"/>
    <col min="6" max="6" width="12.125" style="1329" customWidth="1"/>
    <col min="7" max="7" width="15.5" style="1329" customWidth="1"/>
    <col min="8" max="8" width="12.125" style="1329" customWidth="1"/>
    <col min="9" max="9" width="17.125" style="1329" customWidth="1"/>
    <col min="10" max="10" width="12.125" style="1329" customWidth="1"/>
    <col min="11" max="11" width="12.125" style="1335" customWidth="1"/>
    <col min="12" max="12" width="12.125" style="1336" customWidth="1"/>
    <col min="13" max="15" width="12.125" style="1329" customWidth="1"/>
    <col min="16" max="16" width="4.625" style="220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5" t="s">
        <v>520</v>
      </c>
      <c r="B4" s="506"/>
      <c r="C4" s="3481" t="s">
        <v>521</v>
      </c>
      <c r="D4" s="3482"/>
      <c r="E4" s="3520" t="s">
        <v>522</v>
      </c>
      <c r="F4" s="3521"/>
      <c r="G4" s="3481" t="s">
        <v>523</v>
      </c>
      <c r="H4" s="3482"/>
      <c r="I4" s="3481" t="s">
        <v>524</v>
      </c>
      <c r="J4" s="3482"/>
      <c r="K4" s="507" t="s">
        <v>525</v>
      </c>
      <c r="L4" s="2121"/>
      <c r="M4" s="2122"/>
      <c r="N4" s="2122"/>
      <c r="O4" s="2122"/>
      <c r="P4" s="3573" t="s">
        <v>526</v>
      </c>
      <c r="Q4" s="3484"/>
      <c r="R4" s="3489" t="s">
        <v>522</v>
      </c>
      <c r="S4" s="3490"/>
      <c r="T4" s="3489" t="s">
        <v>523</v>
      </c>
      <c r="U4" s="3490"/>
      <c r="V4" s="3476" t="s">
        <v>524</v>
      </c>
      <c r="W4" s="3476"/>
      <c r="X4" s="1555"/>
      <c r="Y4" s="3489" t="s">
        <v>526</v>
      </c>
      <c r="Z4" s="3490"/>
      <c r="AA4" s="3478" t="s">
        <v>522</v>
      </c>
      <c r="AB4" s="3478" t="s">
        <v>523</v>
      </c>
      <c r="AC4" s="3478" t="s">
        <v>524</v>
      </c>
    </row>
    <row r="5" spans="1:29" ht="13.9" customHeight="1">
      <c r="A5" s="508"/>
      <c r="B5" s="509"/>
      <c r="C5" s="3579" t="s">
        <v>3103</v>
      </c>
      <c r="D5" s="3498"/>
      <c r="E5" s="3580" t="s">
        <v>3129</v>
      </c>
      <c r="F5" s="3581"/>
      <c r="G5" s="3578" t="s">
        <v>3133</v>
      </c>
      <c r="H5" s="3498"/>
      <c r="I5" s="3579" t="s">
        <v>3134</v>
      </c>
      <c r="J5" s="3498"/>
      <c r="K5" s="507"/>
      <c r="L5" s="2121"/>
      <c r="M5" s="2122"/>
      <c r="N5" s="2122"/>
      <c r="O5" s="2122"/>
      <c r="P5" s="3574"/>
      <c r="Q5" s="3486"/>
      <c r="R5" s="3491"/>
      <c r="S5" s="3492"/>
      <c r="T5" s="3491"/>
      <c r="U5" s="3492"/>
      <c r="V5" s="3476"/>
      <c r="W5" s="3476"/>
      <c r="X5" s="1555"/>
      <c r="Y5" s="3491"/>
      <c r="Z5" s="3492"/>
      <c r="AA5" s="3479"/>
      <c r="AB5" s="3479"/>
      <c r="AC5" s="3479"/>
    </row>
    <row r="6" spans="1:29" ht="15.75" thickBot="1">
      <c r="A6" s="510"/>
      <c r="B6" s="511"/>
      <c r="C6" s="3495" t="s">
        <v>3104</v>
      </c>
      <c r="D6" s="3496"/>
      <c r="E6" s="3576" t="s">
        <v>3130</v>
      </c>
      <c r="F6" s="3577"/>
      <c r="G6" s="3576" t="s">
        <v>3130</v>
      </c>
      <c r="H6" s="3577"/>
      <c r="I6" s="3576" t="s">
        <v>3130</v>
      </c>
      <c r="J6" s="3577"/>
      <c r="K6" s="507" t="s">
        <v>527</v>
      </c>
      <c r="L6" s="2121"/>
      <c r="M6" s="2122"/>
      <c r="N6" s="2122"/>
      <c r="O6" s="2122"/>
      <c r="P6" s="3575"/>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509" t="s">
        <v>529</v>
      </c>
      <c r="Q7" s="3509"/>
      <c r="R7" s="1556" t="s">
        <v>8</v>
      </c>
      <c r="S7" s="1557">
        <f t="shared" ref="S7:S15" si="0">F7</f>
        <v>96.5</v>
      </c>
      <c r="T7" s="1556" t="s">
        <v>8</v>
      </c>
      <c r="U7" s="1557">
        <f t="shared" ref="U7:U15" si="1">H7</f>
        <v>99.5</v>
      </c>
      <c r="V7" s="1556" t="s">
        <v>8</v>
      </c>
      <c r="W7" s="1557">
        <f t="shared" ref="W7:W15" si="2">J7</f>
        <v>99.5</v>
      </c>
      <c r="X7" s="1558"/>
      <c r="Y7" s="3507" t="s">
        <v>529</v>
      </c>
      <c r="Z7" s="3508"/>
      <c r="AA7" s="1559">
        <f>D7/F7</f>
        <v>1.0362694300518134</v>
      </c>
      <c r="AB7" s="1559">
        <f>D7/H7</f>
        <v>1.0050251256281406</v>
      </c>
      <c r="AC7" s="1559">
        <f>D7/J7</f>
        <v>1.0050251256281406</v>
      </c>
    </row>
    <row r="8" spans="1:29" s="1212" customFormat="1" ht="15.7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509" t="s">
        <v>532</v>
      </c>
      <c r="Q8" s="3508"/>
      <c r="R8" s="1556" t="s">
        <v>8</v>
      </c>
      <c r="S8" s="1557">
        <f t="shared" si="0"/>
        <v>100</v>
      </c>
      <c r="T8" s="1556" t="s">
        <v>8</v>
      </c>
      <c r="U8" s="1557">
        <f t="shared" si="1"/>
        <v>100</v>
      </c>
      <c r="V8" s="1556" t="s">
        <v>8</v>
      </c>
      <c r="W8" s="1557">
        <f t="shared" si="2"/>
        <v>100</v>
      </c>
      <c r="X8" s="1558"/>
      <c r="Y8" s="3507" t="s">
        <v>532</v>
      </c>
      <c r="Z8" s="3508"/>
      <c r="AA8" s="1559">
        <f t="shared" ref="AA8:AA47" si="3">D8/F8</f>
        <v>1</v>
      </c>
      <c r="AB8" s="1559">
        <f t="shared" ref="AB8:AB47" si="4">D8/H8</f>
        <v>1</v>
      </c>
      <c r="AC8" s="1559">
        <f t="shared" ref="AC8:AC47" si="5">D8/J8</f>
        <v>1</v>
      </c>
    </row>
    <row r="9" spans="1:29" s="1212" customFormat="1" ht="15">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75"/>
      <c r="Q11" s="1143" t="str">
        <f t="shared" si="6"/>
        <v>容积率</v>
      </c>
      <c r="R11" s="1556" t="s">
        <v>8</v>
      </c>
      <c r="S11" s="1557">
        <f t="shared" si="0"/>
        <v>98</v>
      </c>
      <c r="T11" s="1556" t="s">
        <v>8</v>
      </c>
      <c r="U11" s="1557">
        <f t="shared" si="1"/>
        <v>98.5</v>
      </c>
      <c r="V11" s="1556" t="s">
        <v>8</v>
      </c>
      <c r="W11" s="1557">
        <f t="shared" si="2"/>
        <v>98.5</v>
      </c>
      <c r="X11" s="1558"/>
      <c r="Y11" s="3421"/>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510" t="s">
        <v>539</v>
      </c>
      <c r="Q15" s="1560" t="str">
        <f t="shared" si="6"/>
        <v>办公集聚程度</v>
      </c>
      <c r="R15" s="1561" t="s">
        <v>8</v>
      </c>
      <c r="S15" s="1562">
        <f t="shared" si="0"/>
        <v>105</v>
      </c>
      <c r="T15" s="1561" t="s">
        <v>8</v>
      </c>
      <c r="U15" s="1562">
        <f t="shared" si="1"/>
        <v>100</v>
      </c>
      <c r="V15" s="1561" t="s">
        <v>8</v>
      </c>
      <c r="W15" s="1562">
        <f t="shared" si="2"/>
        <v>100</v>
      </c>
      <c r="X15" s="1555"/>
      <c r="Y15" s="351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511"/>
      <c r="Q16" s="1560"/>
      <c r="R16" s="1561"/>
      <c r="S16" s="1562"/>
      <c r="T16" s="1561"/>
      <c r="U16" s="1562"/>
      <c r="V16" s="1561"/>
      <c r="W16" s="1562"/>
      <c r="X16" s="1555"/>
      <c r="Y16" s="351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511"/>
      <c r="Q18" s="1560"/>
      <c r="R18" s="1561"/>
      <c r="S18" s="1562"/>
      <c r="T18" s="1561"/>
      <c r="U18" s="1562"/>
      <c r="V18" s="1561"/>
      <c r="W18" s="1562"/>
      <c r="X18" s="1555"/>
      <c r="Y18" s="351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511"/>
      <c r="Q19" s="1560" t="str">
        <f>B19</f>
        <v>公共配套设施</v>
      </c>
      <c r="R19" s="1561" t="s">
        <v>8</v>
      </c>
      <c r="S19" s="1562">
        <f>F19</f>
        <v>102</v>
      </c>
      <c r="T19" s="1561" t="s">
        <v>8</v>
      </c>
      <c r="U19" s="1562">
        <f>H19</f>
        <v>100</v>
      </c>
      <c r="V19" s="1561" t="s">
        <v>8</v>
      </c>
      <c r="W19" s="1562">
        <f>J19</f>
        <v>100</v>
      </c>
      <c r="X19" s="1555"/>
      <c r="Y19" s="351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511"/>
      <c r="Q20" s="1560"/>
      <c r="R20" s="1561"/>
      <c r="S20" s="1562"/>
      <c r="T20" s="1561"/>
      <c r="U20" s="1562"/>
      <c r="V20" s="1561"/>
      <c r="W20" s="1562"/>
      <c r="X20" s="1555"/>
      <c r="Y20" s="351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511"/>
      <c r="Q22" s="2591"/>
      <c r="R22" s="1561"/>
      <c r="S22" s="1562"/>
      <c r="T22" s="1561"/>
      <c r="U22" s="1562"/>
      <c r="V22" s="1561"/>
      <c r="W22" s="1562"/>
      <c r="X22" s="2593"/>
      <c r="Y22" s="351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511"/>
      <c r="Q23" s="1560" t="str">
        <f>B23</f>
        <v>环境质量</v>
      </c>
      <c r="R23" s="1561" t="s">
        <v>8</v>
      </c>
      <c r="S23" s="1562">
        <f>F23</f>
        <v>102</v>
      </c>
      <c r="T23" s="1561" t="s">
        <v>8</v>
      </c>
      <c r="U23" s="1562">
        <f>H23</f>
        <v>100</v>
      </c>
      <c r="V23" s="1561" t="s">
        <v>8</v>
      </c>
      <c r="W23" s="1562">
        <f>J23</f>
        <v>100</v>
      </c>
      <c r="X23" s="1555"/>
      <c r="Y23" s="351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511"/>
      <c r="Q24" s="1560"/>
      <c r="R24" s="1561"/>
      <c r="S24" s="1562"/>
      <c r="T24" s="1561"/>
      <c r="U24" s="1562"/>
      <c r="V24" s="1561"/>
      <c r="W24" s="1562"/>
      <c r="X24" s="1555"/>
      <c r="Y24" s="3511"/>
      <c r="Z24" s="1563"/>
      <c r="AA24" s="1564">
        <v>1</v>
      </c>
      <c r="AB24" s="1564">
        <v>1</v>
      </c>
      <c r="AC24" s="1564">
        <v>1</v>
      </c>
    </row>
    <row r="25" spans="1:29" ht="27">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511"/>
      <c r="Q25" s="1560" t="str">
        <f>B25</f>
        <v>毗邻道路的类型与等级</v>
      </c>
      <c r="R25" s="1561" t="s">
        <v>8</v>
      </c>
      <c r="S25" s="1562">
        <f>F25</f>
        <v>98</v>
      </c>
      <c r="T25" s="1561" t="s">
        <v>8</v>
      </c>
      <c r="U25" s="1562">
        <f>H25</f>
        <v>97</v>
      </c>
      <c r="V25" s="1561" t="s">
        <v>8</v>
      </c>
      <c r="W25" s="1562">
        <f>J25</f>
        <v>97</v>
      </c>
      <c r="X25" s="1555"/>
      <c r="Y25" s="351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511"/>
      <c r="Q26" s="1560"/>
      <c r="R26" s="1561"/>
      <c r="S26" s="1562"/>
      <c r="T26" s="1561"/>
      <c r="U26" s="1562"/>
      <c r="V26" s="1561"/>
      <c r="W26" s="1562"/>
      <c r="X26" s="1555"/>
      <c r="Y26" s="351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511"/>
      <c r="Q27" s="1560" t="str">
        <f t="shared" ref="Q27:Q47" si="11">B27</f>
        <v>楼层</v>
      </c>
      <c r="R27" s="1561" t="s">
        <v>8</v>
      </c>
      <c r="S27" s="1562">
        <f>F27</f>
        <v>100</v>
      </c>
      <c r="T27" s="1561" t="s">
        <v>8</v>
      </c>
      <c r="U27" s="1562">
        <f>H27</f>
        <v>100</v>
      </c>
      <c r="V27" s="1561" t="s">
        <v>8</v>
      </c>
      <c r="W27" s="1562">
        <f>J27</f>
        <v>100</v>
      </c>
      <c r="X27" s="1555"/>
      <c r="Y27" s="351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511"/>
      <c r="Q28" s="1143" t="str">
        <f t="shared" si="11"/>
        <v>朝向</v>
      </c>
      <c r="R28" s="1556" t="s">
        <v>8</v>
      </c>
      <c r="S28" s="1557">
        <f>F28</f>
        <v>100</v>
      </c>
      <c r="T28" s="1556" t="s">
        <v>8</v>
      </c>
      <c r="U28" s="1557">
        <f>H28</f>
        <v>100</v>
      </c>
      <c r="V28" s="1556" t="s">
        <v>8</v>
      </c>
      <c r="W28" s="1557">
        <f>J28</f>
        <v>100</v>
      </c>
      <c r="X28" s="1558"/>
      <c r="Y28" s="351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511"/>
      <c r="Q29" s="1560">
        <f t="shared" si="11"/>
        <v>111</v>
      </c>
      <c r="R29" s="1561" t="s">
        <v>8</v>
      </c>
      <c r="S29" s="1562">
        <f t="shared" ref="S29:S47" si="12">F29</f>
        <v>100</v>
      </c>
      <c r="T29" s="1561" t="s">
        <v>8</v>
      </c>
      <c r="U29" s="1562">
        <f t="shared" ref="U29:U47" si="13">H29</f>
        <v>100</v>
      </c>
      <c r="V29" s="1561" t="s">
        <v>8</v>
      </c>
      <c r="W29" s="1562">
        <f t="shared" ref="W29:W47" si="14">J29</f>
        <v>100</v>
      </c>
      <c r="X29" s="1555"/>
      <c r="Y29" s="351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511"/>
      <c r="Q32" s="1560">
        <f t="shared" si="11"/>
        <v>111</v>
      </c>
      <c r="R32" s="1561" t="s">
        <v>8</v>
      </c>
      <c r="S32" s="1562">
        <f t="shared" si="12"/>
        <v>100</v>
      </c>
      <c r="T32" s="1561" t="s">
        <v>8</v>
      </c>
      <c r="U32" s="1562">
        <f t="shared" si="13"/>
        <v>100</v>
      </c>
      <c r="V32" s="1561" t="s">
        <v>8</v>
      </c>
      <c r="W32" s="1562">
        <f t="shared" si="14"/>
        <v>100</v>
      </c>
      <c r="X32" s="1555"/>
      <c r="Y32" s="351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512" t="s">
        <v>549</v>
      </c>
      <c r="Q33" s="1560" t="str">
        <f t="shared" si="11"/>
        <v>建筑类型</v>
      </c>
      <c r="R33" s="1561" t="s">
        <v>8</v>
      </c>
      <c r="S33" s="1562">
        <f t="shared" si="12"/>
        <v>100</v>
      </c>
      <c r="T33" s="1561" t="s">
        <v>8</v>
      </c>
      <c r="U33" s="1562">
        <f t="shared" si="13"/>
        <v>100</v>
      </c>
      <c r="V33" s="1561" t="s">
        <v>8</v>
      </c>
      <c r="W33" s="1562">
        <f t="shared" si="14"/>
        <v>100</v>
      </c>
      <c r="X33" s="1555"/>
      <c r="Y33" s="351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513"/>
      <c r="Q34" s="1593" t="str">
        <f t="shared" si="11"/>
        <v>项目建筑规模</v>
      </c>
      <c r="R34" s="1565" t="s">
        <v>8</v>
      </c>
      <c r="S34" s="1566" t="e">
        <f t="shared" si="12"/>
        <v>#REF!</v>
      </c>
      <c r="T34" s="1565" t="s">
        <v>8</v>
      </c>
      <c r="U34" s="1566" t="e">
        <f t="shared" si="13"/>
        <v>#REF!</v>
      </c>
      <c r="V34" s="1565" t="s">
        <v>8</v>
      </c>
      <c r="W34" s="1566" t="e">
        <f t="shared" si="14"/>
        <v>#REF!</v>
      </c>
      <c r="X34" s="1567"/>
      <c r="Y34" s="351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513"/>
      <c r="Q35" s="1560" t="str">
        <f t="shared" si="11"/>
        <v>建筑结构</v>
      </c>
      <c r="R35" s="1561" t="s">
        <v>8</v>
      </c>
      <c r="S35" s="1562">
        <f t="shared" si="12"/>
        <v>100</v>
      </c>
      <c r="T35" s="1561" t="s">
        <v>8</v>
      </c>
      <c r="U35" s="1562">
        <f t="shared" si="13"/>
        <v>100</v>
      </c>
      <c r="V35" s="1561" t="s">
        <v>8</v>
      </c>
      <c r="W35" s="1562">
        <f t="shared" si="14"/>
        <v>100</v>
      </c>
      <c r="X35" s="1555"/>
      <c r="Y35" s="351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513"/>
      <c r="Q36" s="1560" t="str">
        <f t="shared" si="11"/>
        <v>公共部分装修</v>
      </c>
      <c r="R36" s="1561" t="s">
        <v>8</v>
      </c>
      <c r="S36" s="1562">
        <f t="shared" si="12"/>
        <v>100</v>
      </c>
      <c r="T36" s="1561" t="s">
        <v>8</v>
      </c>
      <c r="U36" s="1562">
        <f t="shared" si="13"/>
        <v>100</v>
      </c>
      <c r="V36" s="1561" t="s">
        <v>8</v>
      </c>
      <c r="W36" s="1562">
        <f t="shared" si="14"/>
        <v>100</v>
      </c>
      <c r="X36" s="1555"/>
      <c r="Y36" s="351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513"/>
      <c r="Q37" s="1560" t="str">
        <f t="shared" si="11"/>
        <v>成新度</v>
      </c>
      <c r="R37" s="1561" t="s">
        <v>8</v>
      </c>
      <c r="S37" s="1562">
        <f t="shared" si="12"/>
        <v>100</v>
      </c>
      <c r="T37" s="1561" t="s">
        <v>8</v>
      </c>
      <c r="U37" s="1562">
        <f t="shared" si="13"/>
        <v>100</v>
      </c>
      <c r="V37" s="1561" t="s">
        <v>8</v>
      </c>
      <c r="W37" s="1562">
        <f t="shared" si="14"/>
        <v>100</v>
      </c>
      <c r="X37" s="1555"/>
      <c r="Y37" s="351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513"/>
      <c r="Q38" s="1143" t="str">
        <f t="shared" si="11"/>
        <v>写字楼等级</v>
      </c>
      <c r="R38" s="1556" t="s">
        <v>8</v>
      </c>
      <c r="S38" s="1557">
        <f t="shared" si="12"/>
        <v>100</v>
      </c>
      <c r="T38" s="1556" t="s">
        <v>8</v>
      </c>
      <c r="U38" s="1557">
        <f t="shared" si="13"/>
        <v>100</v>
      </c>
      <c r="V38" s="1556" t="s">
        <v>8</v>
      </c>
      <c r="W38" s="1557">
        <f t="shared" si="14"/>
        <v>100</v>
      </c>
      <c r="X38" s="1558"/>
      <c r="Y38" s="351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513" t="s">
        <v>549</v>
      </c>
      <c r="Q39" s="1560" t="str">
        <f t="shared" si="11"/>
        <v>物业管理</v>
      </c>
      <c r="R39" s="1561" t="s">
        <v>8</v>
      </c>
      <c r="S39" s="1562">
        <f t="shared" si="12"/>
        <v>100</v>
      </c>
      <c r="T39" s="1561" t="s">
        <v>8</v>
      </c>
      <c r="U39" s="1562">
        <f t="shared" si="13"/>
        <v>100</v>
      </c>
      <c r="V39" s="1561" t="s">
        <v>8</v>
      </c>
      <c r="W39" s="1562">
        <f t="shared" si="14"/>
        <v>100</v>
      </c>
      <c r="X39" s="1555"/>
      <c r="Y39" s="351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513"/>
      <c r="Q40" s="1560" t="str">
        <f t="shared" si="11"/>
        <v>市政基础设施</v>
      </c>
      <c r="R40" s="1561" t="s">
        <v>8</v>
      </c>
      <c r="S40" s="1562">
        <f t="shared" si="12"/>
        <v>100</v>
      </c>
      <c r="T40" s="1561" t="s">
        <v>8</v>
      </c>
      <c r="U40" s="1562">
        <f t="shared" si="13"/>
        <v>100</v>
      </c>
      <c r="V40" s="1561" t="s">
        <v>8</v>
      </c>
      <c r="W40" s="1562">
        <f t="shared" si="14"/>
        <v>100</v>
      </c>
      <c r="X40" s="1555"/>
      <c r="Y40" s="351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513"/>
      <c r="Q41" s="1560" t="str">
        <f t="shared" si="11"/>
        <v>层高</v>
      </c>
      <c r="R41" s="1561" t="s">
        <v>8</v>
      </c>
      <c r="S41" s="1562">
        <f t="shared" si="12"/>
        <v>100</v>
      </c>
      <c r="T41" s="1561" t="s">
        <v>8</v>
      </c>
      <c r="U41" s="1562">
        <f t="shared" si="13"/>
        <v>100</v>
      </c>
      <c r="V41" s="1561" t="s">
        <v>8</v>
      </c>
      <c r="W41" s="1562">
        <f t="shared" si="14"/>
        <v>100</v>
      </c>
      <c r="X41" s="1555"/>
      <c r="Y41" s="351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513"/>
      <c r="Q42" s="1593" t="str">
        <f t="shared" si="11"/>
        <v>单套建筑面积</v>
      </c>
      <c r="R42" s="1565" t="s">
        <v>8</v>
      </c>
      <c r="S42" s="1566">
        <f t="shared" si="12"/>
        <v>100</v>
      </c>
      <c r="T42" s="1565" t="s">
        <v>8</v>
      </c>
      <c r="U42" s="1566">
        <f t="shared" si="13"/>
        <v>100</v>
      </c>
      <c r="V42" s="1565" t="s">
        <v>8</v>
      </c>
      <c r="W42" s="1566">
        <f t="shared" si="14"/>
        <v>100</v>
      </c>
      <c r="X42" s="1567"/>
      <c r="Y42" s="351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513"/>
      <c r="Q43" s="1560" t="str">
        <f t="shared" si="11"/>
        <v>内部装修</v>
      </c>
      <c r="R43" s="1561" t="s">
        <v>8</v>
      </c>
      <c r="S43" s="1562">
        <f t="shared" si="12"/>
        <v>100</v>
      </c>
      <c r="T43" s="1561" t="s">
        <v>8</v>
      </c>
      <c r="U43" s="1562">
        <f t="shared" si="13"/>
        <v>100</v>
      </c>
      <c r="V43" s="1561" t="s">
        <v>8</v>
      </c>
      <c r="W43" s="1562">
        <f t="shared" si="14"/>
        <v>100</v>
      </c>
      <c r="X43" s="1555"/>
      <c r="Y43" s="3513"/>
      <c r="Z43" s="1563" t="str">
        <f t="shared" si="15"/>
        <v>内部装修</v>
      </c>
      <c r="AA43" s="1564">
        <f t="shared" si="3"/>
        <v>1</v>
      </c>
      <c r="AB43" s="1564">
        <f t="shared" si="4"/>
        <v>1</v>
      </c>
      <c r="AC43" s="1564">
        <f t="shared" si="5"/>
        <v>1</v>
      </c>
    </row>
    <row r="44" spans="1:29" ht="15">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513"/>
      <c r="Q44" s="1560" t="str">
        <f t="shared" si="11"/>
        <v>内部装修维护情况</v>
      </c>
      <c r="R44" s="1561" t="s">
        <v>8</v>
      </c>
      <c r="S44" s="1562">
        <f t="shared" si="12"/>
        <v>100</v>
      </c>
      <c r="T44" s="1561" t="s">
        <v>8</v>
      </c>
      <c r="U44" s="1562">
        <f t="shared" si="13"/>
        <v>100</v>
      </c>
      <c r="V44" s="1561" t="s">
        <v>8</v>
      </c>
      <c r="W44" s="1562">
        <f t="shared" si="14"/>
        <v>100</v>
      </c>
      <c r="X44" s="1555"/>
      <c r="Y44" s="351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513"/>
      <c r="Q45" s="1143">
        <f t="shared" si="11"/>
        <v>111</v>
      </c>
      <c r="R45" s="1556" t="s">
        <v>8</v>
      </c>
      <c r="S45" s="1557">
        <f t="shared" si="12"/>
        <v>100</v>
      </c>
      <c r="T45" s="1556" t="s">
        <v>8</v>
      </c>
      <c r="U45" s="1557">
        <f t="shared" si="13"/>
        <v>100</v>
      </c>
      <c r="V45" s="1556" t="s">
        <v>8</v>
      </c>
      <c r="W45" s="1557">
        <f t="shared" si="14"/>
        <v>100</v>
      </c>
      <c r="X45" s="1558"/>
      <c r="Y45" s="351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513"/>
      <c r="Q46" s="1560">
        <f t="shared" si="11"/>
        <v>111</v>
      </c>
      <c r="R46" s="1561" t="s">
        <v>8</v>
      </c>
      <c r="S46" s="1562">
        <f t="shared" si="12"/>
        <v>100</v>
      </c>
      <c r="T46" s="1561" t="s">
        <v>8</v>
      </c>
      <c r="U46" s="1562">
        <f t="shared" si="13"/>
        <v>100</v>
      </c>
      <c r="V46" s="1561" t="s">
        <v>8</v>
      </c>
      <c r="W46" s="1562">
        <f t="shared" si="14"/>
        <v>100</v>
      </c>
      <c r="X46" s="1555"/>
      <c r="Y46" s="3513"/>
      <c r="Z46" s="1563">
        <f t="shared" si="15"/>
        <v>111</v>
      </c>
      <c r="AA46" s="1564">
        <f t="shared" si="3"/>
        <v>1</v>
      </c>
      <c r="AB46" s="1564">
        <f t="shared" si="4"/>
        <v>1</v>
      </c>
      <c r="AC46" s="1564">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2"/>
      <c r="Q47" s="1560">
        <f t="shared" si="11"/>
        <v>111</v>
      </c>
      <c r="R47" s="1561" t="s">
        <v>8</v>
      </c>
      <c r="S47" s="1562">
        <f t="shared" si="12"/>
        <v>100</v>
      </c>
      <c r="T47" s="1561" t="s">
        <v>8</v>
      </c>
      <c r="U47" s="1562">
        <f t="shared" si="13"/>
        <v>100</v>
      </c>
      <c r="V47" s="1561" t="s">
        <v>8</v>
      </c>
      <c r="W47" s="1562">
        <f t="shared" si="14"/>
        <v>100</v>
      </c>
      <c r="X47" s="1555"/>
      <c r="Y47" s="3572"/>
      <c r="Z47" s="1563">
        <f t="shared" si="15"/>
        <v>111</v>
      </c>
      <c r="AA47" s="1564">
        <f t="shared" si="3"/>
        <v>1</v>
      </c>
      <c r="AB47" s="1564">
        <f t="shared" si="4"/>
        <v>1</v>
      </c>
      <c r="AC47" s="1564">
        <f t="shared" si="5"/>
        <v>1</v>
      </c>
    </row>
    <row r="48" spans="1:29" ht="15">
      <c r="A48" s="600" t="s">
        <v>735</v>
      </c>
      <c r="B48" s="880"/>
      <c r="C48" s="2639" t="s">
        <v>1</v>
      </c>
      <c r="D48" s="2640"/>
      <c r="E48" s="2641">
        <v>51438</v>
      </c>
      <c r="F48" s="2642"/>
      <c r="G48" s="2643">
        <v>44286</v>
      </c>
      <c r="H48" s="2644"/>
      <c r="I48" s="2641">
        <v>43000</v>
      </c>
      <c r="J48" s="2644"/>
      <c r="K48" s="1599"/>
      <c r="L48" s="2132"/>
      <c r="M48" s="2122"/>
      <c r="N48" s="2122"/>
      <c r="O48" s="2122"/>
      <c r="P48" s="3473" t="str">
        <f>A48</f>
        <v>成交单价（元/平方米）</v>
      </c>
      <c r="Q48" s="3475"/>
      <c r="R48" s="3569">
        <f>E48</f>
        <v>51438</v>
      </c>
      <c r="S48" s="3569"/>
      <c r="T48" s="3569">
        <f>G48</f>
        <v>44286</v>
      </c>
      <c r="U48" s="3569"/>
      <c r="V48" s="3569">
        <f>I48</f>
        <v>43000</v>
      </c>
      <c r="W48" s="3569"/>
      <c r="X48" s="1547"/>
      <c r="Y48" s="1569"/>
      <c r="Z48" s="1547"/>
      <c r="AA48" s="1547"/>
      <c r="AB48" s="1547"/>
      <c r="AC48" s="1547"/>
    </row>
    <row r="49" spans="1:29" ht="15.7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473" t="str">
        <f>A49</f>
        <v>比较价格（元/平方米）</v>
      </c>
      <c r="Q49" s="3475"/>
      <c r="R49" s="3569" t="e">
        <f>IF(F1="售价",ROUND(PRODUCT(R48,AA7:AA47),0),ROUND(PRODUCT(R48,AA7:AA47),1))</f>
        <v>#REF!</v>
      </c>
      <c r="S49" s="3569"/>
      <c r="T49" s="3569" t="e">
        <f>IF(F1="售价",ROUND(PRODUCT(T48,AB7:AB47),0),ROUND(PRODUCT(T48,AB7:AB47),1))</f>
        <v>#REF!</v>
      </c>
      <c r="U49" s="3569"/>
      <c r="V49" s="3569" t="e">
        <f>IF(F1="售价",ROUND(PRODUCT(V48,AC7:AC47),0),ROUND(PRODUCT(V48,AC7:AC47),1))</f>
        <v>#REF!</v>
      </c>
      <c r="W49" s="3569"/>
      <c r="X49" s="1547"/>
      <c r="Y49" s="1547"/>
      <c r="Z49" s="1547"/>
      <c r="AA49" s="1547"/>
      <c r="AB49" s="1547"/>
      <c r="AC49" s="1547"/>
    </row>
    <row r="50" spans="1:29" ht="15.75" thickBot="1">
      <c r="A50" s="614" t="s">
        <v>2931</v>
      </c>
      <c r="B50" s="615"/>
      <c r="C50" s="2648" t="e">
        <f>R50</f>
        <v>#REF!</v>
      </c>
      <c r="D50" s="2648"/>
      <c r="E50" s="2648"/>
      <c r="F50" s="2648"/>
      <c r="G50" s="2648"/>
      <c r="H50" s="2648"/>
      <c r="I50" s="2648"/>
      <c r="J50" s="2648"/>
      <c r="K50" s="1601"/>
      <c r="L50" s="2132"/>
      <c r="M50" s="2122"/>
      <c r="N50" s="2122"/>
      <c r="O50" s="2122"/>
      <c r="P50" s="3570" t="str">
        <f>A50</f>
        <v>估价对象XX用房的比较价格（楼面单价，元/平方米）</v>
      </c>
      <c r="Q50" s="3473"/>
      <c r="R50" s="3571" t="e">
        <f>IF(F1="售价",ROUND(AVERAGE(R49:V49),0),ROUND(AVERAGE(R49:V49),1))</f>
        <v>#REF!</v>
      </c>
      <c r="S50" s="3571"/>
      <c r="T50" s="3571"/>
      <c r="U50" s="3571"/>
      <c r="V50" s="3571"/>
      <c r="W50" s="357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5">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ht="15">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7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5">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5.75"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5.75"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7.75"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5.75"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7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5.75"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5.75"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5.75"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5.75"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5.75"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5.75"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5.75"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5.75"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7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5.75"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7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5.75"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7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5.75"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7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5.75"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7.75"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5.75"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5.75"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5.75"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5.75"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5.75"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5.75"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5.75"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5.75"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5.75"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5.75"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5.75"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9.25"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5.75"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5.75"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5.75"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5.75"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5.75"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5.75"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15"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5"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5.75"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5"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5"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5.75"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5"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20.25"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1.75" thickBot="1">
      <c r="A68" s="779"/>
      <c r="B68" s="780"/>
      <c r="C68" s="781"/>
      <c r="D68" s="814" t="s">
        <v>1808</v>
      </c>
      <c r="E68" s="777" t="s">
        <v>1784</v>
      </c>
      <c r="F68" s="815">
        <f ca="1">F41</f>
        <v>36.54</v>
      </c>
      <c r="O68" s="2413" t="s">
        <v>2385</v>
      </c>
      <c r="P68" s="2411" t="s">
        <v>2415</v>
      </c>
      <c r="Q68" s="2417">
        <f ca="1">L51</f>
        <v>13032</v>
      </c>
      <c r="R68" s="2418" t="s">
        <v>2418</v>
      </c>
    </row>
    <row r="69" spans="1:18" ht="20.25" thickBot="1">
      <c r="A69" s="783"/>
      <c r="B69" s="784"/>
      <c r="C69" s="785"/>
      <c r="D69" s="809"/>
      <c r="E69" s="777" t="s">
        <v>709</v>
      </c>
      <c r="F69" s="2359"/>
      <c r="O69" s="2413" t="s">
        <v>2386</v>
      </c>
      <c r="P69" s="2419" t="s">
        <v>2400</v>
      </c>
      <c r="Q69" s="2412">
        <f ca="1">ROUND(Q70-Q71*Q72,0)</f>
        <v>762</v>
      </c>
      <c r="R69" s="2415"/>
    </row>
    <row r="70" spans="1:18" ht="15.75"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5.75" thickBot="1">
      <c r="O71" s="2413" t="s">
        <v>2403</v>
      </c>
      <c r="P71" s="2419" t="s">
        <v>2404</v>
      </c>
      <c r="Q71" s="2412">
        <f ca="1">C13</f>
        <v>5525</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5"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20.25"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6731</v>
      </c>
      <c r="R68" s="2418" t="s">
        <v>2418</v>
      </c>
    </row>
    <row r="69" spans="1:18" ht="20.25" thickBot="1">
      <c r="A69" s="783"/>
      <c r="B69" s="784"/>
      <c r="C69" s="785"/>
      <c r="D69" s="809"/>
      <c r="E69" s="777" t="s">
        <v>709</v>
      </c>
      <c r="F69" s="2359"/>
      <c r="O69" s="2413" t="s">
        <v>2386</v>
      </c>
      <c r="P69" s="2419" t="s">
        <v>2400</v>
      </c>
      <c r="Q69" s="2412">
        <f ca="1">ROUND(Q70-Q71*Q72,0)</f>
        <v>341</v>
      </c>
      <c r="R69" s="2415"/>
    </row>
    <row r="70" spans="1:18" ht="15.75"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5.75" thickBot="1">
      <c r="O71" s="2413" t="s">
        <v>2403</v>
      </c>
      <c r="P71" s="2419" t="s">
        <v>2404</v>
      </c>
      <c r="Q71" s="2412">
        <f ca="1">C13</f>
        <v>3112</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5"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20.25"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2494</v>
      </c>
      <c r="R68" s="2418" t="s">
        <v>2418</v>
      </c>
    </row>
    <row r="69" spans="1:18" ht="20.25" thickBot="1">
      <c r="A69" s="783"/>
      <c r="B69" s="784"/>
      <c r="C69" s="785"/>
      <c r="D69" s="809"/>
      <c r="E69" s="777" t="s">
        <v>709</v>
      </c>
      <c r="F69" s="2359"/>
      <c r="O69" s="2413" t="s">
        <v>2386</v>
      </c>
      <c r="P69" s="2419" t="s">
        <v>2400</v>
      </c>
      <c r="Q69" s="2412">
        <f ca="1">ROUND(Q70-Q71*Q72,0)</f>
        <v>116</v>
      </c>
      <c r="R69" s="2415"/>
    </row>
    <row r="70" spans="1:18" ht="15.75"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5.75" thickBot="1">
      <c r="O71" s="2413" t="s">
        <v>2403</v>
      </c>
      <c r="P71" s="2419" t="s">
        <v>2404</v>
      </c>
      <c r="Q71" s="2412">
        <f ca="1">C13</f>
        <v>25477</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5"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20.25"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1.75" thickBot="1">
      <c r="A68" s="779"/>
      <c r="B68" s="780"/>
      <c r="C68" s="781"/>
      <c r="D68" s="814" t="s">
        <v>1808</v>
      </c>
      <c r="E68" s="777" t="s">
        <v>1784</v>
      </c>
      <c r="F68" s="815">
        <f ca="1">F41</f>
        <v>66.56</v>
      </c>
      <c r="O68" s="2413" t="s">
        <v>2385</v>
      </c>
      <c r="P68" s="2411" t="s">
        <v>2415</v>
      </c>
      <c r="Q68" s="2417">
        <f ca="1">L51</f>
        <v>57467</v>
      </c>
      <c r="R68" s="2418" t="s">
        <v>2418</v>
      </c>
    </row>
    <row r="69" spans="1:18" ht="20.25" thickBot="1">
      <c r="A69" s="783"/>
      <c r="B69" s="784"/>
      <c r="C69" s="785"/>
      <c r="D69" s="809"/>
      <c r="E69" s="777" t="s">
        <v>709</v>
      </c>
      <c r="F69" s="2359"/>
      <c r="O69" s="2413" t="s">
        <v>2386</v>
      </c>
      <c r="P69" s="2419" t="s">
        <v>2400</v>
      </c>
      <c r="Q69" s="2412">
        <f ca="1">ROUND(Q70-Q71*Q72,0)</f>
        <v>2214</v>
      </c>
      <c r="R69" s="2415"/>
    </row>
    <row r="70" spans="1:18" ht="15.75"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5.75" thickBot="1">
      <c r="O71" s="2413" t="s">
        <v>2403</v>
      </c>
      <c r="P71" s="2419" t="s">
        <v>2404</v>
      </c>
      <c r="Q71" s="2412">
        <f ca="1">C13</f>
        <v>27864</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5.75"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5.75"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5"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20.25"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1.75" thickBot="1">
      <c r="A68" s="779"/>
      <c r="B68" s="780"/>
      <c r="C68" s="781"/>
      <c r="D68" s="814" t="s">
        <v>1808</v>
      </c>
      <c r="E68" s="777" t="s">
        <v>1784</v>
      </c>
      <c r="F68" s="815" t="e">
        <f ca="1">F41</f>
        <v>#N/A</v>
      </c>
      <c r="O68" s="2413" t="s">
        <v>2385</v>
      </c>
      <c r="P68" s="2411" t="s">
        <v>2415</v>
      </c>
      <c r="Q68" s="2417" t="e">
        <f ca="1">L51</f>
        <v>#N/A</v>
      </c>
      <c r="R68" s="2418" t="s">
        <v>2418</v>
      </c>
    </row>
    <row r="69" spans="1:18" ht="20.25" thickBot="1">
      <c r="A69" s="783"/>
      <c r="B69" s="784"/>
      <c r="C69" s="785"/>
      <c r="D69" s="809"/>
      <c r="E69" s="777" t="s">
        <v>709</v>
      </c>
      <c r="F69" s="2359"/>
      <c r="O69" s="2413" t="s">
        <v>2386</v>
      </c>
      <c r="P69" s="2419" t="s">
        <v>2400</v>
      </c>
      <c r="Q69" s="2412" t="e">
        <f ca="1">ROUND(Q70-Q71*Q72,0)</f>
        <v>#N/A</v>
      </c>
      <c r="R69" s="2415"/>
    </row>
    <row r="70" spans="1:18" ht="15.75"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5.75" thickBot="1">
      <c r="O71" s="2413" t="s">
        <v>2403</v>
      </c>
      <c r="P71" s="2419" t="s">
        <v>2404</v>
      </c>
      <c r="Q71" s="2412" t="e">
        <f ca="1">C13</f>
        <v>#N/A</v>
      </c>
      <c r="R71" s="2411" t="s">
        <v>2382</v>
      </c>
    </row>
    <row r="72" spans="1:18" ht="15.75" thickBot="1">
      <c r="O72" s="2413" t="s">
        <v>2405</v>
      </c>
      <c r="P72" s="2419" t="s">
        <v>2406</v>
      </c>
      <c r="Q72" s="2414" t="e">
        <f ca="1">J36</f>
        <v>#N/A</v>
      </c>
      <c r="R72" s="2415"/>
    </row>
    <row r="73" spans="1:18" ht="15.75" thickBot="1">
      <c r="O73" s="2413" t="s">
        <v>2388</v>
      </c>
      <c r="P73" s="2411" t="s">
        <v>2395</v>
      </c>
      <c r="Q73" s="2414">
        <f>L52</f>
        <v>0</v>
      </c>
      <c r="R73" s="2415"/>
    </row>
    <row r="74" spans="1:18" ht="20.25" thickBot="1">
      <c r="O74" s="2413" t="s">
        <v>2390</v>
      </c>
      <c r="P74" s="2411" t="s">
        <v>2396</v>
      </c>
      <c r="Q74" s="2412" t="e">
        <f ca="1">L58</f>
        <v>#N/A</v>
      </c>
      <c r="R74" s="2415" t="s">
        <v>2397</v>
      </c>
    </row>
    <row r="75" spans="1:18" ht="15.75" thickBot="1">
      <c r="O75" s="2413" t="s">
        <v>2419</v>
      </c>
      <c r="P75" s="2411" t="str">
        <f>K59</f>
        <v>建设期及建筑物耐用年限下的土地年期修正系数Kn</v>
      </c>
      <c r="Q75" s="2412" t="e">
        <f ca="1">L59</f>
        <v>#N/A</v>
      </c>
      <c r="R75" s="2415" t="s">
        <v>2399</v>
      </c>
    </row>
    <row r="76" spans="1:18" ht="15.75"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5" defaultRowHeight="13.5"/>
  <cols>
    <col min="1" max="1" width="10.5" customWidth="1"/>
    <col min="2" max="2" width="12.75" customWidth="1"/>
    <col min="3" max="3" width="8.625" customWidth="1"/>
  </cols>
  <sheetData>
    <row r="1" spans="1:9" ht="14.25">
      <c r="A1" s="3584" t="s">
        <v>2472</v>
      </c>
      <c r="B1" s="3585"/>
      <c r="C1" s="3586"/>
      <c r="D1" s="3587">
        <f>SUM(I10,I15,I20,I21,I23)</f>
        <v>0</v>
      </c>
      <c r="E1" s="3587"/>
      <c r="F1" s="3587"/>
      <c r="G1" s="3587"/>
      <c r="H1" s="3587"/>
      <c r="I1" s="3588"/>
    </row>
    <row r="2" spans="1:9">
      <c r="A2" s="3589" t="s">
        <v>2473</v>
      </c>
      <c r="B2" s="3590" t="s">
        <v>2474</v>
      </c>
      <c r="C2" s="3590"/>
      <c r="D2" s="2519" t="s">
        <v>2475</v>
      </c>
      <c r="E2" s="2519" t="s">
        <v>2476</v>
      </c>
      <c r="F2" s="2519" t="s">
        <v>2477</v>
      </c>
      <c r="G2" s="2519" t="s">
        <v>2478</v>
      </c>
      <c r="H2" s="2519" t="s">
        <v>2479</v>
      </c>
      <c r="I2" s="2520" t="s">
        <v>2480</v>
      </c>
    </row>
    <row r="3" spans="1:9">
      <c r="A3" s="3589"/>
      <c r="B3" s="3590" t="s">
        <v>2481</v>
      </c>
      <c r="C3" s="3590"/>
      <c r="D3" s="2521"/>
      <c r="E3" s="2519"/>
      <c r="F3" s="2522"/>
      <c r="G3" s="2522"/>
      <c r="H3" s="2523"/>
      <c r="I3" s="2524">
        <f>ROUND(D3*E3*F3*G3*H3/10000,0)</f>
        <v>0</v>
      </c>
    </row>
    <row r="4" spans="1:9">
      <c r="A4" s="3589"/>
      <c r="B4" s="3590" t="s">
        <v>2482</v>
      </c>
      <c r="C4" s="3590"/>
      <c r="D4" s="2521"/>
      <c r="E4" s="2519"/>
      <c r="F4" s="2522"/>
      <c r="G4" s="2522"/>
      <c r="H4" s="2523"/>
      <c r="I4" s="2524">
        <f t="shared" ref="I4:I9" si="0">ROUND(D4*E4*F4*G4*H4/10000,0)</f>
        <v>0</v>
      </c>
    </row>
    <row r="5" spans="1:9">
      <c r="A5" s="3589"/>
      <c r="B5" s="3590" t="s">
        <v>2483</v>
      </c>
      <c r="C5" s="3590"/>
      <c r="D5" s="2521"/>
      <c r="E5" s="2519"/>
      <c r="F5" s="2522"/>
      <c r="G5" s="2522"/>
      <c r="H5" s="2523"/>
      <c r="I5" s="2524">
        <f t="shared" si="0"/>
        <v>0</v>
      </c>
    </row>
    <row r="6" spans="1:9">
      <c r="A6" s="3589"/>
      <c r="B6" s="3590" t="s">
        <v>2484</v>
      </c>
      <c r="C6" s="3590"/>
      <c r="D6" s="2521"/>
      <c r="E6" s="2519"/>
      <c r="F6" s="2522"/>
      <c r="G6" s="2522"/>
      <c r="H6" s="2523"/>
      <c r="I6" s="2524">
        <f t="shared" si="0"/>
        <v>0</v>
      </c>
    </row>
    <row r="7" spans="1:9">
      <c r="A7" s="3589"/>
      <c r="B7" s="3590" t="s">
        <v>2485</v>
      </c>
      <c r="C7" s="3590"/>
      <c r="D7" s="2521"/>
      <c r="E7" s="2519"/>
      <c r="F7" s="2522"/>
      <c r="G7" s="2522"/>
      <c r="H7" s="2523"/>
      <c r="I7" s="2524">
        <f t="shared" si="0"/>
        <v>0</v>
      </c>
    </row>
    <row r="8" spans="1:9">
      <c r="A8" s="3589"/>
      <c r="B8" s="3590" t="s">
        <v>2486</v>
      </c>
      <c r="C8" s="3590"/>
      <c r="D8" s="2521"/>
      <c r="E8" s="2519"/>
      <c r="F8" s="2522"/>
      <c r="G8" s="2522"/>
      <c r="H8" s="2523"/>
      <c r="I8" s="2524">
        <f t="shared" si="0"/>
        <v>0</v>
      </c>
    </row>
    <row r="9" spans="1:9">
      <c r="A9" s="3589"/>
      <c r="B9" s="3590" t="s">
        <v>2487</v>
      </c>
      <c r="C9" s="3590"/>
      <c r="D9" s="2521"/>
      <c r="E9" s="2519"/>
      <c r="F9" s="2522"/>
      <c r="G9" s="2522"/>
      <c r="H9" s="2523"/>
      <c r="I9" s="2524">
        <f t="shared" si="0"/>
        <v>0</v>
      </c>
    </row>
    <row r="10" spans="1:9">
      <c r="A10" s="3589"/>
      <c r="B10" s="3591" t="s">
        <v>2488</v>
      </c>
      <c r="C10" s="3591"/>
      <c r="D10" s="2525">
        <v>527</v>
      </c>
      <c r="E10" s="2525" t="e">
        <f>ROUND(D1*10000/D10/H9,0)</f>
        <v>#DIV/0!</v>
      </c>
      <c r="F10" s="2526"/>
      <c r="G10" s="2526"/>
      <c r="H10" s="2527"/>
      <c r="I10" s="2528">
        <f>SUM(I3:I9)</f>
        <v>0</v>
      </c>
    </row>
    <row r="11" spans="1:9" ht="14.25">
      <c r="A11" s="3589" t="s">
        <v>2489</v>
      </c>
      <c r="B11" s="3590" t="s">
        <v>2490</v>
      </c>
      <c r="C11" s="3590"/>
      <c r="D11" s="2521" t="s">
        <v>2491</v>
      </c>
      <c r="E11" s="2521" t="s">
        <v>2492</v>
      </c>
      <c r="F11" s="2522" t="s">
        <v>2493</v>
      </c>
      <c r="G11" s="2522" t="s">
        <v>2494</v>
      </c>
      <c r="H11" s="2529" t="s">
        <v>2495</v>
      </c>
      <c r="I11" s="2520" t="s">
        <v>2496</v>
      </c>
    </row>
    <row r="12" spans="1:9">
      <c r="A12" s="3589"/>
      <c r="B12" s="3590" t="s">
        <v>2497</v>
      </c>
      <c r="C12" s="3590"/>
      <c r="D12" s="2521"/>
      <c r="E12" s="2521"/>
      <c r="F12" s="2522"/>
      <c r="G12" s="2523"/>
      <c r="H12" s="2530"/>
      <c r="I12" s="2520">
        <f>ROUND(D12*E12*F12*G12/10000,0)</f>
        <v>0</v>
      </c>
    </row>
    <row r="13" spans="1:9">
      <c r="A13" s="3589"/>
      <c r="B13" s="3590" t="s">
        <v>2498</v>
      </c>
      <c r="C13" s="3590"/>
      <c r="D13" s="2521"/>
      <c r="E13" s="2521"/>
      <c r="F13" s="2522"/>
      <c r="G13" s="2523"/>
      <c r="H13" s="2530"/>
      <c r="I13" s="2520">
        <f>ROUND(D13*E13*F13*G13/10000,0)</f>
        <v>0</v>
      </c>
    </row>
    <row r="14" spans="1:9">
      <c r="A14" s="3589"/>
      <c r="B14" s="3590" t="s">
        <v>2499</v>
      </c>
      <c r="C14" s="3590"/>
      <c r="D14" s="2521"/>
      <c r="E14" s="2521"/>
      <c r="F14" s="2522"/>
      <c r="G14" s="2523"/>
      <c r="H14" s="2530"/>
      <c r="I14" s="2520">
        <f>ROUND(D14*E14*F14*G14/10000,0)</f>
        <v>0</v>
      </c>
    </row>
    <row r="15" spans="1:9">
      <c r="A15" s="3589"/>
      <c r="B15" s="3591" t="s">
        <v>2488</v>
      </c>
      <c r="C15" s="3591"/>
      <c r="D15" s="2525"/>
      <c r="E15" s="2525">
        <f>SUM(E12:E14)</f>
        <v>0</v>
      </c>
      <c r="F15" s="2526"/>
      <c r="G15" s="2523"/>
      <c r="H15" s="2530"/>
      <c r="I15" s="2531">
        <f>SUM(I12:I14)</f>
        <v>0</v>
      </c>
    </row>
    <row r="16" spans="1:9" ht="24">
      <c r="A16" s="3589" t="s">
        <v>2500</v>
      </c>
      <c r="B16" s="3590" t="s">
        <v>2501</v>
      </c>
      <c r="C16" s="3590"/>
      <c r="D16" s="2521" t="s">
        <v>2502</v>
      </c>
      <c r="E16" s="2532" t="s">
        <v>2503</v>
      </c>
      <c r="F16" s="2522" t="s">
        <v>2504</v>
      </c>
      <c r="G16" s="2523" t="s">
        <v>2494</v>
      </c>
      <c r="H16" s="2529" t="s">
        <v>2495</v>
      </c>
      <c r="I16" s="2520" t="s">
        <v>2496</v>
      </c>
    </row>
    <row r="17" spans="1:9" ht="14.25">
      <c r="A17" s="3589"/>
      <c r="B17" s="3590" t="s">
        <v>2505</v>
      </c>
      <c r="C17" s="3590"/>
      <c r="D17" s="2521"/>
      <c r="E17" s="2521"/>
      <c r="F17" s="2522"/>
      <c r="G17" s="2523"/>
      <c r="H17" s="2533"/>
      <c r="I17" s="2534">
        <f>ROUND(D17*E17*F17*G17/10000,0)</f>
        <v>0</v>
      </c>
    </row>
    <row r="18" spans="1:9" ht="14.25">
      <c r="A18" s="3589"/>
      <c r="B18" s="3590" t="s">
        <v>2506</v>
      </c>
      <c r="C18" s="3590"/>
      <c r="D18" s="2521"/>
      <c r="E18" s="2521"/>
      <c r="F18" s="2522"/>
      <c r="G18" s="2523"/>
      <c r="H18" s="2533"/>
      <c r="I18" s="2534">
        <f>ROUND(D18*E18*F18*G18/10000,0)</f>
        <v>0</v>
      </c>
    </row>
    <row r="19" spans="1:9" ht="14.25">
      <c r="A19" s="3589"/>
      <c r="B19" s="3590" t="s">
        <v>2507</v>
      </c>
      <c r="C19" s="3590"/>
      <c r="D19" s="2521"/>
      <c r="E19" s="2521"/>
      <c r="F19" s="2522"/>
      <c r="G19" s="2523"/>
      <c r="H19" s="2533"/>
      <c r="I19" s="2534">
        <f>ROUND(D19*E19*F19*G19/10000,0)</f>
        <v>0</v>
      </c>
    </row>
    <row r="20" spans="1:9">
      <c r="A20" s="3589"/>
      <c r="B20" s="3591" t="s">
        <v>2488</v>
      </c>
      <c r="C20" s="3591"/>
      <c r="D20" s="2525">
        <f>SUM(D17:D19)</f>
        <v>0</v>
      </c>
      <c r="E20" s="2525"/>
      <c r="F20" s="2526"/>
      <c r="G20" s="2523"/>
      <c r="H20" s="2530"/>
      <c r="I20" s="2531">
        <f>SUM(I17:I19)</f>
        <v>0</v>
      </c>
    </row>
    <row r="21" spans="1:9">
      <c r="A21" s="3589" t="s">
        <v>2508</v>
      </c>
      <c r="B21" s="3593"/>
      <c r="C21" s="3593"/>
      <c r="D21" s="3593"/>
      <c r="E21" s="3593"/>
      <c r="F21" s="3593"/>
      <c r="G21" s="3593"/>
      <c r="H21" s="2535">
        <v>0.1</v>
      </c>
      <c r="I21" s="2528">
        <f>ROUND(I10*H21,0)</f>
        <v>0</v>
      </c>
    </row>
    <row r="22" spans="1:9" ht="14.25">
      <c r="A22" s="3594" t="s">
        <v>2509</v>
      </c>
      <c r="B22" s="3595"/>
      <c r="C22" s="3596"/>
      <c r="D22" s="2536" t="s">
        <v>2510</v>
      </c>
      <c r="E22" s="2536" t="s">
        <v>2511</v>
      </c>
      <c r="F22" s="2537" t="s">
        <v>2512</v>
      </c>
      <c r="G22" s="2537" t="s">
        <v>2513</v>
      </c>
      <c r="H22" s="2529" t="s">
        <v>2514</v>
      </c>
      <c r="I22" s="2520" t="s">
        <v>2515</v>
      </c>
    </row>
    <row r="23" spans="1:9" ht="14.25" thickBot="1">
      <c r="A23" s="3597"/>
      <c r="B23" s="3598"/>
      <c r="C23" s="3599"/>
      <c r="D23" s="2538"/>
      <c r="E23" s="2538"/>
      <c r="F23" s="2538"/>
      <c r="G23" s="2539"/>
      <c r="H23" s="2540"/>
      <c r="I23" s="2541">
        <f>ROUND(E23*D23*F23*(1-G23)/10000,0)</f>
        <v>0</v>
      </c>
    </row>
    <row r="26" spans="1:9">
      <c r="A26" s="2542" t="s">
        <v>2516</v>
      </c>
      <c r="B26" s="2542"/>
      <c r="C26" s="2542"/>
      <c r="D26" s="2542"/>
      <c r="E26" s="3600">
        <f>C27-C30-C31-C32</f>
        <v>0</v>
      </c>
      <c r="F26" s="3600"/>
      <c r="G26" s="3600"/>
      <c r="H26" s="3042" t="s">
        <v>2843</v>
      </c>
    </row>
    <row r="27" spans="1:9">
      <c r="A27" s="2543">
        <v>1</v>
      </c>
      <c r="B27" s="2544" t="s">
        <v>2517</v>
      </c>
      <c r="C27" s="2544"/>
      <c r="D27" s="2544"/>
      <c r="E27" s="3601"/>
      <c r="F27" s="3601"/>
      <c r="G27" s="3601"/>
    </row>
    <row r="28" spans="1:9">
      <c r="A28" s="2545" t="s">
        <v>2518</v>
      </c>
      <c r="B28" s="2544" t="s">
        <v>2519</v>
      </c>
      <c r="C28" s="2544"/>
      <c r="D28" s="2544"/>
      <c r="E28" s="3601"/>
      <c r="F28" s="3601"/>
      <c r="G28" s="3601"/>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92"/>
      <c r="F32" s="3592"/>
      <c r="G32" s="3592"/>
    </row>
    <row r="33" spans="1:7" hidden="1">
      <c r="A33" s="3602" t="s">
        <v>2527</v>
      </c>
      <c r="B33" s="3603"/>
      <c r="C33" s="3603"/>
      <c r="D33" s="3604"/>
      <c r="E33" s="3600"/>
      <c r="F33" s="3600"/>
      <c r="G33" s="3600"/>
    </row>
    <row r="34" spans="1:7" hidden="1">
      <c r="A34" s="2547">
        <v>1</v>
      </c>
      <c r="B34" s="2544" t="s">
        <v>2528</v>
      </c>
      <c r="C34" s="2544"/>
      <c r="D34" s="2544"/>
      <c r="E34" s="3601"/>
      <c r="F34" s="3601"/>
      <c r="G34" s="3601"/>
    </row>
    <row r="35" spans="1:7" hidden="1">
      <c r="A35" s="2547">
        <v>2</v>
      </c>
      <c r="B35" s="2544" t="s">
        <v>2529</v>
      </c>
      <c r="C35" s="2544"/>
      <c r="D35" s="2544"/>
      <c r="E35" s="3601"/>
      <c r="F35" s="3601"/>
      <c r="G35" s="3601"/>
    </row>
    <row r="36" spans="1:7" hidden="1">
      <c r="A36" s="2547">
        <v>3</v>
      </c>
      <c r="B36" s="2544" t="s">
        <v>2530</v>
      </c>
      <c r="C36" s="2544"/>
      <c r="D36" s="2544"/>
      <c r="E36" s="3601"/>
      <c r="F36" s="3601"/>
      <c r="G36" s="3601"/>
    </row>
    <row r="37" spans="1:7" hidden="1">
      <c r="A37" s="2547">
        <v>4</v>
      </c>
      <c r="B37" s="2544" t="s">
        <v>2531</v>
      </c>
      <c r="C37" s="2544"/>
      <c r="D37" s="2544"/>
      <c r="E37" s="3601"/>
      <c r="F37" s="3601"/>
      <c r="G37" s="3601"/>
    </row>
    <row r="38" spans="1:7" hidden="1">
      <c r="A38" s="3602" t="s">
        <v>2532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93.75">
      <c r="A7" s="2885" t="s">
        <v>2748</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2072</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93.75">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2075</v>
      </c>
    </row>
    <row r="23" spans="1:1" ht="18.75">
      <c r="A23" s="2887" t="s">
        <v>2749</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75" style="2174" customWidth="1"/>
    <col min="8" max="25" width="9" style="2176" customWidth="1"/>
    <col min="26" max="254" width="9" style="2174" customWidth="1"/>
    <col min="255" max="16384" width="8.375" style="2174"/>
  </cols>
  <sheetData>
    <row r="1" spans="1:25" s="2047" customFormat="1" ht="20.25">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4.25"/>
  <cols>
    <col min="1" max="1" width="10.5" style="1329" customWidth="1"/>
    <col min="2" max="2" width="15.625" style="1329" customWidth="1"/>
    <col min="3" max="3" width="15.12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5" t="s">
        <v>520</v>
      </c>
      <c r="B4" s="506"/>
      <c r="C4" s="3481" t="s">
        <v>521</v>
      </c>
      <c r="D4" s="3482"/>
      <c r="E4" s="3520" t="s">
        <v>522</v>
      </c>
      <c r="F4" s="3521"/>
      <c r="G4" s="3481" t="s">
        <v>523</v>
      </c>
      <c r="H4" s="3482"/>
      <c r="I4" s="3481" t="s">
        <v>524</v>
      </c>
      <c r="J4" s="3482"/>
      <c r="K4" s="846"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8" t="s">
        <v>523</v>
      </c>
      <c r="AC4" s="3478" t="s">
        <v>524</v>
      </c>
    </row>
    <row r="5" spans="1:29" ht="15">
      <c r="A5" s="508"/>
      <c r="B5" s="509"/>
      <c r="C5" s="3514" t="s">
        <v>2925</v>
      </c>
      <c r="D5" s="3515"/>
      <c r="E5" s="3522" t="s">
        <v>2926</v>
      </c>
      <c r="F5" s="3523"/>
      <c r="G5" s="3514" t="s">
        <v>2927</v>
      </c>
      <c r="H5" s="3515"/>
      <c r="I5" s="3514" t="s">
        <v>2928</v>
      </c>
      <c r="J5" s="3515"/>
      <c r="K5" s="84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84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507" t="s">
        <v>529</v>
      </c>
      <c r="Q7" s="3509"/>
      <c r="R7" s="1556" t="s">
        <v>13</v>
      </c>
      <c r="S7" s="1557">
        <f t="shared" ref="S7:S15" si="0">F7</f>
        <v>0</v>
      </c>
      <c r="T7" s="1556" t="s">
        <v>13</v>
      </c>
      <c r="U7" s="1557">
        <f t="shared" ref="U7:U15" si="1">H7</f>
        <v>0</v>
      </c>
      <c r="V7" s="1556" t="s">
        <v>13</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507" t="s">
        <v>532</v>
      </c>
      <c r="Q8" s="3508"/>
      <c r="R8" s="1556" t="s">
        <v>13</v>
      </c>
      <c r="S8" s="1557">
        <f t="shared" si="0"/>
        <v>0</v>
      </c>
      <c r="T8" s="1556" t="s">
        <v>13</v>
      </c>
      <c r="U8" s="1557">
        <f t="shared" si="1"/>
        <v>0</v>
      </c>
      <c r="V8" s="1556" t="s">
        <v>13</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75"/>
      <c r="Q11" s="1143" t="str">
        <f t="shared" si="6"/>
        <v>容积率</v>
      </c>
      <c r="R11" s="1556" t="s">
        <v>11</v>
      </c>
      <c r="S11" s="1557" t="e">
        <f t="shared" si="0"/>
        <v>#N/A</v>
      </c>
      <c r="T11" s="1556" t="s">
        <v>11</v>
      </c>
      <c r="U11" s="1557" t="e">
        <f t="shared" si="1"/>
        <v>#N/A</v>
      </c>
      <c r="V11" s="1556" t="s">
        <v>11</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75"/>
      <c r="Q12" s="1143">
        <f t="shared" si="6"/>
        <v>111</v>
      </c>
      <c r="R12" s="1556" t="s">
        <v>11</v>
      </c>
      <c r="S12" s="1557">
        <f t="shared" si="0"/>
        <v>100</v>
      </c>
      <c r="T12" s="1556" t="s">
        <v>11</v>
      </c>
      <c r="U12" s="1557">
        <f t="shared" si="1"/>
        <v>100</v>
      </c>
      <c r="V12" s="1556" t="s">
        <v>11</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75"/>
      <c r="Q13" s="1143">
        <f t="shared" si="6"/>
        <v>111</v>
      </c>
      <c r="R13" s="1556" t="s">
        <v>11</v>
      </c>
      <c r="S13" s="1557">
        <f t="shared" si="0"/>
        <v>100</v>
      </c>
      <c r="T13" s="1556" t="s">
        <v>11</v>
      </c>
      <c r="U13" s="1557">
        <f t="shared" si="1"/>
        <v>100</v>
      </c>
      <c r="V13" s="1556" t="s">
        <v>11</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75"/>
      <c r="Q14" s="1143">
        <f t="shared" si="6"/>
        <v>111</v>
      </c>
      <c r="R14" s="1556" t="s">
        <v>11</v>
      </c>
      <c r="S14" s="1557">
        <f t="shared" si="0"/>
        <v>100</v>
      </c>
      <c r="T14" s="1556" t="s">
        <v>11</v>
      </c>
      <c r="U14" s="1557">
        <f t="shared" si="1"/>
        <v>100</v>
      </c>
      <c r="V14" s="1556" t="s">
        <v>11</v>
      </c>
      <c r="W14" s="1557">
        <f t="shared" si="2"/>
        <v>100</v>
      </c>
      <c r="X14" s="1558"/>
      <c r="Y14" s="3421"/>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510" t="s">
        <v>539</v>
      </c>
      <c r="Q15" s="1560" t="str">
        <f t="shared" si="6"/>
        <v>居住社区成熟度</v>
      </c>
      <c r="R15" s="1561" t="s">
        <v>11</v>
      </c>
      <c r="S15" s="1562">
        <f t="shared" si="0"/>
        <v>100</v>
      </c>
      <c r="T15" s="1561" t="s">
        <v>11</v>
      </c>
      <c r="U15" s="1562">
        <f t="shared" si="1"/>
        <v>100</v>
      </c>
      <c r="V15" s="1561" t="s">
        <v>11</v>
      </c>
      <c r="W15" s="1562">
        <f t="shared" si="2"/>
        <v>100</v>
      </c>
      <c r="X15" s="1555"/>
      <c r="Y15" s="351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511"/>
      <c r="Q17" s="1560" t="str">
        <f>B17</f>
        <v>交通便捷度</v>
      </c>
      <c r="R17" s="1561" t="s">
        <v>11</v>
      </c>
      <c r="S17" s="1562">
        <f>F17</f>
        <v>100</v>
      </c>
      <c r="T17" s="1561" t="s">
        <v>11</v>
      </c>
      <c r="U17" s="1562">
        <f>H17</f>
        <v>100</v>
      </c>
      <c r="V17" s="1561" t="s">
        <v>11</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511"/>
      <c r="Q19" s="1560" t="str">
        <f>B19</f>
        <v>公共配套设施</v>
      </c>
      <c r="R19" s="1561" t="s">
        <v>11</v>
      </c>
      <c r="S19" s="1562">
        <f>F19</f>
        <v>100</v>
      </c>
      <c r="T19" s="1561" t="s">
        <v>11</v>
      </c>
      <c r="U19" s="1562">
        <f>H19</f>
        <v>100</v>
      </c>
      <c r="V19" s="1561" t="s">
        <v>11</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511"/>
      <c r="Q21" s="2591" t="str">
        <f>B21</f>
        <v>基础设施水平</v>
      </c>
      <c r="R21" s="1561" t="s">
        <v>11</v>
      </c>
      <c r="S21" s="1562">
        <f>F21</f>
        <v>100</v>
      </c>
      <c r="T21" s="1561" t="s">
        <v>11</v>
      </c>
      <c r="U21" s="1562">
        <f>H21</f>
        <v>100</v>
      </c>
      <c r="V21" s="1561" t="s">
        <v>11</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511"/>
      <c r="Q23" s="1560" t="str">
        <f>B23</f>
        <v>自然及人文环境</v>
      </c>
      <c r="R23" s="1561" t="s">
        <v>11</v>
      </c>
      <c r="S23" s="1562">
        <f>F23</f>
        <v>100</v>
      </c>
      <c r="T23" s="1561" t="s">
        <v>11</v>
      </c>
      <c r="U23" s="1562">
        <f>H23</f>
        <v>100</v>
      </c>
      <c r="V23" s="1561" t="s">
        <v>11</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511"/>
      <c r="Q25" s="1560" t="str">
        <f t="shared" ref="Q25:Q46" si="11">B25</f>
        <v>楼层-1</v>
      </c>
      <c r="R25" s="1561" t="s">
        <v>11</v>
      </c>
      <c r="S25" s="1562">
        <f>F25</f>
        <v>100</v>
      </c>
      <c r="T25" s="1561" t="s">
        <v>11</v>
      </c>
      <c r="U25" s="1562">
        <f>H25</f>
        <v>100</v>
      </c>
      <c r="V25" s="1561" t="s">
        <v>11</v>
      </c>
      <c r="W25" s="1562">
        <f>J25</f>
        <v>100</v>
      </c>
      <c r="X25" s="1555"/>
      <c r="Y25" s="351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511"/>
      <c r="Q26" s="1560" t="str">
        <f t="shared" si="11"/>
        <v>朝向</v>
      </c>
      <c r="R26" s="1561" t="s">
        <v>11</v>
      </c>
      <c r="S26" s="1562">
        <f>F26</f>
        <v>100</v>
      </c>
      <c r="T26" s="1561" t="s">
        <v>11</v>
      </c>
      <c r="U26" s="1562">
        <f>H26</f>
        <v>100</v>
      </c>
      <c r="V26" s="1561" t="s">
        <v>11</v>
      </c>
      <c r="W26" s="1562">
        <f>J26</f>
        <v>100</v>
      </c>
      <c r="X26" s="1555"/>
      <c r="Y26" s="351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511"/>
      <c r="Q27" s="1143" t="str">
        <f t="shared" si="11"/>
        <v>道路级别</v>
      </c>
      <c r="R27" s="1556" t="s">
        <v>11</v>
      </c>
      <c r="S27" s="1557">
        <f>F27</f>
        <v>100</v>
      </c>
      <c r="T27" s="1556" t="s">
        <v>11</v>
      </c>
      <c r="U27" s="1557">
        <f>H27</f>
        <v>100</v>
      </c>
      <c r="V27" s="1556" t="s">
        <v>11</v>
      </c>
      <c r="W27" s="1557">
        <f>J27</f>
        <v>100</v>
      </c>
      <c r="X27" s="1558"/>
      <c r="Y27" s="351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511"/>
      <c r="Q28" s="1560">
        <f t="shared" si="11"/>
        <v>111</v>
      </c>
      <c r="R28" s="1561" t="s">
        <v>11</v>
      </c>
      <c r="S28" s="1562">
        <f t="shared" ref="S28:S46" si="12">F28</f>
        <v>100</v>
      </c>
      <c r="T28" s="1561" t="s">
        <v>11</v>
      </c>
      <c r="U28" s="1562">
        <f t="shared" ref="U28:U46" si="13">H28</f>
        <v>100</v>
      </c>
      <c r="V28" s="1561" t="s">
        <v>11</v>
      </c>
      <c r="W28" s="1562">
        <f t="shared" ref="W28:W46" si="14">J28</f>
        <v>100</v>
      </c>
      <c r="X28" s="1555"/>
      <c r="Y28" s="351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511"/>
      <c r="Q29" s="1560">
        <f t="shared" si="11"/>
        <v>111</v>
      </c>
      <c r="R29" s="1561" t="s">
        <v>11</v>
      </c>
      <c r="S29" s="1562">
        <f t="shared" si="12"/>
        <v>100</v>
      </c>
      <c r="T29" s="1561" t="s">
        <v>11</v>
      </c>
      <c r="U29" s="1562">
        <f t="shared" si="13"/>
        <v>100</v>
      </c>
      <c r="V29" s="1561" t="s">
        <v>11</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511"/>
      <c r="Q30" s="1560">
        <f t="shared" si="11"/>
        <v>111</v>
      </c>
      <c r="R30" s="1561" t="s">
        <v>11</v>
      </c>
      <c r="S30" s="1562">
        <f t="shared" si="12"/>
        <v>100</v>
      </c>
      <c r="T30" s="1561" t="s">
        <v>11</v>
      </c>
      <c r="U30" s="1562">
        <f t="shared" si="13"/>
        <v>100</v>
      </c>
      <c r="V30" s="1561" t="s">
        <v>11</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511"/>
      <c r="Q31" s="1560">
        <f t="shared" si="11"/>
        <v>111</v>
      </c>
      <c r="R31" s="1561" t="s">
        <v>11</v>
      </c>
      <c r="S31" s="1562">
        <f t="shared" si="12"/>
        <v>100</v>
      </c>
      <c r="T31" s="1561" t="s">
        <v>11</v>
      </c>
      <c r="U31" s="1562">
        <f t="shared" si="13"/>
        <v>100</v>
      </c>
      <c r="V31" s="1561" t="s">
        <v>11</v>
      </c>
      <c r="W31" s="1562">
        <f t="shared" si="14"/>
        <v>100</v>
      </c>
      <c r="X31" s="1555"/>
      <c r="Y31" s="351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512" t="s">
        <v>549</v>
      </c>
      <c r="Q32" s="1560" t="str">
        <f t="shared" si="11"/>
        <v>建筑类型</v>
      </c>
      <c r="R32" s="1561" t="s">
        <v>11</v>
      </c>
      <c r="S32" s="1562">
        <f t="shared" si="12"/>
        <v>100</v>
      </c>
      <c r="T32" s="1561" t="s">
        <v>11</v>
      </c>
      <c r="U32" s="1562">
        <f t="shared" si="13"/>
        <v>100</v>
      </c>
      <c r="V32" s="1561" t="s">
        <v>11</v>
      </c>
      <c r="W32" s="1562">
        <f t="shared" si="14"/>
        <v>100</v>
      </c>
      <c r="X32" s="1555"/>
      <c r="Y32" s="351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513"/>
      <c r="Q33" s="1593" t="str">
        <f t="shared" si="11"/>
        <v>项目建筑规模</v>
      </c>
      <c r="R33" s="1565" t="s">
        <v>11</v>
      </c>
      <c r="S33" s="1566" t="e">
        <f t="shared" si="12"/>
        <v>#N/A</v>
      </c>
      <c r="T33" s="1565" t="s">
        <v>11</v>
      </c>
      <c r="U33" s="1566" t="e">
        <f t="shared" si="13"/>
        <v>#N/A</v>
      </c>
      <c r="V33" s="1565" t="s">
        <v>11</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513"/>
      <c r="Q34" s="1560" t="str">
        <f t="shared" si="11"/>
        <v>建筑结构</v>
      </c>
      <c r="R34" s="1561" t="s">
        <v>11</v>
      </c>
      <c r="S34" s="1562">
        <f t="shared" si="12"/>
        <v>100</v>
      </c>
      <c r="T34" s="1561" t="s">
        <v>11</v>
      </c>
      <c r="U34" s="1562">
        <f t="shared" si="13"/>
        <v>100</v>
      </c>
      <c r="V34" s="1561" t="s">
        <v>11</v>
      </c>
      <c r="W34" s="1562">
        <f t="shared" si="14"/>
        <v>100</v>
      </c>
      <c r="X34" s="1555"/>
      <c r="Y34" s="351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513"/>
      <c r="Q35" s="1560" t="str">
        <f t="shared" si="11"/>
        <v>建筑品质</v>
      </c>
      <c r="R35" s="1561" t="s">
        <v>11</v>
      </c>
      <c r="S35" s="1562">
        <f t="shared" si="12"/>
        <v>100</v>
      </c>
      <c r="T35" s="1561" t="s">
        <v>11</v>
      </c>
      <c r="U35" s="1562">
        <f t="shared" si="13"/>
        <v>100</v>
      </c>
      <c r="V35" s="1561" t="s">
        <v>11</v>
      </c>
      <c r="W35" s="1562">
        <f t="shared" si="14"/>
        <v>100</v>
      </c>
      <c r="X35" s="1555"/>
      <c r="Y35" s="351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513"/>
      <c r="Q36" s="1560" t="str">
        <f t="shared" si="11"/>
        <v>公共部分装修</v>
      </c>
      <c r="R36" s="1561" t="s">
        <v>11</v>
      </c>
      <c r="S36" s="1562">
        <f t="shared" si="12"/>
        <v>100</v>
      </c>
      <c r="T36" s="1561" t="s">
        <v>11</v>
      </c>
      <c r="U36" s="1562">
        <f t="shared" si="13"/>
        <v>100</v>
      </c>
      <c r="V36" s="1561" t="s">
        <v>11</v>
      </c>
      <c r="W36" s="1562">
        <f t="shared" si="14"/>
        <v>100</v>
      </c>
      <c r="X36" s="1555"/>
      <c r="Y36" s="351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513"/>
      <c r="Q37" s="1143" t="str">
        <f t="shared" si="11"/>
        <v>成新度</v>
      </c>
      <c r="R37" s="1556" t="s">
        <v>11</v>
      </c>
      <c r="S37" s="1557" t="e">
        <f t="shared" si="12"/>
        <v>#N/A</v>
      </c>
      <c r="T37" s="1556" t="s">
        <v>11</v>
      </c>
      <c r="U37" s="1557" t="e">
        <f t="shared" si="13"/>
        <v>#N/A</v>
      </c>
      <c r="V37" s="1556" t="s">
        <v>11</v>
      </c>
      <c r="W37" s="1557" t="e">
        <f t="shared" si="14"/>
        <v>#N/A</v>
      </c>
      <c r="X37" s="1558"/>
      <c r="Y37" s="351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513" t="s">
        <v>549</v>
      </c>
      <c r="Q38" s="1560" t="str">
        <f t="shared" si="11"/>
        <v>物业管理</v>
      </c>
      <c r="R38" s="1561" t="s">
        <v>11</v>
      </c>
      <c r="S38" s="1562">
        <f t="shared" si="12"/>
        <v>100</v>
      </c>
      <c r="T38" s="1561" t="s">
        <v>11</v>
      </c>
      <c r="U38" s="1562">
        <f t="shared" si="13"/>
        <v>100</v>
      </c>
      <c r="V38" s="1561" t="s">
        <v>11</v>
      </c>
      <c r="W38" s="1562">
        <f t="shared" si="14"/>
        <v>100</v>
      </c>
      <c r="X38" s="1555"/>
      <c r="Y38" s="351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513"/>
      <c r="Q39" s="1560" t="str">
        <f t="shared" si="11"/>
        <v>市政基础设施</v>
      </c>
      <c r="R39" s="1561" t="s">
        <v>11</v>
      </c>
      <c r="S39" s="1562">
        <f t="shared" si="12"/>
        <v>100</v>
      </c>
      <c r="T39" s="1561" t="s">
        <v>11</v>
      </c>
      <c r="U39" s="1562">
        <f t="shared" si="13"/>
        <v>100</v>
      </c>
      <c r="V39" s="1561" t="s">
        <v>11</v>
      </c>
      <c r="W39" s="1562">
        <f t="shared" si="14"/>
        <v>100</v>
      </c>
      <c r="X39" s="1555"/>
      <c r="Y39" s="351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513"/>
      <c r="Q40" s="1560" t="str">
        <f t="shared" si="11"/>
        <v>房型</v>
      </c>
      <c r="R40" s="1561" t="s">
        <v>11</v>
      </c>
      <c r="S40" s="1562">
        <f t="shared" si="12"/>
        <v>100</v>
      </c>
      <c r="T40" s="1561" t="s">
        <v>11</v>
      </c>
      <c r="U40" s="1562">
        <f t="shared" si="13"/>
        <v>100</v>
      </c>
      <c r="V40" s="1561" t="s">
        <v>11</v>
      </c>
      <c r="W40" s="1562">
        <f t="shared" si="14"/>
        <v>100</v>
      </c>
      <c r="X40" s="1555"/>
      <c r="Y40" s="3513"/>
      <c r="Z40" s="1563" t="str">
        <f t="shared" si="15"/>
        <v>房型</v>
      </c>
      <c r="AA40" s="1564">
        <f t="shared" si="3"/>
        <v>1</v>
      </c>
      <c r="AB40" s="1564">
        <f t="shared" si="4"/>
        <v>1</v>
      </c>
      <c r="AC40" s="1564">
        <f t="shared" si="5"/>
        <v>1</v>
      </c>
    </row>
    <row r="41" spans="1:29" s="1331" customFormat="1" ht="28.5">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513"/>
      <c r="Q41" s="1593" t="str">
        <f t="shared" si="11"/>
        <v>单套/主力户型建筑面积</v>
      </c>
      <c r="R41" s="1565" t="s">
        <v>11</v>
      </c>
      <c r="S41" s="1566">
        <f t="shared" si="12"/>
        <v>100</v>
      </c>
      <c r="T41" s="1565" t="s">
        <v>11</v>
      </c>
      <c r="U41" s="1566">
        <f t="shared" si="13"/>
        <v>100</v>
      </c>
      <c r="V41" s="1565" t="s">
        <v>11</v>
      </c>
      <c r="W41" s="1566">
        <f t="shared" si="14"/>
        <v>100</v>
      </c>
      <c r="X41" s="1567"/>
      <c r="Y41" s="351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513"/>
      <c r="Q42" s="1560" t="str">
        <f t="shared" si="11"/>
        <v>内部装修</v>
      </c>
      <c r="R42" s="1561" t="s">
        <v>11</v>
      </c>
      <c r="S42" s="1562">
        <f t="shared" si="12"/>
        <v>100</v>
      </c>
      <c r="T42" s="1561" t="s">
        <v>11</v>
      </c>
      <c r="U42" s="1562">
        <f t="shared" si="13"/>
        <v>100</v>
      </c>
      <c r="V42" s="1561" t="s">
        <v>11</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513"/>
      <c r="Q43" s="1560" t="str">
        <f t="shared" si="11"/>
        <v>内部装修维护情况</v>
      </c>
      <c r="R43" s="1561" t="s">
        <v>11</v>
      </c>
      <c r="S43" s="1562">
        <f t="shared" si="12"/>
        <v>100</v>
      </c>
      <c r="T43" s="1561" t="s">
        <v>11</v>
      </c>
      <c r="U43" s="1562">
        <f t="shared" si="13"/>
        <v>100</v>
      </c>
      <c r="V43" s="1561" t="s">
        <v>11</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513"/>
      <c r="Q44" s="1143">
        <f t="shared" si="11"/>
        <v>111</v>
      </c>
      <c r="R44" s="1556" t="s">
        <v>11</v>
      </c>
      <c r="S44" s="1557">
        <f t="shared" si="12"/>
        <v>100</v>
      </c>
      <c r="T44" s="1556" t="s">
        <v>11</v>
      </c>
      <c r="U44" s="1557">
        <f t="shared" si="13"/>
        <v>100</v>
      </c>
      <c r="V44" s="1556" t="s">
        <v>11</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513"/>
      <c r="Q45" s="1560">
        <f t="shared" si="11"/>
        <v>111</v>
      </c>
      <c r="R45" s="1561" t="s">
        <v>11</v>
      </c>
      <c r="S45" s="1562">
        <f t="shared" si="12"/>
        <v>100</v>
      </c>
      <c r="T45" s="1561" t="s">
        <v>11</v>
      </c>
      <c r="U45" s="1562">
        <f t="shared" si="13"/>
        <v>100</v>
      </c>
      <c r="V45" s="1561" t="s">
        <v>11</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2"/>
      <c r="Q46" s="1560">
        <f t="shared" si="11"/>
        <v>111</v>
      </c>
      <c r="R46" s="1561" t="s">
        <v>10</v>
      </c>
      <c r="S46" s="1562">
        <f t="shared" si="12"/>
        <v>100</v>
      </c>
      <c r="T46" s="1561" t="s">
        <v>10</v>
      </c>
      <c r="U46" s="1562">
        <f t="shared" si="13"/>
        <v>100</v>
      </c>
      <c r="V46" s="1561" t="s">
        <v>10</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9</v>
      </c>
      <c r="D47" s="2640"/>
      <c r="E47" s="2641"/>
      <c r="F47" s="2642"/>
      <c r="G47" s="2643"/>
      <c r="H47" s="2644"/>
      <c r="I47" s="2641"/>
      <c r="J47" s="2644"/>
      <c r="K47" s="1594"/>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596"/>
      <c r="L49" s="2132"/>
      <c r="M49" s="2133"/>
      <c r="N49" s="2133"/>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5.75"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8.5"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6"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6"/>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76"/>
      <c r="AC6" s="3480"/>
    </row>
    <row r="7" spans="1:29" s="1212" customFormat="1" ht="15.7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510" t="s">
        <v>539</v>
      </c>
      <c r="Q15" s="1560" t="str">
        <f t="shared" si="6"/>
        <v>商业繁华度</v>
      </c>
      <c r="R15" s="1561" t="s">
        <v>8</v>
      </c>
      <c r="S15" s="1562">
        <f t="shared" si="0"/>
        <v>100</v>
      </c>
      <c r="T15" s="1561" t="s">
        <v>8</v>
      </c>
      <c r="U15" s="1562">
        <f t="shared" si="1"/>
        <v>100</v>
      </c>
      <c r="V15" s="1561" t="s">
        <v>8</v>
      </c>
      <c r="W15" s="1562">
        <f t="shared" si="2"/>
        <v>100</v>
      </c>
      <c r="X15" s="1555"/>
      <c r="Y15" s="351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511"/>
      <c r="Q23" s="1560" t="str">
        <f>B23</f>
        <v>自然及人文环境</v>
      </c>
      <c r="R23" s="1561" t="s">
        <v>8</v>
      </c>
      <c r="S23" s="1562">
        <f>F23</f>
        <v>100</v>
      </c>
      <c r="T23" s="1561" t="s">
        <v>8</v>
      </c>
      <c r="U23" s="1562">
        <f>H23</f>
        <v>100</v>
      </c>
      <c r="V23" s="1561" t="s">
        <v>8</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511"/>
      <c r="Q25" s="1560" t="str">
        <f t="shared" ref="Q25:Q46" si="11">B25</f>
        <v>临街状况</v>
      </c>
      <c r="R25" s="1561" t="s">
        <v>8</v>
      </c>
      <c r="S25" s="1562">
        <f>F25</f>
        <v>100</v>
      </c>
      <c r="T25" s="1561" t="s">
        <v>8</v>
      </c>
      <c r="U25" s="1562">
        <f>H25</f>
        <v>100</v>
      </c>
      <c r="V25" s="1561" t="s">
        <v>8</v>
      </c>
      <c r="W25" s="1562">
        <f>J25</f>
        <v>100</v>
      </c>
      <c r="X25" s="1555"/>
      <c r="Y25" s="351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511"/>
      <c r="Q26" s="1560" t="str">
        <f t="shared" si="11"/>
        <v>平面位置/可视性</v>
      </c>
      <c r="R26" s="1561" t="s">
        <v>8</v>
      </c>
      <c r="S26" s="1562">
        <f>F26</f>
        <v>100</v>
      </c>
      <c r="T26" s="1561" t="s">
        <v>8</v>
      </c>
      <c r="U26" s="1562">
        <f>H26</f>
        <v>100</v>
      </c>
      <c r="V26" s="1561" t="s">
        <v>8</v>
      </c>
      <c r="W26" s="1562">
        <f>J26</f>
        <v>100</v>
      </c>
      <c r="X26" s="1555"/>
      <c r="Y26" s="351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511"/>
      <c r="Q27" s="1143" t="str">
        <f t="shared" si="11"/>
        <v>人流量</v>
      </c>
      <c r="R27" s="1556" t="s">
        <v>8</v>
      </c>
      <c r="S27" s="1557">
        <f>F27</f>
        <v>100</v>
      </c>
      <c r="T27" s="1556" t="s">
        <v>8</v>
      </c>
      <c r="U27" s="1557">
        <f>H27</f>
        <v>100</v>
      </c>
      <c r="V27" s="1556" t="s">
        <v>8</v>
      </c>
      <c r="W27" s="1557">
        <f>J27</f>
        <v>100</v>
      </c>
      <c r="X27" s="1558"/>
      <c r="Y27" s="351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51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51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511"/>
      <c r="Q29" s="1560">
        <f t="shared" si="11"/>
        <v>111</v>
      </c>
      <c r="R29" s="1561" t="s">
        <v>8</v>
      </c>
      <c r="S29" s="1562">
        <f t="shared" si="12"/>
        <v>100</v>
      </c>
      <c r="T29" s="1561" t="s">
        <v>8</v>
      </c>
      <c r="U29" s="1562">
        <f t="shared" si="13"/>
        <v>100</v>
      </c>
      <c r="V29" s="1561" t="s">
        <v>8</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512" t="s">
        <v>549</v>
      </c>
      <c r="Q32" s="1560" t="str">
        <f t="shared" si="11"/>
        <v>商业类型</v>
      </c>
      <c r="R32" s="1561" t="s">
        <v>8</v>
      </c>
      <c r="S32" s="1562">
        <f t="shared" si="12"/>
        <v>100</v>
      </c>
      <c r="T32" s="1561" t="s">
        <v>8</v>
      </c>
      <c r="U32" s="1562">
        <f t="shared" si="13"/>
        <v>100</v>
      </c>
      <c r="V32" s="1561" t="s">
        <v>8</v>
      </c>
      <c r="W32" s="1562">
        <f t="shared" si="14"/>
        <v>100</v>
      </c>
      <c r="X32" s="1555"/>
      <c r="Y32" s="351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513"/>
      <c r="Q33" s="1593" t="str">
        <f t="shared" si="11"/>
        <v>项目建筑规模</v>
      </c>
      <c r="R33" s="1565" t="s">
        <v>8</v>
      </c>
      <c r="S33" s="1566" t="e">
        <f t="shared" si="12"/>
        <v>#N/A</v>
      </c>
      <c r="T33" s="1565" t="s">
        <v>8</v>
      </c>
      <c r="U33" s="1566" t="e">
        <f t="shared" si="13"/>
        <v>#N/A</v>
      </c>
      <c r="V33" s="1565" t="s">
        <v>8</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513"/>
      <c r="Q34" s="1560" t="str">
        <f t="shared" si="11"/>
        <v>建筑结构</v>
      </c>
      <c r="R34" s="1561" t="s">
        <v>8</v>
      </c>
      <c r="S34" s="1562">
        <f t="shared" si="12"/>
        <v>100</v>
      </c>
      <c r="T34" s="1561" t="s">
        <v>8</v>
      </c>
      <c r="U34" s="1562">
        <f t="shared" si="13"/>
        <v>100</v>
      </c>
      <c r="V34" s="1561" t="s">
        <v>8</v>
      </c>
      <c r="W34" s="1562">
        <f t="shared" si="14"/>
        <v>100</v>
      </c>
      <c r="X34" s="1555"/>
      <c r="Y34" s="351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513"/>
      <c r="Q35" s="1560" t="str">
        <f t="shared" si="11"/>
        <v>公共部分装修</v>
      </c>
      <c r="R35" s="1561" t="s">
        <v>8</v>
      </c>
      <c r="S35" s="1562">
        <f t="shared" si="12"/>
        <v>100</v>
      </c>
      <c r="T35" s="1561" t="s">
        <v>8</v>
      </c>
      <c r="U35" s="1562">
        <f t="shared" si="13"/>
        <v>100</v>
      </c>
      <c r="V35" s="1561" t="s">
        <v>8</v>
      </c>
      <c r="W35" s="1562">
        <f t="shared" si="14"/>
        <v>100</v>
      </c>
      <c r="X35" s="1555"/>
      <c r="Y35" s="351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513"/>
      <c r="Q36" s="1560" t="str">
        <f t="shared" si="11"/>
        <v>成新度</v>
      </c>
      <c r="R36" s="1561" t="s">
        <v>8</v>
      </c>
      <c r="S36" s="1562" t="e">
        <f t="shared" si="12"/>
        <v>#N/A</v>
      </c>
      <c r="T36" s="1561" t="s">
        <v>8</v>
      </c>
      <c r="U36" s="1562" t="e">
        <f t="shared" si="13"/>
        <v>#N/A</v>
      </c>
      <c r="V36" s="1561" t="s">
        <v>8</v>
      </c>
      <c r="W36" s="1562" t="e">
        <f t="shared" si="14"/>
        <v>#N/A</v>
      </c>
      <c r="X36" s="1555"/>
      <c r="Y36" s="351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513"/>
      <c r="Q37" s="1143" t="str">
        <f t="shared" si="11"/>
        <v>市政基础设施</v>
      </c>
      <c r="R37" s="1556" t="s">
        <v>8</v>
      </c>
      <c r="S37" s="1557">
        <f t="shared" si="12"/>
        <v>100</v>
      </c>
      <c r="T37" s="1556" t="s">
        <v>8</v>
      </c>
      <c r="U37" s="1557">
        <f t="shared" si="13"/>
        <v>100</v>
      </c>
      <c r="V37" s="1556" t="s">
        <v>8</v>
      </c>
      <c r="W37" s="1557">
        <f t="shared" si="14"/>
        <v>100</v>
      </c>
      <c r="X37" s="1558"/>
      <c r="Y37" s="351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513" t="s">
        <v>765</v>
      </c>
      <c r="Q38" s="1560" t="str">
        <f t="shared" si="11"/>
        <v>业态</v>
      </c>
      <c r="R38" s="1561" t="s">
        <v>8</v>
      </c>
      <c r="S38" s="1562">
        <f t="shared" si="12"/>
        <v>100</v>
      </c>
      <c r="T38" s="1561" t="s">
        <v>8</v>
      </c>
      <c r="U38" s="1562">
        <f t="shared" si="13"/>
        <v>100</v>
      </c>
      <c r="V38" s="1561" t="s">
        <v>8</v>
      </c>
      <c r="W38" s="1562">
        <f t="shared" si="14"/>
        <v>100</v>
      </c>
      <c r="X38" s="1555"/>
      <c r="Y38" s="351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c r="Q39" s="1560" t="str">
        <f t="shared" si="11"/>
        <v>层高</v>
      </c>
      <c r="R39" s="1561" t="s">
        <v>8</v>
      </c>
      <c r="S39" s="1562">
        <f t="shared" si="12"/>
        <v>100</v>
      </c>
      <c r="T39" s="1561" t="s">
        <v>8</v>
      </c>
      <c r="U39" s="1562">
        <f t="shared" si="13"/>
        <v>100</v>
      </c>
      <c r="V39" s="1561" t="s">
        <v>8</v>
      </c>
      <c r="W39" s="1562">
        <f t="shared" si="14"/>
        <v>100</v>
      </c>
      <c r="X39" s="1555"/>
      <c r="Y39" s="351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513"/>
      <c r="Q40" s="1560" t="str">
        <f t="shared" si="11"/>
        <v>单套建筑面积</v>
      </c>
      <c r="R40" s="1561" t="s">
        <v>8</v>
      </c>
      <c r="S40" s="1562">
        <f t="shared" si="12"/>
        <v>100</v>
      </c>
      <c r="T40" s="1561" t="s">
        <v>8</v>
      </c>
      <c r="U40" s="1562">
        <f t="shared" si="13"/>
        <v>100</v>
      </c>
      <c r="V40" s="1561" t="s">
        <v>8</v>
      </c>
      <c r="W40" s="1562">
        <f t="shared" si="14"/>
        <v>100</v>
      </c>
      <c r="X40" s="1555"/>
      <c r="Y40" s="351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513"/>
      <c r="Q41" s="1593" t="str">
        <f t="shared" si="11"/>
        <v>进深比</v>
      </c>
      <c r="R41" s="1565" t="s">
        <v>8</v>
      </c>
      <c r="S41" s="1566">
        <f t="shared" si="12"/>
        <v>100</v>
      </c>
      <c r="T41" s="1565" t="s">
        <v>8</v>
      </c>
      <c r="U41" s="1566">
        <f t="shared" si="13"/>
        <v>100</v>
      </c>
      <c r="V41" s="1565" t="s">
        <v>8</v>
      </c>
      <c r="W41" s="1566">
        <f t="shared" si="14"/>
        <v>100</v>
      </c>
      <c r="X41" s="1567"/>
      <c r="Y41" s="351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513"/>
      <c r="Q42" s="1560" t="str">
        <f t="shared" si="11"/>
        <v>内部装修</v>
      </c>
      <c r="R42" s="1561" t="s">
        <v>8</v>
      </c>
      <c r="S42" s="1562">
        <f t="shared" si="12"/>
        <v>100</v>
      </c>
      <c r="T42" s="1561" t="s">
        <v>8</v>
      </c>
      <c r="U42" s="1562">
        <f t="shared" si="13"/>
        <v>100</v>
      </c>
      <c r="V42" s="1561" t="s">
        <v>8</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513"/>
      <c r="Q43" s="1560" t="str">
        <f t="shared" si="11"/>
        <v>内部装修维护情况</v>
      </c>
      <c r="R43" s="1561" t="s">
        <v>8</v>
      </c>
      <c r="S43" s="1562">
        <f t="shared" si="12"/>
        <v>100</v>
      </c>
      <c r="T43" s="1561" t="s">
        <v>8</v>
      </c>
      <c r="U43" s="1562">
        <f t="shared" si="13"/>
        <v>100</v>
      </c>
      <c r="V43" s="1561" t="s">
        <v>8</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513"/>
      <c r="Q44" s="1143">
        <f t="shared" si="11"/>
        <v>111</v>
      </c>
      <c r="R44" s="1556" t="s">
        <v>8</v>
      </c>
      <c r="S44" s="1557">
        <f t="shared" si="12"/>
        <v>100</v>
      </c>
      <c r="T44" s="1556" t="s">
        <v>8</v>
      </c>
      <c r="U44" s="1557">
        <f t="shared" si="13"/>
        <v>100</v>
      </c>
      <c r="V44" s="1556" t="s">
        <v>8</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513"/>
      <c r="Q45" s="1560">
        <f t="shared" si="11"/>
        <v>111</v>
      </c>
      <c r="R45" s="1561" t="s">
        <v>8</v>
      </c>
      <c r="S45" s="1562">
        <f t="shared" si="12"/>
        <v>100</v>
      </c>
      <c r="T45" s="1561" t="s">
        <v>8</v>
      </c>
      <c r="U45" s="1562">
        <f t="shared" si="13"/>
        <v>100</v>
      </c>
      <c r="V45" s="1561" t="s">
        <v>8</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2"/>
      <c r="Q46" s="1560">
        <f t="shared" si="11"/>
        <v>111</v>
      </c>
      <c r="R46" s="1561" t="s">
        <v>8</v>
      </c>
      <c r="S46" s="1562">
        <f t="shared" si="12"/>
        <v>100</v>
      </c>
      <c r="T46" s="1561" t="s">
        <v>8</v>
      </c>
      <c r="U46" s="1562">
        <f t="shared" si="13"/>
        <v>100</v>
      </c>
      <c r="V46" s="1561" t="s">
        <v>8</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1</v>
      </c>
      <c r="D47" s="2640"/>
      <c r="E47" s="2641"/>
      <c r="F47" s="2642"/>
      <c r="G47" s="2643"/>
      <c r="H47" s="2644"/>
      <c r="I47" s="2641"/>
      <c r="J47" s="2644"/>
      <c r="K47" s="1599"/>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601"/>
      <c r="L49" s="2132"/>
      <c r="M49" s="2133"/>
      <c r="N49" s="2122"/>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9"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0" si="3">D8/F8</f>
        <v>#DIV/0!</v>
      </c>
      <c r="AB8" s="1559" t="e">
        <f t="shared" ref="AB8:AB40" si="4">D8/H8</f>
        <v>#DIV/0!</v>
      </c>
      <c r="AC8" s="1559" t="e">
        <f t="shared" ref="AC8:AC40" si="5">D8/J8</f>
        <v>#DIV/0!</v>
      </c>
    </row>
    <row r="9" spans="1:29" s="1212" customFormat="1" ht="15">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57">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510" t="s">
        <v>539</v>
      </c>
      <c r="Q15" s="1560" t="str">
        <f t="shared" si="6"/>
        <v>产业集聚程度</v>
      </c>
      <c r="R15" s="1561" t="s">
        <v>8</v>
      </c>
      <c r="S15" s="1562">
        <f t="shared" si="0"/>
        <v>100</v>
      </c>
      <c r="T15" s="1561" t="s">
        <v>8</v>
      </c>
      <c r="U15" s="1562">
        <f t="shared" si="1"/>
        <v>100</v>
      </c>
      <c r="V15" s="1561" t="s">
        <v>8</v>
      </c>
      <c r="W15" s="1562">
        <f t="shared" si="2"/>
        <v>100</v>
      </c>
      <c r="X15" s="1555"/>
      <c r="Y15" s="351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42.75">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28.5">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71.25">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511"/>
      <c r="Q23" s="1560" t="str">
        <f>B23</f>
        <v>环境质量</v>
      </c>
      <c r="R23" s="1561" t="s">
        <v>8</v>
      </c>
      <c r="S23" s="1562">
        <f>F23</f>
        <v>100</v>
      </c>
      <c r="T23" s="1561" t="s">
        <v>8</v>
      </c>
      <c r="U23" s="1562">
        <f>H23</f>
        <v>100</v>
      </c>
      <c r="V23" s="1561" t="s">
        <v>8</v>
      </c>
      <c r="W23" s="1562">
        <f>J23</f>
        <v>100</v>
      </c>
      <c r="X23" s="1555"/>
      <c r="Y23" s="351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511"/>
      <c r="Q25" s="1560">
        <f>B25</f>
        <v>111</v>
      </c>
      <c r="R25" s="1561" t="s">
        <v>8</v>
      </c>
      <c r="S25" s="1562">
        <f>F25</f>
        <v>100</v>
      </c>
      <c r="T25" s="1561" t="s">
        <v>8</v>
      </c>
      <c r="U25" s="1562">
        <f>H25</f>
        <v>100</v>
      </c>
      <c r="V25" s="1561" t="s">
        <v>8</v>
      </c>
      <c r="W25" s="1562">
        <f>J25</f>
        <v>100</v>
      </c>
      <c r="X25" s="1555"/>
      <c r="Y25" s="351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511"/>
      <c r="Q26" s="1560">
        <f t="shared" ref="Q26:Q40" si="11">B26</f>
        <v>111</v>
      </c>
      <c r="R26" s="1561" t="s">
        <v>8</v>
      </c>
      <c r="S26" s="1562">
        <f>F26</f>
        <v>100</v>
      </c>
      <c r="T26" s="1561" t="s">
        <v>8</v>
      </c>
      <c r="U26" s="1562">
        <f>H26</f>
        <v>100</v>
      </c>
      <c r="V26" s="1561" t="s">
        <v>8</v>
      </c>
      <c r="W26" s="1562">
        <f>J26</f>
        <v>100</v>
      </c>
      <c r="X26" s="1555"/>
      <c r="Y26" s="351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511"/>
      <c r="Q27" s="1143">
        <f t="shared" si="11"/>
        <v>111</v>
      </c>
      <c r="R27" s="1556" t="s">
        <v>8</v>
      </c>
      <c r="S27" s="1557">
        <f>F27</f>
        <v>100</v>
      </c>
      <c r="T27" s="1556" t="s">
        <v>8</v>
      </c>
      <c r="U27" s="1557">
        <f>H27</f>
        <v>100</v>
      </c>
      <c r="V27" s="1556" t="s">
        <v>8</v>
      </c>
      <c r="W27" s="1557">
        <f>J27</f>
        <v>100</v>
      </c>
      <c r="X27" s="1558"/>
      <c r="Y27" s="3511"/>
      <c r="Z27" s="1142">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511"/>
      <c r="Q28" s="1560">
        <f t="shared" si="11"/>
        <v>111</v>
      </c>
      <c r="R28" s="1561" t="s">
        <v>8</v>
      </c>
      <c r="S28" s="1562">
        <f t="shared" ref="S28:S40" si="12">F28</f>
        <v>100</v>
      </c>
      <c r="T28" s="1561" t="s">
        <v>8</v>
      </c>
      <c r="U28" s="1562">
        <f t="shared" ref="U28:U40" si="13">H28</f>
        <v>100</v>
      </c>
      <c r="V28" s="1561" t="s">
        <v>8</v>
      </c>
      <c r="W28" s="1562">
        <f t="shared" ref="W28:W40" si="14">J28</f>
        <v>100</v>
      </c>
      <c r="X28" s="1555"/>
      <c r="Y28" s="351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512" t="s">
        <v>549</v>
      </c>
      <c r="Q29" s="1560" t="str">
        <f t="shared" si="11"/>
        <v>建筑类型</v>
      </c>
      <c r="R29" s="1561" t="s">
        <v>8</v>
      </c>
      <c r="S29" s="1562">
        <f t="shared" si="12"/>
        <v>100</v>
      </c>
      <c r="T29" s="1561" t="s">
        <v>8</v>
      </c>
      <c r="U29" s="1562">
        <f t="shared" si="13"/>
        <v>100</v>
      </c>
      <c r="V29" s="1561" t="s">
        <v>8</v>
      </c>
      <c r="W29" s="1562">
        <f t="shared" si="14"/>
        <v>100</v>
      </c>
      <c r="X29" s="1555"/>
      <c r="Y29" s="351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513"/>
      <c r="Q30" s="1593" t="str">
        <f t="shared" si="11"/>
        <v>项目建筑规模</v>
      </c>
      <c r="R30" s="1565" t="s">
        <v>8</v>
      </c>
      <c r="S30" s="1566" t="e">
        <f t="shared" si="12"/>
        <v>#N/A</v>
      </c>
      <c r="T30" s="1565" t="s">
        <v>8</v>
      </c>
      <c r="U30" s="1566" t="e">
        <f t="shared" si="13"/>
        <v>#N/A</v>
      </c>
      <c r="V30" s="1565" t="s">
        <v>8</v>
      </c>
      <c r="W30" s="1566" t="e">
        <f t="shared" si="14"/>
        <v>#N/A</v>
      </c>
      <c r="X30" s="1567"/>
      <c r="Y30" s="351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513"/>
      <c r="Q31" s="1560" t="str">
        <f t="shared" si="11"/>
        <v>建筑结构</v>
      </c>
      <c r="R31" s="1561" t="s">
        <v>8</v>
      </c>
      <c r="S31" s="1562">
        <f t="shared" si="12"/>
        <v>100</v>
      </c>
      <c r="T31" s="1561" t="s">
        <v>8</v>
      </c>
      <c r="U31" s="1562">
        <f t="shared" si="13"/>
        <v>100</v>
      </c>
      <c r="V31" s="1561" t="s">
        <v>8</v>
      </c>
      <c r="W31" s="1562">
        <f t="shared" si="14"/>
        <v>100</v>
      </c>
      <c r="X31" s="1555"/>
      <c r="Y31" s="351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513"/>
      <c r="Q32" s="1560" t="str">
        <f t="shared" si="11"/>
        <v>公共部分装修</v>
      </c>
      <c r="R32" s="1561" t="s">
        <v>8</v>
      </c>
      <c r="S32" s="1562">
        <f t="shared" si="12"/>
        <v>100</v>
      </c>
      <c r="T32" s="1561" t="s">
        <v>8</v>
      </c>
      <c r="U32" s="1562">
        <f t="shared" si="13"/>
        <v>100</v>
      </c>
      <c r="V32" s="1561" t="s">
        <v>8</v>
      </c>
      <c r="W32" s="1562">
        <f t="shared" si="14"/>
        <v>100</v>
      </c>
      <c r="X32" s="1555"/>
      <c r="Y32" s="351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513"/>
      <c r="Q33" s="1560" t="str">
        <f t="shared" si="11"/>
        <v>成新度</v>
      </c>
      <c r="R33" s="1561" t="s">
        <v>8</v>
      </c>
      <c r="S33" s="1562" t="e">
        <f t="shared" si="12"/>
        <v>#N/A</v>
      </c>
      <c r="T33" s="1561" t="s">
        <v>8</v>
      </c>
      <c r="U33" s="1562" t="e">
        <f t="shared" si="13"/>
        <v>#N/A</v>
      </c>
      <c r="V33" s="1561" t="s">
        <v>8</v>
      </c>
      <c r="W33" s="1562" t="e">
        <f t="shared" si="14"/>
        <v>#N/A</v>
      </c>
      <c r="X33" s="1555"/>
      <c r="Y33" s="351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513"/>
      <c r="Q34" s="1143" t="str">
        <f t="shared" si="11"/>
        <v>物业管理</v>
      </c>
      <c r="R34" s="1556" t="s">
        <v>8</v>
      </c>
      <c r="S34" s="1557">
        <f t="shared" si="12"/>
        <v>100</v>
      </c>
      <c r="T34" s="1556" t="s">
        <v>8</v>
      </c>
      <c r="U34" s="1557">
        <f t="shared" si="13"/>
        <v>100</v>
      </c>
      <c r="V34" s="1556" t="s">
        <v>8</v>
      </c>
      <c r="W34" s="1557">
        <f t="shared" si="14"/>
        <v>100</v>
      </c>
      <c r="X34" s="1558"/>
      <c r="Y34" s="351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513" t="s">
        <v>549</v>
      </c>
      <c r="Q35" s="1560" t="str">
        <f t="shared" si="11"/>
        <v>市政基础设施</v>
      </c>
      <c r="R35" s="1561" t="s">
        <v>8</v>
      </c>
      <c r="S35" s="1562">
        <f t="shared" si="12"/>
        <v>100</v>
      </c>
      <c r="T35" s="1561" t="s">
        <v>8</v>
      </c>
      <c r="U35" s="1562">
        <f t="shared" si="13"/>
        <v>100</v>
      </c>
      <c r="V35" s="1561" t="s">
        <v>8</v>
      </c>
      <c r="W35" s="1562">
        <f t="shared" si="14"/>
        <v>100</v>
      </c>
      <c r="X35" s="1555"/>
      <c r="Y35" s="351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513"/>
      <c r="Q36" s="1560" t="str">
        <f t="shared" si="11"/>
        <v>内部装修</v>
      </c>
      <c r="R36" s="1561" t="s">
        <v>8</v>
      </c>
      <c r="S36" s="1562">
        <f t="shared" si="12"/>
        <v>100</v>
      </c>
      <c r="T36" s="1561" t="s">
        <v>8</v>
      </c>
      <c r="U36" s="1562">
        <f t="shared" si="13"/>
        <v>100</v>
      </c>
      <c r="V36" s="1561" t="s">
        <v>8</v>
      </c>
      <c r="W36" s="1562">
        <f t="shared" si="14"/>
        <v>100</v>
      </c>
      <c r="X36" s="1555"/>
      <c r="Y36" s="351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513"/>
      <c r="Q37" s="1560" t="str">
        <f t="shared" si="11"/>
        <v>内部装修状况</v>
      </c>
      <c r="R37" s="1561" t="s">
        <v>8</v>
      </c>
      <c r="S37" s="1562">
        <f t="shared" si="12"/>
        <v>100</v>
      </c>
      <c r="T37" s="1561" t="s">
        <v>8</v>
      </c>
      <c r="U37" s="1562">
        <f t="shared" si="13"/>
        <v>100</v>
      </c>
      <c r="V37" s="1561" t="s">
        <v>8</v>
      </c>
      <c r="W37" s="1562">
        <f t="shared" si="14"/>
        <v>100</v>
      </c>
      <c r="X37" s="1555"/>
      <c r="Y37" s="351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513"/>
      <c r="Q38" s="1593">
        <f t="shared" si="11"/>
        <v>111</v>
      </c>
      <c r="R38" s="1565" t="s">
        <v>8</v>
      </c>
      <c r="S38" s="1566">
        <f t="shared" si="12"/>
        <v>100</v>
      </c>
      <c r="T38" s="1565" t="s">
        <v>8</v>
      </c>
      <c r="U38" s="1566">
        <f t="shared" si="13"/>
        <v>100</v>
      </c>
      <c r="V38" s="1565" t="s">
        <v>8</v>
      </c>
      <c r="W38" s="1566">
        <f t="shared" si="14"/>
        <v>100</v>
      </c>
      <c r="X38" s="1567"/>
      <c r="Y38" s="351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513"/>
      <c r="Q39" s="1560">
        <f t="shared" si="11"/>
        <v>111</v>
      </c>
      <c r="R39" s="1561" t="s">
        <v>8</v>
      </c>
      <c r="S39" s="1562">
        <f t="shared" si="12"/>
        <v>100</v>
      </c>
      <c r="T39" s="1561" t="s">
        <v>8</v>
      </c>
      <c r="U39" s="1562">
        <f t="shared" si="13"/>
        <v>100</v>
      </c>
      <c r="V39" s="1561" t="s">
        <v>8</v>
      </c>
      <c r="W39" s="1562">
        <f t="shared" si="14"/>
        <v>100</v>
      </c>
      <c r="X39" s="1555"/>
      <c r="Y39" s="3513"/>
      <c r="Z39" s="1563">
        <f t="shared" si="15"/>
        <v>111</v>
      </c>
      <c r="AA39" s="1564">
        <f t="shared" si="3"/>
        <v>1</v>
      </c>
      <c r="AB39" s="1564">
        <f t="shared" si="4"/>
        <v>1</v>
      </c>
      <c r="AC39" s="1564">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2"/>
      <c r="Q40" s="1560">
        <f t="shared" si="11"/>
        <v>111</v>
      </c>
      <c r="R40" s="1561" t="s">
        <v>8</v>
      </c>
      <c r="S40" s="1562">
        <f t="shared" si="12"/>
        <v>100</v>
      </c>
      <c r="T40" s="1561" t="s">
        <v>8</v>
      </c>
      <c r="U40" s="1562">
        <f t="shared" si="13"/>
        <v>100</v>
      </c>
      <c r="V40" s="1561" t="s">
        <v>8</v>
      </c>
      <c r="W40" s="1562">
        <f t="shared" si="14"/>
        <v>100</v>
      </c>
      <c r="X40" s="1555"/>
      <c r="Y40" s="3572"/>
      <c r="Z40" s="1563">
        <f t="shared" si="15"/>
        <v>111</v>
      </c>
      <c r="AA40" s="1564">
        <f t="shared" si="3"/>
        <v>1</v>
      </c>
      <c r="AB40" s="1564">
        <f t="shared" si="4"/>
        <v>1</v>
      </c>
      <c r="AC40" s="1564">
        <f t="shared" si="5"/>
        <v>1</v>
      </c>
    </row>
    <row r="41" spans="1:29" ht="15">
      <c r="A41" s="600" t="s">
        <v>735</v>
      </c>
      <c r="B41" s="880"/>
      <c r="C41" s="2639" t="s">
        <v>1</v>
      </c>
      <c r="D41" s="2640"/>
      <c r="E41" s="2641"/>
      <c r="F41" s="2642"/>
      <c r="G41" s="2643"/>
      <c r="H41" s="2644"/>
      <c r="I41" s="2641"/>
      <c r="J41" s="2644"/>
      <c r="K41" s="1599"/>
      <c r="L41" s="2132"/>
      <c r="M41" s="2133"/>
      <c r="N41" s="2122"/>
      <c r="O41" s="2133"/>
      <c r="P41" s="3475" t="str">
        <f>A41</f>
        <v>成交单价（元/平方米）</v>
      </c>
      <c r="Q41" s="3475"/>
      <c r="R41" s="3569">
        <f>E41</f>
        <v>0</v>
      </c>
      <c r="S41" s="3569"/>
      <c r="T41" s="3569">
        <f>G41</f>
        <v>0</v>
      </c>
      <c r="U41" s="3569"/>
      <c r="V41" s="3569">
        <f>I41</f>
        <v>0</v>
      </c>
      <c r="W41" s="3569"/>
      <c r="X41" s="1547"/>
      <c r="Y41" s="1569"/>
      <c r="Z41" s="1547"/>
      <c r="AA41" s="1547"/>
      <c r="AB41" s="1547"/>
      <c r="AC41" s="1547"/>
    </row>
    <row r="42" spans="1:29" ht="15.7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75" t="str">
        <f>A42</f>
        <v>比较价格（元/平方米）</v>
      </c>
      <c r="Q42" s="3475"/>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7"/>
      <c r="Y42" s="1547"/>
      <c r="Z42" s="1547"/>
      <c r="AA42" s="1547"/>
      <c r="AB42" s="1547"/>
      <c r="AC42" s="1547"/>
    </row>
    <row r="43" spans="1:29" ht="15.75" thickBot="1">
      <c r="A43" s="614" t="s">
        <v>2931</v>
      </c>
      <c r="B43" s="615"/>
      <c r="C43" s="2648" t="e">
        <f>R43</f>
        <v>#DIV/0!</v>
      </c>
      <c r="D43" s="2648"/>
      <c r="E43" s="2648"/>
      <c r="F43" s="2648"/>
      <c r="G43" s="2648"/>
      <c r="H43" s="2648"/>
      <c r="I43" s="2648"/>
      <c r="J43" s="2648"/>
      <c r="K43" s="1601"/>
      <c r="L43" s="2132"/>
      <c r="M43" s="2133"/>
      <c r="N43" s="2133"/>
      <c r="O43" s="2133"/>
      <c r="P43" s="3472" t="str">
        <f>A43</f>
        <v>估价对象XX用房的比较价格（楼面单价，元/平方米）</v>
      </c>
      <c r="Q43" s="3473"/>
      <c r="R43" s="3571" t="e">
        <f>IF(F1="售价",ROUND(AVERAGE(R42:V42),0),ROUND(AVERAGE(R42:V42),1))</f>
        <v>#DIV/0!</v>
      </c>
      <c r="S43" s="3571"/>
      <c r="T43" s="3571"/>
      <c r="U43" s="3571"/>
      <c r="V43" s="3571"/>
      <c r="W43" s="357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5">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ht="15">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7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5">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5.75"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7.75"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7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5.75"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5.75"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5.75"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5.75"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5.75"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5.75"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7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7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5.75"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5.75"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5.75"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5.75"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5.75"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5.75"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5.75"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15"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5"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5.75"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5"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4.25"/>
  <cols>
    <col min="1" max="1" width="10.5" style="1329" customWidth="1"/>
    <col min="2" max="2" width="15.625" style="1329" customWidth="1"/>
    <col min="3" max="3" width="17" style="1329" customWidth="1"/>
    <col min="4" max="4" width="12.125" style="1329" customWidth="1"/>
    <col min="5" max="5" width="16.5" style="1329" customWidth="1"/>
    <col min="6" max="6" width="12.125" style="1329" customWidth="1"/>
    <col min="7" max="7" width="18.5" style="1329" customWidth="1"/>
    <col min="8" max="8" width="12.125" style="1329" customWidth="1"/>
    <col min="9" max="9" width="16.37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481" t="s">
        <v>798</v>
      </c>
      <c r="F4" s="3482"/>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607" t="str">
        <f>'比较法-住宅、综合'!C7:D7</f>
        <v>石景山区五里坨建设组团一1601-029地块等R2二类居住用地</v>
      </c>
      <c r="D5" s="3515"/>
      <c r="E5" s="3606" t="s">
        <v>3377</v>
      </c>
      <c r="F5" s="3515"/>
      <c r="G5" s="3606" t="s">
        <v>3378</v>
      </c>
      <c r="H5" s="3515"/>
      <c r="I5" s="3606" t="s">
        <v>3379</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tr">
        <f>'比较法-住宅、综合'!C8:D8</f>
        <v>石景山</v>
      </c>
      <c r="D6" s="3517"/>
      <c r="E6" s="3608" t="s">
        <v>3130</v>
      </c>
      <c r="F6" s="3609"/>
      <c r="G6" s="3605" t="s">
        <v>3130</v>
      </c>
      <c r="H6" s="3517"/>
      <c r="I6" s="3605" t="s">
        <v>3380</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507" t="s">
        <v>529</v>
      </c>
      <c r="Q7" s="3509"/>
      <c r="R7" s="1556" t="s">
        <v>8</v>
      </c>
      <c r="S7" s="1557">
        <f t="shared" ref="S7:S14" si="0">F7</f>
        <v>98.5</v>
      </c>
      <c r="T7" s="1556" t="s">
        <v>8</v>
      </c>
      <c r="U7" s="1557">
        <f t="shared" ref="U7:U14" si="1">H7</f>
        <v>100</v>
      </c>
      <c r="V7" s="1556" t="s">
        <v>8</v>
      </c>
      <c r="W7" s="1557">
        <f t="shared" ref="W7:W14" si="2">J7</f>
        <v>99</v>
      </c>
      <c r="X7" s="1558"/>
      <c r="Y7" s="3507" t="s">
        <v>529</v>
      </c>
      <c r="Z7" s="3508"/>
      <c r="AA7" s="1559">
        <f>D7/F7</f>
        <v>1.015228426395939</v>
      </c>
      <c r="AB7" s="1559">
        <f>D7/H7</f>
        <v>1</v>
      </c>
      <c r="AC7" s="1559">
        <f>D7/J7</f>
        <v>1.0101010101010102</v>
      </c>
    </row>
    <row r="8" spans="1:29" s="1212" customFormat="1" ht="15.7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507" t="s">
        <v>532</v>
      </c>
      <c r="Q8" s="3508"/>
      <c r="R8" s="1556" t="s">
        <v>8</v>
      </c>
      <c r="S8" s="1557">
        <f t="shared" si="0"/>
        <v>100</v>
      </c>
      <c r="T8" s="1556" t="s">
        <v>8</v>
      </c>
      <c r="U8" s="1557">
        <f t="shared" si="1"/>
        <v>100</v>
      </c>
      <c r="V8" s="1556" t="s">
        <v>8</v>
      </c>
      <c r="W8" s="1557">
        <f t="shared" si="2"/>
        <v>100</v>
      </c>
      <c r="X8" s="1558"/>
      <c r="Y8" s="3507" t="s">
        <v>532</v>
      </c>
      <c r="Z8" s="3508"/>
      <c r="AA8" s="1559">
        <f t="shared" ref="AA8:AA36" si="3">D8/F8</f>
        <v>1</v>
      </c>
      <c r="AB8" s="1559">
        <f t="shared" ref="AB8:AB36" si="4">D8/H8</f>
        <v>1</v>
      </c>
      <c r="AC8" s="1559">
        <f t="shared" ref="AC8:AC36" si="5">D8/J8</f>
        <v>1</v>
      </c>
    </row>
    <row r="9" spans="1:29" s="1212" customFormat="1" ht="15">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510" t="s">
        <v>539</v>
      </c>
      <c r="Q14" s="1560" t="str">
        <f t="shared" si="6"/>
        <v>交通便捷度</v>
      </c>
      <c r="R14" s="1561" t="s">
        <v>8</v>
      </c>
      <c r="S14" s="1562">
        <f t="shared" si="0"/>
        <v>101</v>
      </c>
      <c r="T14" s="1561" t="s">
        <v>8</v>
      </c>
      <c r="U14" s="1562">
        <f t="shared" si="1"/>
        <v>101</v>
      </c>
      <c r="V14" s="1561" t="s">
        <v>8</v>
      </c>
      <c r="W14" s="1562">
        <f t="shared" si="2"/>
        <v>101</v>
      </c>
      <c r="X14" s="1555"/>
      <c r="Y14" s="351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511"/>
      <c r="Q16" s="1560" t="str">
        <f>B16</f>
        <v>公共配套设施</v>
      </c>
      <c r="R16" s="1561" t="s">
        <v>8</v>
      </c>
      <c r="S16" s="1562">
        <f>F16</f>
        <v>101</v>
      </c>
      <c r="T16" s="1561" t="s">
        <v>8</v>
      </c>
      <c r="U16" s="1562">
        <f>H16</f>
        <v>101</v>
      </c>
      <c r="V16" s="1561" t="s">
        <v>8</v>
      </c>
      <c r="W16" s="1562">
        <f>J16</f>
        <v>101</v>
      </c>
      <c r="X16" s="1555"/>
      <c r="Y16" s="351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511"/>
      <c r="Q24" s="1560">
        <f t="shared" ref="Q24:Q36"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51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51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513"/>
      <c r="Q27" s="1593" t="str">
        <f t="shared" si="11"/>
        <v>项目停车位配比</v>
      </c>
      <c r="R27" s="1565" t="s">
        <v>8</v>
      </c>
      <c r="S27" s="1566">
        <f t="shared" si="12"/>
        <v>100</v>
      </c>
      <c r="T27" s="1565" t="s">
        <v>8</v>
      </c>
      <c r="U27" s="1566">
        <f t="shared" si="13"/>
        <v>100</v>
      </c>
      <c r="V27" s="1565" t="s">
        <v>8</v>
      </c>
      <c r="W27" s="1566">
        <f t="shared" si="14"/>
        <v>100</v>
      </c>
      <c r="X27" s="1567"/>
      <c r="Y27" s="351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513"/>
      <c r="Q28" s="1560" t="str">
        <f t="shared" si="11"/>
        <v>公共部分装修</v>
      </c>
      <c r="R28" s="1561" t="s">
        <v>8</v>
      </c>
      <c r="S28" s="1562">
        <f t="shared" si="12"/>
        <v>100</v>
      </c>
      <c r="T28" s="1561" t="s">
        <v>8</v>
      </c>
      <c r="U28" s="1562">
        <f t="shared" si="13"/>
        <v>100</v>
      </c>
      <c r="V28" s="1561" t="s">
        <v>8</v>
      </c>
      <c r="W28" s="1562">
        <f t="shared" si="14"/>
        <v>100</v>
      </c>
      <c r="X28" s="1555"/>
      <c r="Y28" s="351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513"/>
      <c r="Q29" s="1560" t="str">
        <f t="shared" si="11"/>
        <v>成新率</v>
      </c>
      <c r="R29" s="1561" t="s">
        <v>8</v>
      </c>
      <c r="S29" s="1562">
        <f t="shared" si="12"/>
        <v>100</v>
      </c>
      <c r="T29" s="1561" t="s">
        <v>8</v>
      </c>
      <c r="U29" s="1562">
        <f t="shared" si="13"/>
        <v>100</v>
      </c>
      <c r="V29" s="1561" t="s">
        <v>8</v>
      </c>
      <c r="W29" s="1562">
        <f t="shared" si="14"/>
        <v>100</v>
      </c>
      <c r="X29" s="1555"/>
      <c r="Y29" s="351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513"/>
      <c r="Q30" s="1560" t="str">
        <f t="shared" si="11"/>
        <v>物业等级</v>
      </c>
      <c r="R30" s="1561" t="s">
        <v>8</v>
      </c>
      <c r="S30" s="1562">
        <f t="shared" si="12"/>
        <v>100</v>
      </c>
      <c r="T30" s="1561" t="s">
        <v>8</v>
      </c>
      <c r="U30" s="1562">
        <f t="shared" si="13"/>
        <v>100</v>
      </c>
      <c r="V30" s="1561" t="s">
        <v>8</v>
      </c>
      <c r="W30" s="1562">
        <f t="shared" si="14"/>
        <v>100</v>
      </c>
      <c r="X30" s="1555"/>
      <c r="Y30" s="351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513"/>
      <c r="Q31" s="1143" t="str">
        <f t="shared" si="11"/>
        <v>停车位面积</v>
      </c>
      <c r="R31" s="1556" t="s">
        <v>8</v>
      </c>
      <c r="S31" s="1557">
        <f t="shared" si="12"/>
        <v>100</v>
      </c>
      <c r="T31" s="1556" t="s">
        <v>8</v>
      </c>
      <c r="U31" s="1557">
        <f t="shared" si="13"/>
        <v>100</v>
      </c>
      <c r="V31" s="1556" t="s">
        <v>8</v>
      </c>
      <c r="W31" s="1557">
        <f t="shared" si="14"/>
        <v>100</v>
      </c>
      <c r="X31" s="1558"/>
      <c r="Y31" s="351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513" t="s">
        <v>549</v>
      </c>
      <c r="Q32" s="1560" t="str">
        <f t="shared" si="11"/>
        <v>车位类型</v>
      </c>
      <c r="R32" s="1561" t="s">
        <v>8</v>
      </c>
      <c r="S32" s="1562">
        <f t="shared" si="12"/>
        <v>100</v>
      </c>
      <c r="T32" s="1561" t="s">
        <v>8</v>
      </c>
      <c r="U32" s="1562">
        <f t="shared" si="13"/>
        <v>100</v>
      </c>
      <c r="V32" s="1561" t="s">
        <v>8</v>
      </c>
      <c r="W32" s="1562">
        <f t="shared" si="14"/>
        <v>100</v>
      </c>
      <c r="X32" s="1555"/>
      <c r="Y32" s="351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513"/>
      <c r="Q33" s="1560" t="str">
        <f t="shared" si="11"/>
        <v>是否直接入户</v>
      </c>
      <c r="R33" s="1561" t="s">
        <v>8</v>
      </c>
      <c r="S33" s="1562">
        <f t="shared" si="12"/>
        <v>100</v>
      </c>
      <c r="T33" s="1561" t="s">
        <v>8</v>
      </c>
      <c r="U33" s="1562">
        <f t="shared" si="13"/>
        <v>100</v>
      </c>
      <c r="V33" s="1561" t="s">
        <v>8</v>
      </c>
      <c r="W33" s="1562">
        <f t="shared" si="14"/>
        <v>100</v>
      </c>
      <c r="X33" s="1555"/>
      <c r="Y33" s="351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513"/>
      <c r="Q35" s="1593">
        <f t="shared" si="11"/>
        <v>111</v>
      </c>
      <c r="R35" s="1565" t="s">
        <v>8</v>
      </c>
      <c r="S35" s="1566">
        <f t="shared" si="12"/>
        <v>100</v>
      </c>
      <c r="T35" s="1565" t="s">
        <v>8</v>
      </c>
      <c r="U35" s="1566">
        <f t="shared" si="13"/>
        <v>100</v>
      </c>
      <c r="V35" s="1565" t="s">
        <v>8</v>
      </c>
      <c r="W35" s="1566">
        <f t="shared" si="14"/>
        <v>100</v>
      </c>
      <c r="X35" s="1567"/>
      <c r="Y35" s="3513"/>
      <c r="Z35" s="1568">
        <f t="shared" si="15"/>
        <v>111</v>
      </c>
      <c r="AA35" s="1564">
        <f t="shared" si="3"/>
        <v>1</v>
      </c>
      <c r="AB35" s="1564">
        <f t="shared" si="4"/>
        <v>1</v>
      </c>
      <c r="AC35" s="1564">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513"/>
      <c r="Q36" s="1560">
        <f t="shared" si="11"/>
        <v>111</v>
      </c>
      <c r="R36" s="1561" t="s">
        <v>8</v>
      </c>
      <c r="S36" s="1562">
        <f t="shared" si="12"/>
        <v>100</v>
      </c>
      <c r="T36" s="1561" t="s">
        <v>8</v>
      </c>
      <c r="U36" s="1562">
        <f t="shared" si="13"/>
        <v>100</v>
      </c>
      <c r="V36" s="1561" t="s">
        <v>8</v>
      </c>
      <c r="W36" s="1562">
        <f t="shared" si="14"/>
        <v>100</v>
      </c>
      <c r="X36" s="1555"/>
      <c r="Y36" s="3513"/>
      <c r="Z36" s="1563">
        <f t="shared" si="15"/>
        <v>111</v>
      </c>
      <c r="AA36" s="1564">
        <f t="shared" si="3"/>
        <v>1</v>
      </c>
      <c r="AB36" s="1564">
        <f t="shared" si="4"/>
        <v>1</v>
      </c>
      <c r="AC36" s="1564">
        <f t="shared" si="5"/>
        <v>1</v>
      </c>
    </row>
    <row r="37" spans="1:29" ht="15">
      <c r="A37" s="1834" t="s">
        <v>2078</v>
      </c>
      <c r="B37" s="1835" t="s">
        <v>2079</v>
      </c>
      <c r="C37" s="2639" t="s">
        <v>1</v>
      </c>
      <c r="D37" s="2640"/>
      <c r="E37" s="2641">
        <v>5796</v>
      </c>
      <c r="F37" s="2642"/>
      <c r="G37" s="2643">
        <v>5371</v>
      </c>
      <c r="H37" s="2644"/>
      <c r="I37" s="2641">
        <v>5143</v>
      </c>
      <c r="J37" s="2644"/>
      <c r="K37" s="1599"/>
      <c r="L37" s="2132"/>
      <c r="M37" s="2133"/>
      <c r="N37" s="2122"/>
      <c r="O37" s="2133"/>
      <c r="P37" s="3475" t="str">
        <f>A37</f>
        <v>成交单价</v>
      </c>
      <c r="Q37" s="3475"/>
      <c r="R37" s="3569">
        <f>E37</f>
        <v>5796</v>
      </c>
      <c r="S37" s="3569"/>
      <c r="T37" s="3569">
        <f>G37</f>
        <v>5371</v>
      </c>
      <c r="U37" s="3569"/>
      <c r="V37" s="3569">
        <f>I37</f>
        <v>5143</v>
      </c>
      <c r="W37" s="3569"/>
      <c r="X37" s="1547"/>
      <c r="Y37" s="1569"/>
      <c r="Z37" s="1547"/>
      <c r="AA37" s="1547"/>
      <c r="AB37" s="1547"/>
      <c r="AC37" s="1547"/>
    </row>
    <row r="38" spans="1:29" ht="15.7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75" t="str">
        <f>A38</f>
        <v>比较价格（元/平方米）</v>
      </c>
      <c r="Q38" s="3475"/>
      <c r="R38" s="3569">
        <f>IF(F1="售价",ROUND(PRODUCT(R37,AA7:AA36),0),ROUND(PRODUCT(R37,AA7:AA36),1))</f>
        <v>5655</v>
      </c>
      <c r="S38" s="3569"/>
      <c r="T38" s="3569">
        <f>IF(F1="售价",ROUND(PRODUCT(T37,AB7:AB36),0),ROUND(PRODUCT(T37,AB7:AB36),1))</f>
        <v>5162</v>
      </c>
      <c r="U38" s="3569"/>
      <c r="V38" s="3569">
        <f>IF(F1="售价",ROUND(PRODUCT(V37,AC7:AC36),0),ROUND(PRODUCT(V37,AC7:AC36),1))</f>
        <v>5093</v>
      </c>
      <c r="W38" s="3569"/>
      <c r="X38" s="1547"/>
      <c r="Y38" s="1547"/>
      <c r="Z38" s="1547"/>
      <c r="AA38" s="1547"/>
      <c r="AB38" s="1547"/>
      <c r="AC38" s="1547"/>
    </row>
    <row r="39" spans="1:29" ht="15.75" thickBot="1">
      <c r="A39" s="614" t="s">
        <v>2931</v>
      </c>
      <c r="B39" s="615"/>
      <c r="C39" s="2648">
        <f>R39</f>
        <v>5303</v>
      </c>
      <c r="D39" s="2648"/>
      <c r="E39" s="2648"/>
      <c r="F39" s="2648"/>
      <c r="G39" s="2648"/>
      <c r="H39" s="2648"/>
      <c r="I39" s="2648"/>
      <c r="J39" s="2648"/>
      <c r="K39" s="1601"/>
      <c r="L39" s="2132"/>
      <c r="M39" s="2133"/>
      <c r="N39" s="2133"/>
      <c r="O39" s="2133"/>
      <c r="P39" s="3472" t="str">
        <f>A39</f>
        <v>估价对象XX用房的比较价格（楼面单价，元/平方米）</v>
      </c>
      <c r="Q39" s="3473"/>
      <c r="R39" s="3571">
        <f>IF(F1="售价",ROUND(AVERAGE(R38:V38),0),ROUND(AVERAGE(R38:V38),1))</f>
        <v>5303</v>
      </c>
      <c r="S39" s="3571"/>
      <c r="T39" s="3571"/>
      <c r="U39" s="3571"/>
      <c r="V39" s="3571"/>
      <c r="W39" s="357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5">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ht="15">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7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5">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5.75"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5.75"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7.75"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5.75"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5.75"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5.75"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5.75"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5.75"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5.75"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5.75"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5.75"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7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5.75"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5.75"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5.75"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5.75"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5.75"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7.75"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7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5.75"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5.75"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5.75"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5"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5.75"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5"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5.75"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5"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520" t="s">
        <v>798</v>
      </c>
      <c r="F4" s="3521"/>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507" t="s">
        <v>529</v>
      </c>
      <c r="Q7" s="3509"/>
      <c r="R7" s="1556" t="s">
        <v>8</v>
      </c>
      <c r="S7" s="1557">
        <f t="shared" ref="S7:S14" si="0">F7</f>
        <v>0</v>
      </c>
      <c r="T7" s="1556" t="s">
        <v>8</v>
      </c>
      <c r="U7" s="1557">
        <f t="shared" ref="U7:U14" si="1">H7</f>
        <v>0</v>
      </c>
      <c r="V7" s="1556" t="s">
        <v>8</v>
      </c>
      <c r="W7" s="1557">
        <f t="shared" ref="W7:W14"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34" si="3">D8/F8</f>
        <v>#DIV/0!</v>
      </c>
      <c r="AB8" s="1559" t="e">
        <f t="shared" ref="AB8:AB34" si="4">D8/H8</f>
        <v>#DIV/0!</v>
      </c>
      <c r="AC8" s="1559" t="e">
        <f t="shared" ref="AC8:AC34" si="5">D8/J8</f>
        <v>#DIV/0!</v>
      </c>
    </row>
    <row r="9" spans="1:29" s="1212" customFormat="1" ht="15">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510" t="s">
        <v>539</v>
      </c>
      <c r="Q14" s="1560" t="str">
        <f t="shared" si="6"/>
        <v>交通便捷度</v>
      </c>
      <c r="R14" s="1561" t="s">
        <v>8</v>
      </c>
      <c r="S14" s="1562">
        <f t="shared" si="0"/>
        <v>100</v>
      </c>
      <c r="T14" s="1561" t="s">
        <v>8</v>
      </c>
      <c r="U14" s="1562">
        <f t="shared" si="1"/>
        <v>100</v>
      </c>
      <c r="V14" s="1561" t="s">
        <v>8</v>
      </c>
      <c r="W14" s="1562">
        <f t="shared" si="2"/>
        <v>100</v>
      </c>
      <c r="X14" s="1555"/>
      <c r="Y14" s="351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511"/>
      <c r="Q16" s="1560" t="str">
        <f>B16</f>
        <v>公共配套设施</v>
      </c>
      <c r="R16" s="1561" t="s">
        <v>8</v>
      </c>
      <c r="S16" s="1562">
        <f>F16</f>
        <v>100</v>
      </c>
      <c r="T16" s="1561" t="s">
        <v>8</v>
      </c>
      <c r="U16" s="1562">
        <f>H16</f>
        <v>100</v>
      </c>
      <c r="V16" s="1561" t="s">
        <v>8</v>
      </c>
      <c r="W16" s="1562">
        <f>J16</f>
        <v>100</v>
      </c>
      <c r="X16" s="1555"/>
      <c r="Y16" s="351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511"/>
      <c r="Q24" s="1560">
        <f t="shared" ref="Q24:Q34"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51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51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513"/>
      <c r="Q27" s="1593" t="str">
        <f t="shared" si="11"/>
        <v>成新率</v>
      </c>
      <c r="R27" s="1565" t="s">
        <v>8</v>
      </c>
      <c r="S27" s="1566" t="e">
        <f t="shared" si="12"/>
        <v>#N/A</v>
      </c>
      <c r="T27" s="1565" t="s">
        <v>8</v>
      </c>
      <c r="U27" s="1566" t="e">
        <f t="shared" si="13"/>
        <v>#N/A</v>
      </c>
      <c r="V27" s="1565" t="s">
        <v>8</v>
      </c>
      <c r="W27" s="1566" t="e">
        <f t="shared" si="14"/>
        <v>#N/A</v>
      </c>
      <c r="X27" s="1567"/>
      <c r="Y27" s="351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513"/>
      <c r="Q28" s="1560" t="str">
        <f t="shared" si="11"/>
        <v>物业等级</v>
      </c>
      <c r="R28" s="1561" t="s">
        <v>8</v>
      </c>
      <c r="S28" s="1562">
        <f t="shared" si="12"/>
        <v>100</v>
      </c>
      <c r="T28" s="1561" t="s">
        <v>8</v>
      </c>
      <c r="U28" s="1562">
        <f t="shared" si="13"/>
        <v>100</v>
      </c>
      <c r="V28" s="1561" t="s">
        <v>8</v>
      </c>
      <c r="W28" s="1562">
        <f t="shared" si="14"/>
        <v>100</v>
      </c>
      <c r="X28" s="1555"/>
      <c r="Y28" s="351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513"/>
      <c r="Q29" s="1560" t="str">
        <f t="shared" si="11"/>
        <v>有无电梯</v>
      </c>
      <c r="R29" s="1561" t="s">
        <v>8</v>
      </c>
      <c r="S29" s="1562">
        <f t="shared" si="12"/>
        <v>100</v>
      </c>
      <c r="T29" s="1561" t="s">
        <v>8</v>
      </c>
      <c r="U29" s="1562">
        <f t="shared" si="13"/>
        <v>100</v>
      </c>
      <c r="V29" s="1561" t="s">
        <v>8</v>
      </c>
      <c r="W29" s="1562">
        <f t="shared" si="14"/>
        <v>100</v>
      </c>
      <c r="X29" s="1555"/>
      <c r="Y29" s="351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513"/>
      <c r="Q30" s="1560" t="str">
        <f t="shared" si="11"/>
        <v>建筑面积</v>
      </c>
      <c r="R30" s="1561" t="s">
        <v>8</v>
      </c>
      <c r="S30" s="1562" t="e">
        <f t="shared" si="12"/>
        <v>#N/A</v>
      </c>
      <c r="T30" s="1561" t="s">
        <v>8</v>
      </c>
      <c r="U30" s="1562" t="e">
        <f t="shared" si="13"/>
        <v>#N/A</v>
      </c>
      <c r="V30" s="1561" t="s">
        <v>8</v>
      </c>
      <c r="W30" s="1562" t="e">
        <f t="shared" si="14"/>
        <v>#N/A</v>
      </c>
      <c r="X30" s="1555"/>
      <c r="Y30" s="351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513"/>
      <c r="Q31" s="1143" t="str">
        <f t="shared" si="11"/>
        <v>是否封闭</v>
      </c>
      <c r="R31" s="1556" t="s">
        <v>8</v>
      </c>
      <c r="S31" s="1557">
        <f t="shared" si="12"/>
        <v>100</v>
      </c>
      <c r="T31" s="1556" t="s">
        <v>8</v>
      </c>
      <c r="U31" s="1557">
        <f t="shared" si="13"/>
        <v>100</v>
      </c>
      <c r="V31" s="1556" t="s">
        <v>8</v>
      </c>
      <c r="W31" s="1557">
        <f t="shared" si="14"/>
        <v>100</v>
      </c>
      <c r="X31" s="1558"/>
      <c r="Y31" s="351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513" t="s">
        <v>549</v>
      </c>
      <c r="Q32" s="1560">
        <f t="shared" si="11"/>
        <v>111</v>
      </c>
      <c r="R32" s="1561" t="s">
        <v>8</v>
      </c>
      <c r="S32" s="1562">
        <f t="shared" si="12"/>
        <v>100</v>
      </c>
      <c r="T32" s="1561" t="s">
        <v>8</v>
      </c>
      <c r="U32" s="1562">
        <f t="shared" si="13"/>
        <v>100</v>
      </c>
      <c r="V32" s="1561" t="s">
        <v>8</v>
      </c>
      <c r="W32" s="1562">
        <f t="shared" si="14"/>
        <v>100</v>
      </c>
      <c r="X32" s="1555"/>
      <c r="Y32" s="351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513"/>
      <c r="Q33" s="1560">
        <f t="shared" si="11"/>
        <v>111</v>
      </c>
      <c r="R33" s="1561" t="s">
        <v>8</v>
      </c>
      <c r="S33" s="1562">
        <f t="shared" si="12"/>
        <v>100</v>
      </c>
      <c r="T33" s="1561" t="s">
        <v>8</v>
      </c>
      <c r="U33" s="1562">
        <f t="shared" si="13"/>
        <v>100</v>
      </c>
      <c r="V33" s="1561" t="s">
        <v>8</v>
      </c>
      <c r="W33" s="1562">
        <f t="shared" si="14"/>
        <v>100</v>
      </c>
      <c r="X33" s="1555"/>
      <c r="Y33" s="3513"/>
      <c r="Z33" s="1563">
        <f t="shared" si="15"/>
        <v>111</v>
      </c>
      <c r="AA33" s="1564">
        <f t="shared" si="3"/>
        <v>1</v>
      </c>
      <c r="AB33" s="1564">
        <f t="shared" si="4"/>
        <v>1</v>
      </c>
      <c r="AC33" s="1564">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ht="15">
      <c r="A35" s="600" t="s">
        <v>735</v>
      </c>
      <c r="B35" s="880"/>
      <c r="C35" s="2639" t="s">
        <v>1</v>
      </c>
      <c r="D35" s="2640"/>
      <c r="E35" s="2641"/>
      <c r="F35" s="2642"/>
      <c r="G35" s="2643"/>
      <c r="H35" s="2644"/>
      <c r="I35" s="2641"/>
      <c r="J35" s="2644"/>
      <c r="K35" s="1599"/>
      <c r="L35" s="2132"/>
      <c r="M35" s="2133"/>
      <c r="N35" s="2122"/>
      <c r="O35" s="2133"/>
      <c r="P35" s="3475" t="str">
        <f>A35</f>
        <v>成交单价（元/平方米）</v>
      </c>
      <c r="Q35" s="3475"/>
      <c r="R35" s="3569">
        <f>E35</f>
        <v>0</v>
      </c>
      <c r="S35" s="3569"/>
      <c r="T35" s="3569">
        <f>G35</f>
        <v>0</v>
      </c>
      <c r="U35" s="3569"/>
      <c r="V35" s="3569">
        <f>I35</f>
        <v>0</v>
      </c>
      <c r="W35" s="3569"/>
      <c r="X35" s="1547"/>
      <c r="Y35" s="1569"/>
      <c r="Z35" s="1547"/>
      <c r="AA35" s="1547"/>
      <c r="AB35" s="1547"/>
      <c r="AC35" s="1547"/>
    </row>
    <row r="36" spans="1:29" ht="15.7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75" t="str">
        <f>A36</f>
        <v>比较价格（元/平方米）</v>
      </c>
      <c r="Q36" s="3475"/>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7"/>
      <c r="Y36" s="1547"/>
      <c r="Z36" s="1547"/>
      <c r="AA36" s="1547"/>
      <c r="AB36" s="1547"/>
      <c r="AC36" s="1547"/>
    </row>
    <row r="37" spans="1:29" ht="15.75" thickBot="1">
      <c r="A37" s="614" t="s">
        <v>2931</v>
      </c>
      <c r="B37" s="615"/>
      <c r="C37" s="2648" t="e">
        <f>R37</f>
        <v>#DIV/0!</v>
      </c>
      <c r="D37" s="2648"/>
      <c r="E37" s="2648"/>
      <c r="F37" s="2648"/>
      <c r="G37" s="2648"/>
      <c r="H37" s="2648"/>
      <c r="I37" s="2648"/>
      <c r="J37" s="2648"/>
      <c r="K37" s="1601"/>
      <c r="L37" s="2132"/>
      <c r="M37" s="2133"/>
      <c r="N37" s="2133"/>
      <c r="O37" s="2133"/>
      <c r="P37" s="3472" t="str">
        <f>A37</f>
        <v>估价对象XX用房的比较价格（楼面单价，元/平方米）</v>
      </c>
      <c r="Q37" s="3473"/>
      <c r="R37" s="3571" t="e">
        <f>IF(F1="售价",ROUND(AVERAGE(R36:V36),0),ROUND(AVERAGE(R36:V36),1))</f>
        <v>#DIV/0!</v>
      </c>
      <c r="S37" s="3571"/>
      <c r="T37" s="3571"/>
      <c r="U37" s="3571"/>
      <c r="V37" s="3571"/>
      <c r="W37" s="357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5">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ht="15">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7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5">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5.75"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5.75"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7.75"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5.75"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5.75"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5.75"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5.75"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5.75"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5.75"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7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7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5.75"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5.75"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5.75"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5.75"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5.75"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ht="15">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5.75"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5"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5.75"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5"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5"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5.75"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2.75"/>
  <cols>
    <col min="1" max="1" width="11.5" style="1242" customWidth="1"/>
    <col min="2" max="2" width="9.1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75">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75">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953" customWidth="1"/>
    <col min="2" max="2" width="13.125" style="2959" customWidth="1"/>
    <col min="3" max="3" width="15.625" style="2959" customWidth="1"/>
    <col min="4" max="4" width="9.375" style="2959" bestFit="1" customWidth="1"/>
    <col min="5" max="5" width="13.5" style="2959" customWidth="1"/>
    <col min="6" max="6" width="8.75" style="2959"/>
    <col min="7" max="7" width="9.375" style="2959" bestFit="1" customWidth="1"/>
    <col min="8" max="9" width="8.75" style="2959"/>
    <col min="10" max="10" width="9.375" style="2959" bestFit="1" customWidth="1"/>
    <col min="11" max="11" width="4" style="2953" customWidth="1"/>
    <col min="12" max="12" width="5.125" style="2959" customWidth="1"/>
    <col min="13" max="13" width="13.625" style="2959" customWidth="1"/>
    <col min="14" max="256" width="8.75" style="2959"/>
    <col min="257" max="257" width="4.75" style="2951" customWidth="1"/>
    <col min="258" max="258" width="13.125" style="2951" customWidth="1"/>
    <col min="259" max="259" width="15.625" style="2951" customWidth="1"/>
    <col min="260" max="260" width="9.375" style="2951" bestFit="1" customWidth="1"/>
    <col min="261" max="261" width="13.5" style="2951" customWidth="1"/>
    <col min="262" max="262" width="8.75" style="2951"/>
    <col min="263" max="263" width="9.375" style="2951" bestFit="1" customWidth="1"/>
    <col min="264" max="265" width="8.75" style="2951"/>
    <col min="266" max="266" width="9.375" style="2951" bestFit="1" customWidth="1"/>
    <col min="267" max="267" width="4" style="2951" customWidth="1"/>
    <col min="268" max="268" width="5.125" style="2951" customWidth="1"/>
    <col min="269" max="269" width="13.625" style="2951" customWidth="1"/>
    <col min="270" max="512" width="8.75" style="2951"/>
    <col min="513" max="513" width="4.75" style="2951" customWidth="1"/>
    <col min="514" max="514" width="13.125" style="2951" customWidth="1"/>
    <col min="515" max="515" width="15.625" style="2951" customWidth="1"/>
    <col min="516" max="516" width="9.375" style="2951" bestFit="1" customWidth="1"/>
    <col min="517" max="517" width="13.5" style="2951" customWidth="1"/>
    <col min="518" max="518" width="8.75" style="2951"/>
    <col min="519" max="519" width="9.375" style="2951" bestFit="1" customWidth="1"/>
    <col min="520" max="521" width="8.75" style="2951"/>
    <col min="522" max="522" width="9.375" style="2951" bestFit="1" customWidth="1"/>
    <col min="523" max="523" width="4" style="2951" customWidth="1"/>
    <col min="524" max="524" width="5.125" style="2951" customWidth="1"/>
    <col min="525" max="525" width="13.625" style="2951" customWidth="1"/>
    <col min="526" max="768" width="8.75" style="2951"/>
    <col min="769" max="769" width="4.75" style="2951" customWidth="1"/>
    <col min="770" max="770" width="13.125" style="2951" customWidth="1"/>
    <col min="771" max="771" width="15.625" style="2951" customWidth="1"/>
    <col min="772" max="772" width="9.375" style="2951" bestFit="1" customWidth="1"/>
    <col min="773" max="773" width="13.5" style="2951" customWidth="1"/>
    <col min="774" max="774" width="8.75" style="2951"/>
    <col min="775" max="775" width="9.375" style="2951" bestFit="1" customWidth="1"/>
    <col min="776" max="777" width="8.75" style="2951"/>
    <col min="778" max="778" width="9.375" style="2951" bestFit="1" customWidth="1"/>
    <col min="779" max="779" width="4" style="2951" customWidth="1"/>
    <col min="780" max="780" width="5.125" style="2951" customWidth="1"/>
    <col min="781" max="781" width="13.625" style="2951" customWidth="1"/>
    <col min="782" max="1024" width="8.75" style="2951"/>
    <col min="1025" max="1025" width="4.75" style="2951" customWidth="1"/>
    <col min="1026" max="1026" width="13.125" style="2951" customWidth="1"/>
    <col min="1027" max="1027" width="15.625" style="2951" customWidth="1"/>
    <col min="1028" max="1028" width="9.375" style="2951" bestFit="1" customWidth="1"/>
    <col min="1029" max="1029" width="13.5" style="2951" customWidth="1"/>
    <col min="1030" max="1030" width="8.75" style="2951"/>
    <col min="1031" max="1031" width="9.375" style="2951" bestFit="1" customWidth="1"/>
    <col min="1032" max="1033" width="8.75" style="2951"/>
    <col min="1034" max="1034" width="9.375" style="2951" bestFit="1" customWidth="1"/>
    <col min="1035" max="1035" width="4" style="2951" customWidth="1"/>
    <col min="1036" max="1036" width="5.125" style="2951" customWidth="1"/>
    <col min="1037" max="1037" width="13.625" style="2951" customWidth="1"/>
    <col min="1038" max="1280" width="8.75" style="2951"/>
    <col min="1281" max="1281" width="4.75" style="2951" customWidth="1"/>
    <col min="1282" max="1282" width="13.125" style="2951" customWidth="1"/>
    <col min="1283" max="1283" width="15.625" style="2951" customWidth="1"/>
    <col min="1284" max="1284" width="9.375" style="2951" bestFit="1" customWidth="1"/>
    <col min="1285" max="1285" width="13.5" style="2951" customWidth="1"/>
    <col min="1286" max="1286" width="8.75" style="2951"/>
    <col min="1287" max="1287" width="9.375" style="2951" bestFit="1" customWidth="1"/>
    <col min="1288" max="1289" width="8.75" style="2951"/>
    <col min="1290" max="1290" width="9.375" style="2951" bestFit="1" customWidth="1"/>
    <col min="1291" max="1291" width="4" style="2951" customWidth="1"/>
    <col min="1292" max="1292" width="5.125" style="2951" customWidth="1"/>
    <col min="1293" max="1293" width="13.625" style="2951" customWidth="1"/>
    <col min="1294" max="1536" width="8.75" style="2951"/>
    <col min="1537" max="1537" width="4.75" style="2951" customWidth="1"/>
    <col min="1538" max="1538" width="13.125" style="2951" customWidth="1"/>
    <col min="1539" max="1539" width="15.625" style="2951" customWidth="1"/>
    <col min="1540" max="1540" width="9.375" style="2951" bestFit="1" customWidth="1"/>
    <col min="1541" max="1541" width="13.5" style="2951" customWidth="1"/>
    <col min="1542" max="1542" width="8.75" style="2951"/>
    <col min="1543" max="1543" width="9.375" style="2951" bestFit="1" customWidth="1"/>
    <col min="1544" max="1545" width="8.75" style="2951"/>
    <col min="1546" max="1546" width="9.375" style="2951" bestFit="1" customWidth="1"/>
    <col min="1547" max="1547" width="4" style="2951" customWidth="1"/>
    <col min="1548" max="1548" width="5.125" style="2951" customWidth="1"/>
    <col min="1549" max="1549" width="13.625" style="2951" customWidth="1"/>
    <col min="1550" max="1792" width="8.75" style="2951"/>
    <col min="1793" max="1793" width="4.75" style="2951" customWidth="1"/>
    <col min="1794" max="1794" width="13.125" style="2951" customWidth="1"/>
    <col min="1795" max="1795" width="15.625" style="2951" customWidth="1"/>
    <col min="1796" max="1796" width="9.375" style="2951" bestFit="1" customWidth="1"/>
    <col min="1797" max="1797" width="13.5" style="2951" customWidth="1"/>
    <col min="1798" max="1798" width="8.75" style="2951"/>
    <col min="1799" max="1799" width="9.375" style="2951" bestFit="1" customWidth="1"/>
    <col min="1800" max="1801" width="8.75" style="2951"/>
    <col min="1802" max="1802" width="9.375" style="2951" bestFit="1" customWidth="1"/>
    <col min="1803" max="1803" width="4" style="2951" customWidth="1"/>
    <col min="1804" max="1804" width="5.125" style="2951" customWidth="1"/>
    <col min="1805" max="1805" width="13.625" style="2951" customWidth="1"/>
    <col min="1806" max="2048" width="8.75" style="2951"/>
    <col min="2049" max="2049" width="4.75" style="2951" customWidth="1"/>
    <col min="2050" max="2050" width="13.125" style="2951" customWidth="1"/>
    <col min="2051" max="2051" width="15.625" style="2951" customWidth="1"/>
    <col min="2052" max="2052" width="9.375" style="2951" bestFit="1" customWidth="1"/>
    <col min="2053" max="2053" width="13.5" style="2951" customWidth="1"/>
    <col min="2054" max="2054" width="8.75" style="2951"/>
    <col min="2055" max="2055" width="9.375" style="2951" bestFit="1" customWidth="1"/>
    <col min="2056" max="2057" width="8.75" style="2951"/>
    <col min="2058" max="2058" width="9.375" style="2951" bestFit="1" customWidth="1"/>
    <col min="2059" max="2059" width="4" style="2951" customWidth="1"/>
    <col min="2060" max="2060" width="5.125" style="2951" customWidth="1"/>
    <col min="2061" max="2061" width="13.625" style="2951" customWidth="1"/>
    <col min="2062" max="2304" width="8.75" style="2951"/>
    <col min="2305" max="2305" width="4.75" style="2951" customWidth="1"/>
    <col min="2306" max="2306" width="13.125" style="2951" customWidth="1"/>
    <col min="2307" max="2307" width="15.625" style="2951" customWidth="1"/>
    <col min="2308" max="2308" width="9.375" style="2951" bestFit="1" customWidth="1"/>
    <col min="2309" max="2309" width="13.5" style="2951" customWidth="1"/>
    <col min="2310" max="2310" width="8.75" style="2951"/>
    <col min="2311" max="2311" width="9.375" style="2951" bestFit="1" customWidth="1"/>
    <col min="2312" max="2313" width="8.75" style="2951"/>
    <col min="2314" max="2314" width="9.375" style="2951" bestFit="1" customWidth="1"/>
    <col min="2315" max="2315" width="4" style="2951" customWidth="1"/>
    <col min="2316" max="2316" width="5.125" style="2951" customWidth="1"/>
    <col min="2317" max="2317" width="13.625" style="2951" customWidth="1"/>
    <col min="2318" max="2560" width="8.75" style="2951"/>
    <col min="2561" max="2561" width="4.75" style="2951" customWidth="1"/>
    <col min="2562" max="2562" width="13.125" style="2951" customWidth="1"/>
    <col min="2563" max="2563" width="15.625" style="2951" customWidth="1"/>
    <col min="2564" max="2564" width="9.375" style="2951" bestFit="1" customWidth="1"/>
    <col min="2565" max="2565" width="13.5" style="2951" customWidth="1"/>
    <col min="2566" max="2566" width="8.75" style="2951"/>
    <col min="2567" max="2567" width="9.375" style="2951" bestFit="1" customWidth="1"/>
    <col min="2568" max="2569" width="8.75" style="2951"/>
    <col min="2570" max="2570" width="9.375" style="2951" bestFit="1" customWidth="1"/>
    <col min="2571" max="2571" width="4" style="2951" customWidth="1"/>
    <col min="2572" max="2572" width="5.125" style="2951" customWidth="1"/>
    <col min="2573" max="2573" width="13.625" style="2951" customWidth="1"/>
    <col min="2574" max="2816" width="8.75" style="2951"/>
    <col min="2817" max="2817" width="4.75" style="2951" customWidth="1"/>
    <col min="2818" max="2818" width="13.125" style="2951" customWidth="1"/>
    <col min="2819" max="2819" width="15.625" style="2951" customWidth="1"/>
    <col min="2820" max="2820" width="9.375" style="2951" bestFit="1" customWidth="1"/>
    <col min="2821" max="2821" width="13.5" style="2951" customWidth="1"/>
    <col min="2822" max="2822" width="8.75" style="2951"/>
    <col min="2823" max="2823" width="9.375" style="2951" bestFit="1" customWidth="1"/>
    <col min="2824" max="2825" width="8.75" style="2951"/>
    <col min="2826" max="2826" width="9.375" style="2951" bestFit="1" customWidth="1"/>
    <col min="2827" max="2827" width="4" style="2951" customWidth="1"/>
    <col min="2828" max="2828" width="5.125" style="2951" customWidth="1"/>
    <col min="2829" max="2829" width="13.625" style="2951" customWidth="1"/>
    <col min="2830" max="3072" width="8.75" style="2951"/>
    <col min="3073" max="3073" width="4.75" style="2951" customWidth="1"/>
    <col min="3074" max="3074" width="13.125" style="2951" customWidth="1"/>
    <col min="3075" max="3075" width="15.625" style="2951" customWidth="1"/>
    <col min="3076" max="3076" width="9.375" style="2951" bestFit="1" customWidth="1"/>
    <col min="3077" max="3077" width="13.5" style="2951" customWidth="1"/>
    <col min="3078" max="3078" width="8.75" style="2951"/>
    <col min="3079" max="3079" width="9.375" style="2951" bestFit="1" customWidth="1"/>
    <col min="3080" max="3081" width="8.75" style="2951"/>
    <col min="3082" max="3082" width="9.375" style="2951" bestFit="1" customWidth="1"/>
    <col min="3083" max="3083" width="4" style="2951" customWidth="1"/>
    <col min="3084" max="3084" width="5.125" style="2951" customWidth="1"/>
    <col min="3085" max="3085" width="13.625" style="2951" customWidth="1"/>
    <col min="3086" max="3328" width="8.75" style="2951"/>
    <col min="3329" max="3329" width="4.75" style="2951" customWidth="1"/>
    <col min="3330" max="3330" width="13.125" style="2951" customWidth="1"/>
    <col min="3331" max="3331" width="15.625" style="2951" customWidth="1"/>
    <col min="3332" max="3332" width="9.375" style="2951" bestFit="1" customWidth="1"/>
    <col min="3333" max="3333" width="13.5" style="2951" customWidth="1"/>
    <col min="3334" max="3334" width="8.75" style="2951"/>
    <col min="3335" max="3335" width="9.375" style="2951" bestFit="1" customWidth="1"/>
    <col min="3336" max="3337" width="8.75" style="2951"/>
    <col min="3338" max="3338" width="9.375" style="2951" bestFit="1" customWidth="1"/>
    <col min="3339" max="3339" width="4" style="2951" customWidth="1"/>
    <col min="3340" max="3340" width="5.125" style="2951" customWidth="1"/>
    <col min="3341" max="3341" width="13.625" style="2951" customWidth="1"/>
    <col min="3342" max="3584" width="8.75" style="2951"/>
    <col min="3585" max="3585" width="4.75" style="2951" customWidth="1"/>
    <col min="3586" max="3586" width="13.125" style="2951" customWidth="1"/>
    <col min="3587" max="3587" width="15.625" style="2951" customWidth="1"/>
    <col min="3588" max="3588" width="9.375" style="2951" bestFit="1" customWidth="1"/>
    <col min="3589" max="3589" width="13.5" style="2951" customWidth="1"/>
    <col min="3590" max="3590" width="8.75" style="2951"/>
    <col min="3591" max="3591" width="9.375" style="2951" bestFit="1" customWidth="1"/>
    <col min="3592" max="3593" width="8.75" style="2951"/>
    <col min="3594" max="3594" width="9.375" style="2951" bestFit="1" customWidth="1"/>
    <col min="3595" max="3595" width="4" style="2951" customWidth="1"/>
    <col min="3596" max="3596" width="5.125" style="2951" customWidth="1"/>
    <col min="3597" max="3597" width="13.625" style="2951" customWidth="1"/>
    <col min="3598" max="3840" width="8.75" style="2951"/>
    <col min="3841" max="3841" width="4.75" style="2951" customWidth="1"/>
    <col min="3842" max="3842" width="13.125" style="2951" customWidth="1"/>
    <col min="3843" max="3843" width="15.625" style="2951" customWidth="1"/>
    <col min="3844" max="3844" width="9.375" style="2951" bestFit="1" customWidth="1"/>
    <col min="3845" max="3845" width="13.5" style="2951" customWidth="1"/>
    <col min="3846" max="3846" width="8.75" style="2951"/>
    <col min="3847" max="3847" width="9.375" style="2951" bestFit="1" customWidth="1"/>
    <col min="3848" max="3849" width="8.75" style="2951"/>
    <col min="3850" max="3850" width="9.375" style="2951" bestFit="1" customWidth="1"/>
    <col min="3851" max="3851" width="4" style="2951" customWidth="1"/>
    <col min="3852" max="3852" width="5.125" style="2951" customWidth="1"/>
    <col min="3853" max="3853" width="13.625" style="2951" customWidth="1"/>
    <col min="3854" max="4096" width="8.75" style="2951"/>
    <col min="4097" max="4097" width="4.75" style="2951" customWidth="1"/>
    <col min="4098" max="4098" width="13.125" style="2951" customWidth="1"/>
    <col min="4099" max="4099" width="15.625" style="2951" customWidth="1"/>
    <col min="4100" max="4100" width="9.375" style="2951" bestFit="1" customWidth="1"/>
    <col min="4101" max="4101" width="13.5" style="2951" customWidth="1"/>
    <col min="4102" max="4102" width="8.75" style="2951"/>
    <col min="4103" max="4103" width="9.375" style="2951" bestFit="1" customWidth="1"/>
    <col min="4104" max="4105" width="8.75" style="2951"/>
    <col min="4106" max="4106" width="9.375" style="2951" bestFit="1" customWidth="1"/>
    <col min="4107" max="4107" width="4" style="2951" customWidth="1"/>
    <col min="4108" max="4108" width="5.125" style="2951" customWidth="1"/>
    <col min="4109" max="4109" width="13.625" style="2951" customWidth="1"/>
    <col min="4110" max="4352" width="8.75" style="2951"/>
    <col min="4353" max="4353" width="4.75" style="2951" customWidth="1"/>
    <col min="4354" max="4354" width="13.125" style="2951" customWidth="1"/>
    <col min="4355" max="4355" width="15.625" style="2951" customWidth="1"/>
    <col min="4356" max="4356" width="9.375" style="2951" bestFit="1" customWidth="1"/>
    <col min="4357" max="4357" width="13.5" style="2951" customWidth="1"/>
    <col min="4358" max="4358" width="8.75" style="2951"/>
    <col min="4359" max="4359" width="9.375" style="2951" bestFit="1" customWidth="1"/>
    <col min="4360" max="4361" width="8.75" style="2951"/>
    <col min="4362" max="4362" width="9.375" style="2951" bestFit="1" customWidth="1"/>
    <col min="4363" max="4363" width="4" style="2951" customWidth="1"/>
    <col min="4364" max="4364" width="5.125" style="2951" customWidth="1"/>
    <col min="4365" max="4365" width="13.625" style="2951" customWidth="1"/>
    <col min="4366" max="4608" width="8.75" style="2951"/>
    <col min="4609" max="4609" width="4.75" style="2951" customWidth="1"/>
    <col min="4610" max="4610" width="13.125" style="2951" customWidth="1"/>
    <col min="4611" max="4611" width="15.625" style="2951" customWidth="1"/>
    <col min="4612" max="4612" width="9.375" style="2951" bestFit="1" customWidth="1"/>
    <col min="4613" max="4613" width="13.5" style="2951" customWidth="1"/>
    <col min="4614" max="4614" width="8.75" style="2951"/>
    <col min="4615" max="4615" width="9.375" style="2951" bestFit="1" customWidth="1"/>
    <col min="4616" max="4617" width="8.75" style="2951"/>
    <col min="4618" max="4618" width="9.375" style="2951" bestFit="1" customWidth="1"/>
    <col min="4619" max="4619" width="4" style="2951" customWidth="1"/>
    <col min="4620" max="4620" width="5.125" style="2951" customWidth="1"/>
    <col min="4621" max="4621" width="13.625" style="2951" customWidth="1"/>
    <col min="4622" max="4864" width="8.75" style="2951"/>
    <col min="4865" max="4865" width="4.75" style="2951" customWidth="1"/>
    <col min="4866" max="4866" width="13.125" style="2951" customWidth="1"/>
    <col min="4867" max="4867" width="15.625" style="2951" customWidth="1"/>
    <col min="4868" max="4868" width="9.375" style="2951" bestFit="1" customWidth="1"/>
    <col min="4869" max="4869" width="13.5" style="2951" customWidth="1"/>
    <col min="4870" max="4870" width="8.75" style="2951"/>
    <col min="4871" max="4871" width="9.375" style="2951" bestFit="1" customWidth="1"/>
    <col min="4872" max="4873" width="8.75" style="2951"/>
    <col min="4874" max="4874" width="9.375" style="2951" bestFit="1" customWidth="1"/>
    <col min="4875" max="4875" width="4" style="2951" customWidth="1"/>
    <col min="4876" max="4876" width="5.125" style="2951" customWidth="1"/>
    <col min="4877" max="4877" width="13.625" style="2951" customWidth="1"/>
    <col min="4878" max="5120" width="8.75" style="2951"/>
    <col min="5121" max="5121" width="4.75" style="2951" customWidth="1"/>
    <col min="5122" max="5122" width="13.125" style="2951" customWidth="1"/>
    <col min="5123" max="5123" width="15.625" style="2951" customWidth="1"/>
    <col min="5124" max="5124" width="9.375" style="2951" bestFit="1" customWidth="1"/>
    <col min="5125" max="5125" width="13.5" style="2951" customWidth="1"/>
    <col min="5126" max="5126" width="8.75" style="2951"/>
    <col min="5127" max="5127" width="9.375" style="2951" bestFit="1" customWidth="1"/>
    <col min="5128" max="5129" width="8.75" style="2951"/>
    <col min="5130" max="5130" width="9.375" style="2951" bestFit="1" customWidth="1"/>
    <col min="5131" max="5131" width="4" style="2951" customWidth="1"/>
    <col min="5132" max="5132" width="5.125" style="2951" customWidth="1"/>
    <col min="5133" max="5133" width="13.625" style="2951" customWidth="1"/>
    <col min="5134" max="5376" width="8.75" style="2951"/>
    <col min="5377" max="5377" width="4.75" style="2951" customWidth="1"/>
    <col min="5378" max="5378" width="13.125" style="2951" customWidth="1"/>
    <col min="5379" max="5379" width="15.625" style="2951" customWidth="1"/>
    <col min="5380" max="5380" width="9.375" style="2951" bestFit="1" customWidth="1"/>
    <col min="5381" max="5381" width="13.5" style="2951" customWidth="1"/>
    <col min="5382" max="5382" width="8.75" style="2951"/>
    <col min="5383" max="5383" width="9.375" style="2951" bestFit="1" customWidth="1"/>
    <col min="5384" max="5385" width="8.75" style="2951"/>
    <col min="5386" max="5386" width="9.375" style="2951" bestFit="1" customWidth="1"/>
    <col min="5387" max="5387" width="4" style="2951" customWidth="1"/>
    <col min="5388" max="5388" width="5.125" style="2951" customWidth="1"/>
    <col min="5389" max="5389" width="13.625" style="2951" customWidth="1"/>
    <col min="5390" max="5632" width="8.75" style="2951"/>
    <col min="5633" max="5633" width="4.75" style="2951" customWidth="1"/>
    <col min="5634" max="5634" width="13.125" style="2951" customWidth="1"/>
    <col min="5635" max="5635" width="15.625" style="2951" customWidth="1"/>
    <col min="5636" max="5636" width="9.375" style="2951" bestFit="1" customWidth="1"/>
    <col min="5637" max="5637" width="13.5" style="2951" customWidth="1"/>
    <col min="5638" max="5638" width="8.75" style="2951"/>
    <col min="5639" max="5639" width="9.375" style="2951" bestFit="1" customWidth="1"/>
    <col min="5640" max="5641" width="8.75" style="2951"/>
    <col min="5642" max="5642" width="9.375" style="2951" bestFit="1" customWidth="1"/>
    <col min="5643" max="5643" width="4" style="2951" customWidth="1"/>
    <col min="5644" max="5644" width="5.125" style="2951" customWidth="1"/>
    <col min="5645" max="5645" width="13.625" style="2951" customWidth="1"/>
    <col min="5646" max="5888" width="8.75" style="2951"/>
    <col min="5889" max="5889" width="4.75" style="2951" customWidth="1"/>
    <col min="5890" max="5890" width="13.125" style="2951" customWidth="1"/>
    <col min="5891" max="5891" width="15.625" style="2951" customWidth="1"/>
    <col min="5892" max="5892" width="9.375" style="2951" bestFit="1" customWidth="1"/>
    <col min="5893" max="5893" width="13.5" style="2951" customWidth="1"/>
    <col min="5894" max="5894" width="8.75" style="2951"/>
    <col min="5895" max="5895" width="9.375" style="2951" bestFit="1" customWidth="1"/>
    <col min="5896" max="5897" width="8.75" style="2951"/>
    <col min="5898" max="5898" width="9.375" style="2951" bestFit="1" customWidth="1"/>
    <col min="5899" max="5899" width="4" style="2951" customWidth="1"/>
    <col min="5900" max="5900" width="5.125" style="2951" customWidth="1"/>
    <col min="5901" max="5901" width="13.625" style="2951" customWidth="1"/>
    <col min="5902" max="6144" width="8.75" style="2951"/>
    <col min="6145" max="6145" width="4.75" style="2951" customWidth="1"/>
    <col min="6146" max="6146" width="13.125" style="2951" customWidth="1"/>
    <col min="6147" max="6147" width="15.625" style="2951" customWidth="1"/>
    <col min="6148" max="6148" width="9.375" style="2951" bestFit="1" customWidth="1"/>
    <col min="6149" max="6149" width="13.5" style="2951" customWidth="1"/>
    <col min="6150" max="6150" width="8.75" style="2951"/>
    <col min="6151" max="6151" width="9.375" style="2951" bestFit="1" customWidth="1"/>
    <col min="6152" max="6153" width="8.75" style="2951"/>
    <col min="6154" max="6154" width="9.375" style="2951" bestFit="1" customWidth="1"/>
    <col min="6155" max="6155" width="4" style="2951" customWidth="1"/>
    <col min="6156" max="6156" width="5.125" style="2951" customWidth="1"/>
    <col min="6157" max="6157" width="13.625" style="2951" customWidth="1"/>
    <col min="6158" max="6400" width="8.75" style="2951"/>
    <col min="6401" max="6401" width="4.75" style="2951" customWidth="1"/>
    <col min="6402" max="6402" width="13.125" style="2951" customWidth="1"/>
    <col min="6403" max="6403" width="15.625" style="2951" customWidth="1"/>
    <col min="6404" max="6404" width="9.375" style="2951" bestFit="1" customWidth="1"/>
    <col min="6405" max="6405" width="13.5" style="2951" customWidth="1"/>
    <col min="6406" max="6406" width="8.75" style="2951"/>
    <col min="6407" max="6407" width="9.375" style="2951" bestFit="1" customWidth="1"/>
    <col min="6408" max="6409" width="8.75" style="2951"/>
    <col min="6410" max="6410" width="9.375" style="2951" bestFit="1" customWidth="1"/>
    <col min="6411" max="6411" width="4" style="2951" customWidth="1"/>
    <col min="6412" max="6412" width="5.125" style="2951" customWidth="1"/>
    <col min="6413" max="6413" width="13.625" style="2951" customWidth="1"/>
    <col min="6414" max="6656" width="8.75" style="2951"/>
    <col min="6657" max="6657" width="4.75" style="2951" customWidth="1"/>
    <col min="6658" max="6658" width="13.125" style="2951" customWidth="1"/>
    <col min="6659" max="6659" width="15.625" style="2951" customWidth="1"/>
    <col min="6660" max="6660" width="9.375" style="2951" bestFit="1" customWidth="1"/>
    <col min="6661" max="6661" width="13.5" style="2951" customWidth="1"/>
    <col min="6662" max="6662" width="8.75" style="2951"/>
    <col min="6663" max="6663" width="9.375" style="2951" bestFit="1" customWidth="1"/>
    <col min="6664" max="6665" width="8.75" style="2951"/>
    <col min="6666" max="6666" width="9.375" style="2951" bestFit="1" customWidth="1"/>
    <col min="6667" max="6667" width="4" style="2951" customWidth="1"/>
    <col min="6668" max="6668" width="5.125" style="2951" customWidth="1"/>
    <col min="6669" max="6669" width="13.625" style="2951" customWidth="1"/>
    <col min="6670" max="6912" width="8.75" style="2951"/>
    <col min="6913" max="6913" width="4.75" style="2951" customWidth="1"/>
    <col min="6914" max="6914" width="13.125" style="2951" customWidth="1"/>
    <col min="6915" max="6915" width="15.625" style="2951" customWidth="1"/>
    <col min="6916" max="6916" width="9.375" style="2951" bestFit="1" customWidth="1"/>
    <col min="6917" max="6917" width="13.5" style="2951" customWidth="1"/>
    <col min="6918" max="6918" width="8.75" style="2951"/>
    <col min="6919" max="6919" width="9.375" style="2951" bestFit="1" customWidth="1"/>
    <col min="6920" max="6921" width="8.75" style="2951"/>
    <col min="6922" max="6922" width="9.375" style="2951" bestFit="1" customWidth="1"/>
    <col min="6923" max="6923" width="4" style="2951" customWidth="1"/>
    <col min="6924" max="6924" width="5.125" style="2951" customWidth="1"/>
    <col min="6925" max="6925" width="13.625" style="2951" customWidth="1"/>
    <col min="6926" max="7168" width="8.75" style="2951"/>
    <col min="7169" max="7169" width="4.75" style="2951" customWidth="1"/>
    <col min="7170" max="7170" width="13.125" style="2951" customWidth="1"/>
    <col min="7171" max="7171" width="15.625" style="2951" customWidth="1"/>
    <col min="7172" max="7172" width="9.375" style="2951" bestFit="1" customWidth="1"/>
    <col min="7173" max="7173" width="13.5" style="2951" customWidth="1"/>
    <col min="7174" max="7174" width="8.75" style="2951"/>
    <col min="7175" max="7175" width="9.375" style="2951" bestFit="1" customWidth="1"/>
    <col min="7176" max="7177" width="8.75" style="2951"/>
    <col min="7178" max="7178" width="9.375" style="2951" bestFit="1" customWidth="1"/>
    <col min="7179" max="7179" width="4" style="2951" customWidth="1"/>
    <col min="7180" max="7180" width="5.125" style="2951" customWidth="1"/>
    <col min="7181" max="7181" width="13.625" style="2951" customWidth="1"/>
    <col min="7182" max="7424" width="8.75" style="2951"/>
    <col min="7425" max="7425" width="4.75" style="2951" customWidth="1"/>
    <col min="7426" max="7426" width="13.125" style="2951" customWidth="1"/>
    <col min="7427" max="7427" width="15.625" style="2951" customWidth="1"/>
    <col min="7428" max="7428" width="9.375" style="2951" bestFit="1" customWidth="1"/>
    <col min="7429" max="7429" width="13.5" style="2951" customWidth="1"/>
    <col min="7430" max="7430" width="8.75" style="2951"/>
    <col min="7431" max="7431" width="9.375" style="2951" bestFit="1" customWidth="1"/>
    <col min="7432" max="7433" width="8.75" style="2951"/>
    <col min="7434" max="7434" width="9.375" style="2951" bestFit="1" customWidth="1"/>
    <col min="7435" max="7435" width="4" style="2951" customWidth="1"/>
    <col min="7436" max="7436" width="5.125" style="2951" customWidth="1"/>
    <col min="7437" max="7437" width="13.625" style="2951" customWidth="1"/>
    <col min="7438" max="7680" width="8.75" style="2951"/>
    <col min="7681" max="7681" width="4.75" style="2951" customWidth="1"/>
    <col min="7682" max="7682" width="13.125" style="2951" customWidth="1"/>
    <col min="7683" max="7683" width="15.625" style="2951" customWidth="1"/>
    <col min="7684" max="7684" width="9.375" style="2951" bestFit="1" customWidth="1"/>
    <col min="7685" max="7685" width="13.5" style="2951" customWidth="1"/>
    <col min="7686" max="7686" width="8.75" style="2951"/>
    <col min="7687" max="7687" width="9.375" style="2951" bestFit="1" customWidth="1"/>
    <col min="7688" max="7689" width="8.75" style="2951"/>
    <col min="7690" max="7690" width="9.375" style="2951" bestFit="1" customWidth="1"/>
    <col min="7691" max="7691" width="4" style="2951" customWidth="1"/>
    <col min="7692" max="7692" width="5.125" style="2951" customWidth="1"/>
    <col min="7693" max="7693" width="13.625" style="2951" customWidth="1"/>
    <col min="7694" max="7936" width="8.75" style="2951"/>
    <col min="7937" max="7937" width="4.75" style="2951" customWidth="1"/>
    <col min="7938" max="7938" width="13.125" style="2951" customWidth="1"/>
    <col min="7939" max="7939" width="15.625" style="2951" customWidth="1"/>
    <col min="7940" max="7940" width="9.375" style="2951" bestFit="1" customWidth="1"/>
    <col min="7941" max="7941" width="13.5" style="2951" customWidth="1"/>
    <col min="7942" max="7942" width="8.75" style="2951"/>
    <col min="7943" max="7943" width="9.375" style="2951" bestFit="1" customWidth="1"/>
    <col min="7944" max="7945" width="8.75" style="2951"/>
    <col min="7946" max="7946" width="9.375" style="2951" bestFit="1" customWidth="1"/>
    <col min="7947" max="7947" width="4" style="2951" customWidth="1"/>
    <col min="7948" max="7948" width="5.125" style="2951" customWidth="1"/>
    <col min="7949" max="7949" width="13.625" style="2951" customWidth="1"/>
    <col min="7950" max="8192" width="8.75" style="2951"/>
    <col min="8193" max="8193" width="4.75" style="2951" customWidth="1"/>
    <col min="8194" max="8194" width="13.125" style="2951" customWidth="1"/>
    <col min="8195" max="8195" width="15.625" style="2951" customWidth="1"/>
    <col min="8196" max="8196" width="9.375" style="2951" bestFit="1" customWidth="1"/>
    <col min="8197" max="8197" width="13.5" style="2951" customWidth="1"/>
    <col min="8198" max="8198" width="8.75" style="2951"/>
    <col min="8199" max="8199" width="9.375" style="2951" bestFit="1" customWidth="1"/>
    <col min="8200" max="8201" width="8.75" style="2951"/>
    <col min="8202" max="8202" width="9.375" style="2951" bestFit="1" customWidth="1"/>
    <col min="8203" max="8203" width="4" style="2951" customWidth="1"/>
    <col min="8204" max="8204" width="5.125" style="2951" customWidth="1"/>
    <col min="8205" max="8205" width="13.625" style="2951" customWidth="1"/>
    <col min="8206" max="8448" width="8.75" style="2951"/>
    <col min="8449" max="8449" width="4.75" style="2951" customWidth="1"/>
    <col min="8450" max="8450" width="13.125" style="2951" customWidth="1"/>
    <col min="8451" max="8451" width="15.625" style="2951" customWidth="1"/>
    <col min="8452" max="8452" width="9.375" style="2951" bestFit="1" customWidth="1"/>
    <col min="8453" max="8453" width="13.5" style="2951" customWidth="1"/>
    <col min="8454" max="8454" width="8.75" style="2951"/>
    <col min="8455" max="8455" width="9.375" style="2951" bestFit="1" customWidth="1"/>
    <col min="8456" max="8457" width="8.75" style="2951"/>
    <col min="8458" max="8458" width="9.375" style="2951" bestFit="1" customWidth="1"/>
    <col min="8459" max="8459" width="4" style="2951" customWidth="1"/>
    <col min="8460" max="8460" width="5.125" style="2951" customWidth="1"/>
    <col min="8461" max="8461" width="13.625" style="2951" customWidth="1"/>
    <col min="8462" max="8704" width="8.75" style="2951"/>
    <col min="8705" max="8705" width="4.75" style="2951" customWidth="1"/>
    <col min="8706" max="8706" width="13.125" style="2951" customWidth="1"/>
    <col min="8707" max="8707" width="15.625" style="2951" customWidth="1"/>
    <col min="8708" max="8708" width="9.375" style="2951" bestFit="1" customWidth="1"/>
    <col min="8709" max="8709" width="13.5" style="2951" customWidth="1"/>
    <col min="8710" max="8710" width="8.75" style="2951"/>
    <col min="8711" max="8711" width="9.375" style="2951" bestFit="1" customWidth="1"/>
    <col min="8712" max="8713" width="8.75" style="2951"/>
    <col min="8714" max="8714" width="9.375" style="2951" bestFit="1" customWidth="1"/>
    <col min="8715" max="8715" width="4" style="2951" customWidth="1"/>
    <col min="8716" max="8716" width="5.125" style="2951" customWidth="1"/>
    <col min="8717" max="8717" width="13.625" style="2951" customWidth="1"/>
    <col min="8718" max="8960" width="8.75" style="2951"/>
    <col min="8961" max="8961" width="4.75" style="2951" customWidth="1"/>
    <col min="8962" max="8962" width="13.125" style="2951" customWidth="1"/>
    <col min="8963" max="8963" width="15.625" style="2951" customWidth="1"/>
    <col min="8964" max="8964" width="9.375" style="2951" bestFit="1" customWidth="1"/>
    <col min="8965" max="8965" width="13.5" style="2951" customWidth="1"/>
    <col min="8966" max="8966" width="8.75" style="2951"/>
    <col min="8967" max="8967" width="9.375" style="2951" bestFit="1" customWidth="1"/>
    <col min="8968" max="8969" width="8.75" style="2951"/>
    <col min="8970" max="8970" width="9.375" style="2951" bestFit="1" customWidth="1"/>
    <col min="8971" max="8971" width="4" style="2951" customWidth="1"/>
    <col min="8972" max="8972" width="5.125" style="2951" customWidth="1"/>
    <col min="8973" max="8973" width="13.625" style="2951" customWidth="1"/>
    <col min="8974" max="9216" width="8.75" style="2951"/>
    <col min="9217" max="9217" width="4.75" style="2951" customWidth="1"/>
    <col min="9218" max="9218" width="13.125" style="2951" customWidth="1"/>
    <col min="9219" max="9219" width="15.625" style="2951" customWidth="1"/>
    <col min="9220" max="9220" width="9.375" style="2951" bestFit="1" customWidth="1"/>
    <col min="9221" max="9221" width="13.5" style="2951" customWidth="1"/>
    <col min="9222" max="9222" width="8.75" style="2951"/>
    <col min="9223" max="9223" width="9.375" style="2951" bestFit="1" customWidth="1"/>
    <col min="9224" max="9225" width="8.75" style="2951"/>
    <col min="9226" max="9226" width="9.375" style="2951" bestFit="1" customWidth="1"/>
    <col min="9227" max="9227" width="4" style="2951" customWidth="1"/>
    <col min="9228" max="9228" width="5.125" style="2951" customWidth="1"/>
    <col min="9229" max="9229" width="13.625" style="2951" customWidth="1"/>
    <col min="9230" max="9472" width="8.75" style="2951"/>
    <col min="9473" max="9473" width="4.75" style="2951" customWidth="1"/>
    <col min="9474" max="9474" width="13.125" style="2951" customWidth="1"/>
    <col min="9475" max="9475" width="15.625" style="2951" customWidth="1"/>
    <col min="9476" max="9476" width="9.375" style="2951" bestFit="1" customWidth="1"/>
    <col min="9477" max="9477" width="13.5" style="2951" customWidth="1"/>
    <col min="9478" max="9478" width="8.75" style="2951"/>
    <col min="9479" max="9479" width="9.375" style="2951" bestFit="1" customWidth="1"/>
    <col min="9480" max="9481" width="8.75" style="2951"/>
    <col min="9482" max="9482" width="9.375" style="2951" bestFit="1" customWidth="1"/>
    <col min="9483" max="9483" width="4" style="2951" customWidth="1"/>
    <col min="9484" max="9484" width="5.125" style="2951" customWidth="1"/>
    <col min="9485" max="9485" width="13.625" style="2951" customWidth="1"/>
    <col min="9486" max="9728" width="8.75" style="2951"/>
    <col min="9729" max="9729" width="4.75" style="2951" customWidth="1"/>
    <col min="9730" max="9730" width="13.125" style="2951" customWidth="1"/>
    <col min="9731" max="9731" width="15.625" style="2951" customWidth="1"/>
    <col min="9732" max="9732" width="9.375" style="2951" bestFit="1" customWidth="1"/>
    <col min="9733" max="9733" width="13.5" style="2951" customWidth="1"/>
    <col min="9734" max="9734" width="8.75" style="2951"/>
    <col min="9735" max="9735" width="9.375" style="2951" bestFit="1" customWidth="1"/>
    <col min="9736" max="9737" width="8.75" style="2951"/>
    <col min="9738" max="9738" width="9.375" style="2951" bestFit="1" customWidth="1"/>
    <col min="9739" max="9739" width="4" style="2951" customWidth="1"/>
    <col min="9740" max="9740" width="5.125" style="2951" customWidth="1"/>
    <col min="9741" max="9741" width="13.625" style="2951" customWidth="1"/>
    <col min="9742" max="9984" width="8.75" style="2951"/>
    <col min="9985" max="9985" width="4.75" style="2951" customWidth="1"/>
    <col min="9986" max="9986" width="13.125" style="2951" customWidth="1"/>
    <col min="9987" max="9987" width="15.625" style="2951" customWidth="1"/>
    <col min="9988" max="9988" width="9.375" style="2951" bestFit="1" customWidth="1"/>
    <col min="9989" max="9989" width="13.5" style="2951" customWidth="1"/>
    <col min="9990" max="9990" width="8.75" style="2951"/>
    <col min="9991" max="9991" width="9.375" style="2951" bestFit="1" customWidth="1"/>
    <col min="9992" max="9993" width="8.75" style="2951"/>
    <col min="9994" max="9994" width="9.375" style="2951" bestFit="1" customWidth="1"/>
    <col min="9995" max="9995" width="4" style="2951" customWidth="1"/>
    <col min="9996" max="9996" width="5.125" style="2951" customWidth="1"/>
    <col min="9997" max="9997" width="13.625" style="2951" customWidth="1"/>
    <col min="9998" max="10240" width="8.75" style="2951"/>
    <col min="10241" max="10241" width="4.75" style="2951" customWidth="1"/>
    <col min="10242" max="10242" width="13.125" style="2951" customWidth="1"/>
    <col min="10243" max="10243" width="15.625" style="2951" customWidth="1"/>
    <col min="10244" max="10244" width="9.375" style="2951" bestFit="1" customWidth="1"/>
    <col min="10245" max="10245" width="13.5" style="2951" customWidth="1"/>
    <col min="10246" max="10246" width="8.75" style="2951"/>
    <col min="10247" max="10247" width="9.375" style="2951" bestFit="1" customWidth="1"/>
    <col min="10248" max="10249" width="8.75" style="2951"/>
    <col min="10250" max="10250" width="9.375" style="2951" bestFit="1" customWidth="1"/>
    <col min="10251" max="10251" width="4" style="2951" customWidth="1"/>
    <col min="10252" max="10252" width="5.125" style="2951" customWidth="1"/>
    <col min="10253" max="10253" width="13.625" style="2951" customWidth="1"/>
    <col min="10254" max="10496" width="8.75" style="2951"/>
    <col min="10497" max="10497" width="4.75" style="2951" customWidth="1"/>
    <col min="10498" max="10498" width="13.125" style="2951" customWidth="1"/>
    <col min="10499" max="10499" width="15.625" style="2951" customWidth="1"/>
    <col min="10500" max="10500" width="9.375" style="2951" bestFit="1" customWidth="1"/>
    <col min="10501" max="10501" width="13.5" style="2951" customWidth="1"/>
    <col min="10502" max="10502" width="8.75" style="2951"/>
    <col min="10503" max="10503" width="9.375" style="2951" bestFit="1" customWidth="1"/>
    <col min="10504" max="10505" width="8.75" style="2951"/>
    <col min="10506" max="10506" width="9.375" style="2951" bestFit="1" customWidth="1"/>
    <col min="10507" max="10507" width="4" style="2951" customWidth="1"/>
    <col min="10508" max="10508" width="5.125" style="2951" customWidth="1"/>
    <col min="10509" max="10509" width="13.625" style="2951" customWidth="1"/>
    <col min="10510" max="10752" width="8.75" style="2951"/>
    <col min="10753" max="10753" width="4.75" style="2951" customWidth="1"/>
    <col min="10754" max="10754" width="13.125" style="2951" customWidth="1"/>
    <col min="10755" max="10755" width="15.625" style="2951" customWidth="1"/>
    <col min="10756" max="10756" width="9.375" style="2951" bestFit="1" customWidth="1"/>
    <col min="10757" max="10757" width="13.5" style="2951" customWidth="1"/>
    <col min="10758" max="10758" width="8.75" style="2951"/>
    <col min="10759" max="10759" width="9.375" style="2951" bestFit="1" customWidth="1"/>
    <col min="10760" max="10761" width="8.75" style="2951"/>
    <col min="10762" max="10762" width="9.375" style="2951" bestFit="1" customWidth="1"/>
    <col min="10763" max="10763" width="4" style="2951" customWidth="1"/>
    <col min="10764" max="10764" width="5.125" style="2951" customWidth="1"/>
    <col min="10765" max="10765" width="13.625" style="2951" customWidth="1"/>
    <col min="10766" max="11008" width="8.75" style="2951"/>
    <col min="11009" max="11009" width="4.75" style="2951" customWidth="1"/>
    <col min="11010" max="11010" width="13.125" style="2951" customWidth="1"/>
    <col min="11011" max="11011" width="15.625" style="2951" customWidth="1"/>
    <col min="11012" max="11012" width="9.375" style="2951" bestFit="1" customWidth="1"/>
    <col min="11013" max="11013" width="13.5" style="2951" customWidth="1"/>
    <col min="11014" max="11014" width="8.75" style="2951"/>
    <col min="11015" max="11015" width="9.375" style="2951" bestFit="1" customWidth="1"/>
    <col min="11016" max="11017" width="8.75" style="2951"/>
    <col min="11018" max="11018" width="9.375" style="2951" bestFit="1" customWidth="1"/>
    <col min="11019" max="11019" width="4" style="2951" customWidth="1"/>
    <col min="11020" max="11020" width="5.125" style="2951" customWidth="1"/>
    <col min="11021" max="11021" width="13.625" style="2951" customWidth="1"/>
    <col min="11022" max="11264" width="8.75" style="2951"/>
    <col min="11265" max="11265" width="4.75" style="2951" customWidth="1"/>
    <col min="11266" max="11266" width="13.125" style="2951" customWidth="1"/>
    <col min="11267" max="11267" width="15.625" style="2951" customWidth="1"/>
    <col min="11268" max="11268" width="9.375" style="2951" bestFit="1" customWidth="1"/>
    <col min="11269" max="11269" width="13.5" style="2951" customWidth="1"/>
    <col min="11270" max="11270" width="8.75" style="2951"/>
    <col min="11271" max="11271" width="9.375" style="2951" bestFit="1" customWidth="1"/>
    <col min="11272" max="11273" width="8.75" style="2951"/>
    <col min="11274" max="11274" width="9.375" style="2951" bestFit="1" customWidth="1"/>
    <col min="11275" max="11275" width="4" style="2951" customWidth="1"/>
    <col min="11276" max="11276" width="5.125" style="2951" customWidth="1"/>
    <col min="11277" max="11277" width="13.625" style="2951" customWidth="1"/>
    <col min="11278" max="11520" width="8.75" style="2951"/>
    <col min="11521" max="11521" width="4.75" style="2951" customWidth="1"/>
    <col min="11522" max="11522" width="13.125" style="2951" customWidth="1"/>
    <col min="11523" max="11523" width="15.625" style="2951" customWidth="1"/>
    <col min="11524" max="11524" width="9.375" style="2951" bestFit="1" customWidth="1"/>
    <col min="11525" max="11525" width="13.5" style="2951" customWidth="1"/>
    <col min="11526" max="11526" width="8.75" style="2951"/>
    <col min="11527" max="11527" width="9.375" style="2951" bestFit="1" customWidth="1"/>
    <col min="11528" max="11529" width="8.75" style="2951"/>
    <col min="11530" max="11530" width="9.375" style="2951" bestFit="1" customWidth="1"/>
    <col min="11531" max="11531" width="4" style="2951" customWidth="1"/>
    <col min="11532" max="11532" width="5.125" style="2951" customWidth="1"/>
    <col min="11533" max="11533" width="13.625" style="2951" customWidth="1"/>
    <col min="11534" max="11776" width="8.75" style="2951"/>
    <col min="11777" max="11777" width="4.75" style="2951" customWidth="1"/>
    <col min="11778" max="11778" width="13.125" style="2951" customWidth="1"/>
    <col min="11779" max="11779" width="15.625" style="2951" customWidth="1"/>
    <col min="11780" max="11780" width="9.375" style="2951" bestFit="1" customWidth="1"/>
    <col min="11781" max="11781" width="13.5" style="2951" customWidth="1"/>
    <col min="11782" max="11782" width="8.75" style="2951"/>
    <col min="11783" max="11783" width="9.375" style="2951" bestFit="1" customWidth="1"/>
    <col min="11784" max="11785" width="8.75" style="2951"/>
    <col min="11786" max="11786" width="9.375" style="2951" bestFit="1" customWidth="1"/>
    <col min="11787" max="11787" width="4" style="2951" customWidth="1"/>
    <col min="11788" max="11788" width="5.125" style="2951" customWidth="1"/>
    <col min="11789" max="11789" width="13.625" style="2951" customWidth="1"/>
    <col min="11790" max="12032" width="8.75" style="2951"/>
    <col min="12033" max="12033" width="4.75" style="2951" customWidth="1"/>
    <col min="12034" max="12034" width="13.125" style="2951" customWidth="1"/>
    <col min="12035" max="12035" width="15.625" style="2951" customWidth="1"/>
    <col min="12036" max="12036" width="9.375" style="2951" bestFit="1" customWidth="1"/>
    <col min="12037" max="12037" width="13.5" style="2951" customWidth="1"/>
    <col min="12038" max="12038" width="8.75" style="2951"/>
    <col min="12039" max="12039" width="9.375" style="2951" bestFit="1" customWidth="1"/>
    <col min="12040" max="12041" width="8.75" style="2951"/>
    <col min="12042" max="12042" width="9.375" style="2951" bestFit="1" customWidth="1"/>
    <col min="12043" max="12043" width="4" style="2951" customWidth="1"/>
    <col min="12044" max="12044" width="5.125" style="2951" customWidth="1"/>
    <col min="12045" max="12045" width="13.625" style="2951" customWidth="1"/>
    <col min="12046" max="12288" width="8.75" style="2951"/>
    <col min="12289" max="12289" width="4.75" style="2951" customWidth="1"/>
    <col min="12290" max="12290" width="13.125" style="2951" customWidth="1"/>
    <col min="12291" max="12291" width="15.625" style="2951" customWidth="1"/>
    <col min="12292" max="12292" width="9.375" style="2951" bestFit="1" customWidth="1"/>
    <col min="12293" max="12293" width="13.5" style="2951" customWidth="1"/>
    <col min="12294" max="12294" width="8.75" style="2951"/>
    <col min="12295" max="12295" width="9.375" style="2951" bestFit="1" customWidth="1"/>
    <col min="12296" max="12297" width="8.75" style="2951"/>
    <col min="12298" max="12298" width="9.375" style="2951" bestFit="1" customWidth="1"/>
    <col min="12299" max="12299" width="4" style="2951" customWidth="1"/>
    <col min="12300" max="12300" width="5.125" style="2951" customWidth="1"/>
    <col min="12301" max="12301" width="13.625" style="2951" customWidth="1"/>
    <col min="12302" max="12544" width="8.75" style="2951"/>
    <col min="12545" max="12545" width="4.75" style="2951" customWidth="1"/>
    <col min="12546" max="12546" width="13.125" style="2951" customWidth="1"/>
    <col min="12547" max="12547" width="15.625" style="2951" customWidth="1"/>
    <col min="12548" max="12548" width="9.375" style="2951" bestFit="1" customWidth="1"/>
    <col min="12549" max="12549" width="13.5" style="2951" customWidth="1"/>
    <col min="12550" max="12550" width="8.75" style="2951"/>
    <col min="12551" max="12551" width="9.375" style="2951" bestFit="1" customWidth="1"/>
    <col min="12552" max="12553" width="8.75" style="2951"/>
    <col min="12554" max="12554" width="9.375" style="2951" bestFit="1" customWidth="1"/>
    <col min="12555" max="12555" width="4" style="2951" customWidth="1"/>
    <col min="12556" max="12556" width="5.125" style="2951" customWidth="1"/>
    <col min="12557" max="12557" width="13.625" style="2951" customWidth="1"/>
    <col min="12558" max="12800" width="8.75" style="2951"/>
    <col min="12801" max="12801" width="4.75" style="2951" customWidth="1"/>
    <col min="12802" max="12802" width="13.125" style="2951" customWidth="1"/>
    <col min="12803" max="12803" width="15.625" style="2951" customWidth="1"/>
    <col min="12804" max="12804" width="9.375" style="2951" bestFit="1" customWidth="1"/>
    <col min="12805" max="12805" width="13.5" style="2951" customWidth="1"/>
    <col min="12806" max="12806" width="8.75" style="2951"/>
    <col min="12807" max="12807" width="9.375" style="2951" bestFit="1" customWidth="1"/>
    <col min="12808" max="12809" width="8.75" style="2951"/>
    <col min="12810" max="12810" width="9.375" style="2951" bestFit="1" customWidth="1"/>
    <col min="12811" max="12811" width="4" style="2951" customWidth="1"/>
    <col min="12812" max="12812" width="5.125" style="2951" customWidth="1"/>
    <col min="12813" max="12813" width="13.625" style="2951" customWidth="1"/>
    <col min="12814" max="13056" width="8.75" style="2951"/>
    <col min="13057" max="13057" width="4.75" style="2951" customWidth="1"/>
    <col min="13058" max="13058" width="13.125" style="2951" customWidth="1"/>
    <col min="13059" max="13059" width="15.625" style="2951" customWidth="1"/>
    <col min="13060" max="13060" width="9.375" style="2951" bestFit="1" customWidth="1"/>
    <col min="13061" max="13061" width="13.5" style="2951" customWidth="1"/>
    <col min="13062" max="13062" width="8.75" style="2951"/>
    <col min="13063" max="13063" width="9.375" style="2951" bestFit="1" customWidth="1"/>
    <col min="13064" max="13065" width="8.75" style="2951"/>
    <col min="13066" max="13066" width="9.375" style="2951" bestFit="1" customWidth="1"/>
    <col min="13067" max="13067" width="4" style="2951" customWidth="1"/>
    <col min="13068" max="13068" width="5.125" style="2951" customWidth="1"/>
    <col min="13069" max="13069" width="13.625" style="2951" customWidth="1"/>
    <col min="13070" max="13312" width="8.75" style="2951"/>
    <col min="13313" max="13313" width="4.75" style="2951" customWidth="1"/>
    <col min="13314" max="13314" width="13.125" style="2951" customWidth="1"/>
    <col min="13315" max="13315" width="15.625" style="2951" customWidth="1"/>
    <col min="13316" max="13316" width="9.375" style="2951" bestFit="1" customWidth="1"/>
    <col min="13317" max="13317" width="13.5" style="2951" customWidth="1"/>
    <col min="13318" max="13318" width="8.75" style="2951"/>
    <col min="13319" max="13319" width="9.375" style="2951" bestFit="1" customWidth="1"/>
    <col min="13320" max="13321" width="8.75" style="2951"/>
    <col min="13322" max="13322" width="9.375" style="2951" bestFit="1" customWidth="1"/>
    <col min="13323" max="13323" width="4" style="2951" customWidth="1"/>
    <col min="13324" max="13324" width="5.125" style="2951" customWidth="1"/>
    <col min="13325" max="13325" width="13.625" style="2951" customWidth="1"/>
    <col min="13326" max="13568" width="8.75" style="2951"/>
    <col min="13569" max="13569" width="4.75" style="2951" customWidth="1"/>
    <col min="13570" max="13570" width="13.125" style="2951" customWidth="1"/>
    <col min="13571" max="13571" width="15.625" style="2951" customWidth="1"/>
    <col min="13572" max="13572" width="9.375" style="2951" bestFit="1" customWidth="1"/>
    <col min="13573" max="13573" width="13.5" style="2951" customWidth="1"/>
    <col min="13574" max="13574" width="8.75" style="2951"/>
    <col min="13575" max="13575" width="9.375" style="2951" bestFit="1" customWidth="1"/>
    <col min="13576" max="13577" width="8.75" style="2951"/>
    <col min="13578" max="13578" width="9.375" style="2951" bestFit="1" customWidth="1"/>
    <col min="13579" max="13579" width="4" style="2951" customWidth="1"/>
    <col min="13580" max="13580" width="5.125" style="2951" customWidth="1"/>
    <col min="13581" max="13581" width="13.625" style="2951" customWidth="1"/>
    <col min="13582" max="13824" width="8.75" style="2951"/>
    <col min="13825" max="13825" width="4.75" style="2951" customWidth="1"/>
    <col min="13826" max="13826" width="13.125" style="2951" customWidth="1"/>
    <col min="13827" max="13827" width="15.625" style="2951" customWidth="1"/>
    <col min="13828" max="13828" width="9.375" style="2951" bestFit="1" customWidth="1"/>
    <col min="13829" max="13829" width="13.5" style="2951" customWidth="1"/>
    <col min="13830" max="13830" width="8.75" style="2951"/>
    <col min="13831" max="13831" width="9.375" style="2951" bestFit="1" customWidth="1"/>
    <col min="13832" max="13833" width="8.75" style="2951"/>
    <col min="13834" max="13834" width="9.375" style="2951" bestFit="1" customWidth="1"/>
    <col min="13835" max="13835" width="4" style="2951" customWidth="1"/>
    <col min="13836" max="13836" width="5.125" style="2951" customWidth="1"/>
    <col min="13837" max="13837" width="13.625" style="2951" customWidth="1"/>
    <col min="13838" max="14080" width="8.75" style="2951"/>
    <col min="14081" max="14081" width="4.75" style="2951" customWidth="1"/>
    <col min="14082" max="14082" width="13.125" style="2951" customWidth="1"/>
    <col min="14083" max="14083" width="15.625" style="2951" customWidth="1"/>
    <col min="14084" max="14084" width="9.375" style="2951" bestFit="1" customWidth="1"/>
    <col min="14085" max="14085" width="13.5" style="2951" customWidth="1"/>
    <col min="14086" max="14086" width="8.75" style="2951"/>
    <col min="14087" max="14087" width="9.375" style="2951" bestFit="1" customWidth="1"/>
    <col min="14088" max="14089" width="8.75" style="2951"/>
    <col min="14090" max="14090" width="9.375" style="2951" bestFit="1" customWidth="1"/>
    <col min="14091" max="14091" width="4" style="2951" customWidth="1"/>
    <col min="14092" max="14092" width="5.125" style="2951" customWidth="1"/>
    <col min="14093" max="14093" width="13.625" style="2951" customWidth="1"/>
    <col min="14094" max="14336" width="8.75" style="2951"/>
    <col min="14337" max="14337" width="4.75" style="2951" customWidth="1"/>
    <col min="14338" max="14338" width="13.125" style="2951" customWidth="1"/>
    <col min="14339" max="14339" width="15.625" style="2951" customWidth="1"/>
    <col min="14340" max="14340" width="9.375" style="2951" bestFit="1" customWidth="1"/>
    <col min="14341" max="14341" width="13.5" style="2951" customWidth="1"/>
    <col min="14342" max="14342" width="8.75" style="2951"/>
    <col min="14343" max="14343" width="9.375" style="2951" bestFit="1" customWidth="1"/>
    <col min="14344" max="14345" width="8.75" style="2951"/>
    <col min="14346" max="14346" width="9.375" style="2951" bestFit="1" customWidth="1"/>
    <col min="14347" max="14347" width="4" style="2951" customWidth="1"/>
    <col min="14348" max="14348" width="5.125" style="2951" customWidth="1"/>
    <col min="14349" max="14349" width="13.625" style="2951" customWidth="1"/>
    <col min="14350" max="14592" width="8.75" style="2951"/>
    <col min="14593" max="14593" width="4.75" style="2951" customWidth="1"/>
    <col min="14594" max="14594" width="13.125" style="2951" customWidth="1"/>
    <col min="14595" max="14595" width="15.625" style="2951" customWidth="1"/>
    <col min="14596" max="14596" width="9.375" style="2951" bestFit="1" customWidth="1"/>
    <col min="14597" max="14597" width="13.5" style="2951" customWidth="1"/>
    <col min="14598" max="14598" width="8.75" style="2951"/>
    <col min="14599" max="14599" width="9.375" style="2951" bestFit="1" customWidth="1"/>
    <col min="14600" max="14601" width="8.75" style="2951"/>
    <col min="14602" max="14602" width="9.375" style="2951" bestFit="1" customWidth="1"/>
    <col min="14603" max="14603" width="4" style="2951" customWidth="1"/>
    <col min="14604" max="14604" width="5.125" style="2951" customWidth="1"/>
    <col min="14605" max="14605" width="13.625" style="2951" customWidth="1"/>
    <col min="14606" max="14848" width="8.75" style="2951"/>
    <col min="14849" max="14849" width="4.75" style="2951" customWidth="1"/>
    <col min="14850" max="14850" width="13.125" style="2951" customWidth="1"/>
    <col min="14851" max="14851" width="15.625" style="2951" customWidth="1"/>
    <col min="14852" max="14852" width="9.375" style="2951" bestFit="1" customWidth="1"/>
    <col min="14853" max="14853" width="13.5" style="2951" customWidth="1"/>
    <col min="14854" max="14854" width="8.75" style="2951"/>
    <col min="14855" max="14855" width="9.375" style="2951" bestFit="1" customWidth="1"/>
    <col min="14856" max="14857" width="8.75" style="2951"/>
    <col min="14858" max="14858" width="9.375" style="2951" bestFit="1" customWidth="1"/>
    <col min="14859" max="14859" width="4" style="2951" customWidth="1"/>
    <col min="14860" max="14860" width="5.125" style="2951" customWidth="1"/>
    <col min="14861" max="14861" width="13.625" style="2951" customWidth="1"/>
    <col min="14862" max="15104" width="8.75" style="2951"/>
    <col min="15105" max="15105" width="4.75" style="2951" customWidth="1"/>
    <col min="15106" max="15106" width="13.125" style="2951" customWidth="1"/>
    <col min="15107" max="15107" width="15.625" style="2951" customWidth="1"/>
    <col min="15108" max="15108" width="9.375" style="2951" bestFit="1" customWidth="1"/>
    <col min="15109" max="15109" width="13.5" style="2951" customWidth="1"/>
    <col min="15110" max="15110" width="8.75" style="2951"/>
    <col min="15111" max="15111" width="9.375" style="2951" bestFit="1" customWidth="1"/>
    <col min="15112" max="15113" width="8.75" style="2951"/>
    <col min="15114" max="15114" width="9.375" style="2951" bestFit="1" customWidth="1"/>
    <col min="15115" max="15115" width="4" style="2951" customWidth="1"/>
    <col min="15116" max="15116" width="5.125" style="2951" customWidth="1"/>
    <col min="15117" max="15117" width="13.625" style="2951" customWidth="1"/>
    <col min="15118" max="15360" width="8.75" style="2951"/>
    <col min="15361" max="15361" width="4.75" style="2951" customWidth="1"/>
    <col min="15362" max="15362" width="13.125" style="2951" customWidth="1"/>
    <col min="15363" max="15363" width="15.625" style="2951" customWidth="1"/>
    <col min="15364" max="15364" width="9.375" style="2951" bestFit="1" customWidth="1"/>
    <col min="15365" max="15365" width="13.5" style="2951" customWidth="1"/>
    <col min="15366" max="15366" width="8.75" style="2951"/>
    <col min="15367" max="15367" width="9.375" style="2951" bestFit="1" customWidth="1"/>
    <col min="15368" max="15369" width="8.75" style="2951"/>
    <col min="15370" max="15370" width="9.375" style="2951" bestFit="1" customWidth="1"/>
    <col min="15371" max="15371" width="4" style="2951" customWidth="1"/>
    <col min="15372" max="15372" width="5.125" style="2951" customWidth="1"/>
    <col min="15373" max="15373" width="13.625" style="2951" customWidth="1"/>
    <col min="15374" max="15616" width="8.75" style="2951"/>
    <col min="15617" max="15617" width="4.75" style="2951" customWidth="1"/>
    <col min="15618" max="15618" width="13.125" style="2951" customWidth="1"/>
    <col min="15619" max="15619" width="15.625" style="2951" customWidth="1"/>
    <col min="15620" max="15620" width="9.375" style="2951" bestFit="1" customWidth="1"/>
    <col min="15621" max="15621" width="13.5" style="2951" customWidth="1"/>
    <col min="15622" max="15622" width="8.75" style="2951"/>
    <col min="15623" max="15623" width="9.375" style="2951" bestFit="1" customWidth="1"/>
    <col min="15624" max="15625" width="8.75" style="2951"/>
    <col min="15626" max="15626" width="9.375" style="2951" bestFit="1" customWidth="1"/>
    <col min="15627" max="15627" width="4" style="2951" customWidth="1"/>
    <col min="15628" max="15628" width="5.125" style="2951" customWidth="1"/>
    <col min="15629" max="15629" width="13.625" style="2951" customWidth="1"/>
    <col min="15630" max="15872" width="8.75" style="2951"/>
    <col min="15873" max="15873" width="4.75" style="2951" customWidth="1"/>
    <col min="15874" max="15874" width="13.125" style="2951" customWidth="1"/>
    <col min="15875" max="15875" width="15.625" style="2951" customWidth="1"/>
    <col min="15876" max="15876" width="9.375" style="2951" bestFit="1" customWidth="1"/>
    <col min="15877" max="15877" width="13.5" style="2951" customWidth="1"/>
    <col min="15878" max="15878" width="8.75" style="2951"/>
    <col min="15879" max="15879" width="9.375" style="2951" bestFit="1" customWidth="1"/>
    <col min="15880" max="15881" width="8.75" style="2951"/>
    <col min="15882" max="15882" width="9.375" style="2951" bestFit="1" customWidth="1"/>
    <col min="15883" max="15883" width="4" style="2951" customWidth="1"/>
    <col min="15884" max="15884" width="5.125" style="2951" customWidth="1"/>
    <col min="15885" max="15885" width="13.625" style="2951" customWidth="1"/>
    <col min="15886" max="16128" width="8.75" style="2951"/>
    <col min="16129" max="16129" width="4.75" style="2951" customWidth="1"/>
    <col min="16130" max="16130" width="13.125" style="2951" customWidth="1"/>
    <col min="16131" max="16131" width="15.625" style="2951" customWidth="1"/>
    <col min="16132" max="16132" width="9.375" style="2951" bestFit="1" customWidth="1"/>
    <col min="16133" max="16133" width="13.5" style="2951" customWidth="1"/>
    <col min="16134" max="16134" width="8.75" style="2951"/>
    <col min="16135" max="16135" width="9.375" style="2951" bestFit="1" customWidth="1"/>
    <col min="16136" max="16137" width="8.75" style="2951"/>
    <col min="16138" max="16138" width="9.375" style="2951" bestFit="1" customWidth="1"/>
    <col min="16139" max="16139" width="4" style="2951" customWidth="1"/>
    <col min="16140" max="16140" width="5.125" style="2951" customWidth="1"/>
    <col min="16141" max="16141" width="13.625" style="2951" customWidth="1"/>
    <col min="16142" max="16384" width="8.75" style="2951"/>
  </cols>
  <sheetData>
    <row r="1" spans="1:257" s="3011" customFormat="1" ht="14.25"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301" t="s">
        <v>2039</v>
      </c>
      <c r="B1" s="3301"/>
      <c r="C1" s="3301"/>
      <c r="D1" s="3301"/>
      <c r="E1" s="3301"/>
      <c r="F1" s="3301"/>
      <c r="G1" s="3301"/>
      <c r="H1" s="3301"/>
      <c r="I1" s="3301"/>
      <c r="J1" s="3301"/>
      <c r="K1" s="3301"/>
      <c r="L1" s="3301"/>
      <c r="M1" s="3301"/>
      <c r="N1" s="3301"/>
      <c r="O1" s="3301"/>
      <c r="P1" s="3301"/>
      <c r="Q1" s="3301"/>
      <c r="R1" s="3301"/>
    </row>
    <row r="2" spans="1:18">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2" t="s">
        <v>2030</v>
      </c>
      <c r="B3" s="3302" t="s">
        <v>2731</v>
      </c>
      <c r="C3" s="3303" t="s">
        <v>2031</v>
      </c>
      <c r="D3" s="3302" t="s">
        <v>2735</v>
      </c>
      <c r="E3" s="3297" t="s">
        <v>2032</v>
      </c>
      <c r="F3" s="3297"/>
      <c r="G3" s="3297"/>
      <c r="H3" s="3297" t="s">
        <v>2033</v>
      </c>
      <c r="I3" s="3297"/>
      <c r="J3" s="3297"/>
      <c r="K3" s="3303" t="s">
        <v>2034</v>
      </c>
      <c r="L3" s="3303" t="s">
        <v>2035</v>
      </c>
      <c r="M3" s="3302" t="s">
        <v>2732</v>
      </c>
      <c r="N3" s="3304" t="str">
        <f>"（分摊）"&amp;项目基本情况!B16&amp;"国有建设用地使用权面积/㎡"</f>
        <v>（分摊）出让国有建设用地使用权面积/㎡</v>
      </c>
      <c r="O3" s="3302" t="s">
        <v>2064</v>
      </c>
      <c r="P3" s="3303" t="s">
        <v>2044</v>
      </c>
      <c r="Q3" s="3303" t="s">
        <v>2065</v>
      </c>
      <c r="R3" s="3303" t="s">
        <v>2036</v>
      </c>
    </row>
    <row r="4" spans="1:18" ht="36.75" customHeight="1">
      <c r="A4" s="3302"/>
      <c r="B4" s="3302"/>
      <c r="C4" s="3303"/>
      <c r="D4" s="3302"/>
      <c r="E4" s="2661" t="s">
        <v>2043</v>
      </c>
      <c r="F4" s="2661" t="s">
        <v>2744</v>
      </c>
      <c r="G4" s="2661" t="s">
        <v>2037</v>
      </c>
      <c r="H4" s="2661" t="s">
        <v>2038</v>
      </c>
      <c r="I4" s="2661" t="s">
        <v>2745</v>
      </c>
      <c r="J4" s="2661" t="s">
        <v>2037</v>
      </c>
      <c r="K4" s="3303"/>
      <c r="L4" s="3303"/>
      <c r="M4" s="3302"/>
      <c r="N4" s="3304"/>
      <c r="O4" s="3302"/>
      <c r="P4" s="3303"/>
      <c r="Q4" s="3303"/>
      <c r="R4" s="3303"/>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800">
        <f ca="1">结果表!O39</f>
        <v>887821</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00"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800">
        <f ca="1">结果表!O41</f>
        <v>858492</v>
      </c>
    </row>
    <row r="9" spans="1:18">
      <c r="A9" s="1801" t="s">
        <v>2042</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90" customWidth="1"/>
    <col min="2" max="3" width="21.375" style="1790" customWidth="1"/>
    <col min="4" max="4" width="19.75" style="1790" customWidth="1"/>
    <col min="5" max="16384" width="9" style="1790"/>
  </cols>
  <sheetData>
    <row r="1" spans="1:4">
      <c r="A1" s="3306" t="s">
        <v>2066</v>
      </c>
      <c r="B1" s="3306"/>
      <c r="C1" s="3306"/>
      <c r="D1" s="3306"/>
    </row>
    <row r="2" spans="1:4" ht="47.25" customHeight="1">
      <c r="A2" s="3307" t="str">
        <f>"1.权利限制："&amp;项目基本情况!L24&amp;"未设定租赁等其他他项权利。"</f>
        <v>1.权利限制：根据估价对象《不动产权证书》复印件、《国有土地使用权》——，截至估价期日，估价对象抵押权未见登记。未设定租赁等其他他项权利。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2067</v>
      </c>
      <c r="B5" s="3305"/>
      <c r="C5" s="3305"/>
      <c r="D5" s="3305"/>
    </row>
    <row r="6" spans="1:4">
      <c r="A6" s="3306" t="s">
        <v>2045</v>
      </c>
      <c r="B6" s="3306"/>
      <c r="C6" s="3306"/>
      <c r="D6" s="3306"/>
    </row>
    <row r="7" spans="1:4" ht="33" customHeight="1">
      <c r="A7" s="3306" t="s">
        <v>2576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（1）根据估价对象《不动产权证书》复印件、《国有土地使用权》——，截至估价期日，估价对象抵押权未见登记。</v>
      </c>
      <c r="B11" s="3308"/>
      <c r="C11" s="3308"/>
      <c r="D11" s="3308"/>
    </row>
    <row r="12" spans="1:4" ht="168" customHeight="1">
      <c r="A12" s="3305" t="s">
        <v>2069</v>
      </c>
      <c r="B12" s="3305"/>
      <c r="C12" s="3305"/>
      <c r="D12" s="3305"/>
    </row>
    <row r="13" spans="1:4">
      <c r="A13" s="3309" t="s">
        <v>2746</v>
      </c>
      <c r="B13" s="3309"/>
      <c r="C13" s="3309"/>
      <c r="D13" s="3309"/>
    </row>
    <row r="14" spans="1:4">
      <c r="A14" s="3308" t="str">
        <f>IF(项目基本情况!B8="抵押","综上，"&amp;结果表!K47,"——")</f>
        <v>综上，本次评估估价师知悉的法定优先受偿款为人民币20213万元整。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2702</v>
      </c>
      <c r="B17" s="3306"/>
      <c r="C17" s="3306"/>
      <c r="D17" s="3306"/>
    </row>
    <row r="18" spans="1:4">
      <c r="A18" s="3306" t="s">
        <v>2694</v>
      </c>
      <c r="B18" s="3306"/>
      <c r="C18" s="3306"/>
      <c r="D18" s="3306"/>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6" t="s">
        <v>2699</v>
      </c>
      <c r="B23" s="3306"/>
      <c r="C23" s="3306"/>
      <c r="D23" s="3306"/>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317" t="s">
        <v>53</v>
      </c>
      <c r="B15" s="3318" t="s">
        <v>845</v>
      </c>
      <c r="C15" s="3314"/>
    </row>
    <row r="16" spans="1:7" ht="14.25">
      <c r="A16" s="3317"/>
      <c r="B16" s="3315" t="s">
        <v>54</v>
      </c>
      <c r="C16" s="1164" t="s">
        <v>53</v>
      </c>
    </row>
    <row r="17" spans="1:3" ht="14.25">
      <c r="A17" s="3317"/>
      <c r="B17" s="3315"/>
      <c r="C17" s="1164" t="s">
        <v>55</v>
      </c>
    </row>
    <row r="18" spans="1:3" ht="14.25">
      <c r="A18" s="3317"/>
      <c r="B18" s="3315"/>
      <c r="C18" s="1164" t="s">
        <v>56</v>
      </c>
    </row>
    <row r="19" spans="1:3" ht="14.25">
      <c r="A19" s="3317"/>
      <c r="B19" s="3313" t="s">
        <v>57</v>
      </c>
      <c r="C19" s="3314"/>
    </row>
    <row r="20" spans="1:3" ht="14.25">
      <c r="A20" s="1165" t="s">
        <v>58</v>
      </c>
      <c r="B20" s="1166"/>
      <c r="C20" s="116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68" t="s">
        <v>836</v>
      </c>
    </row>
    <row r="25" spans="1:3" ht="14.25">
      <c r="A25" s="3316"/>
      <c r="B25" s="3320"/>
      <c r="C25" s="1168" t="s">
        <v>837</v>
      </c>
    </row>
    <row r="26" spans="1:3" ht="14.25">
      <c r="A26" s="3316"/>
      <c r="B26" s="3320"/>
      <c r="C26" s="1168" t="s">
        <v>838</v>
      </c>
    </row>
    <row r="27" spans="1:3" ht="14.25">
      <c r="A27" s="3316"/>
      <c r="B27" s="3320"/>
      <c r="C27" s="1168" t="s">
        <v>839</v>
      </c>
    </row>
    <row r="28" spans="1:3" ht="14.25">
      <c r="A28" s="3316"/>
      <c r="B28" s="3320"/>
      <c r="C28" s="1168" t="s">
        <v>840</v>
      </c>
    </row>
    <row r="29" spans="1:3" ht="14.25">
      <c r="A29" s="3316"/>
      <c r="B29" s="3320"/>
      <c r="C29" s="1168" t="s">
        <v>841</v>
      </c>
    </row>
    <row r="30" spans="1:3" ht="14.25">
      <c r="A30" s="3316"/>
      <c r="B30" s="3320"/>
      <c r="C30" s="1168" t="s">
        <v>842</v>
      </c>
    </row>
    <row r="31" spans="1:3" ht="14.25">
      <c r="A31" s="3316"/>
      <c r="B31" s="3320"/>
      <c r="C31" s="1168" t="s">
        <v>843</v>
      </c>
    </row>
    <row r="32" spans="1:3" ht="14.25">
      <c r="A32" s="3316"/>
      <c r="B32" s="3320"/>
      <c r="C32" s="1168" t="s">
        <v>1646</v>
      </c>
    </row>
    <row r="33" spans="1:3" ht="14.25">
      <c r="A33" s="3316"/>
      <c r="B33" s="3310" t="s">
        <v>1652</v>
      </c>
      <c r="C33" s="1168" t="s">
        <v>1647</v>
      </c>
    </row>
    <row r="34" spans="1:3" ht="14.25">
      <c r="A34" s="3316"/>
      <c r="B34" s="3311"/>
      <c r="C34" s="1173" t="s">
        <v>1648</v>
      </c>
    </row>
    <row r="35" spans="1:3" ht="14.25">
      <c r="A35" s="3316"/>
      <c r="B35" s="3311"/>
      <c r="C35" s="1174" t="s">
        <v>1649</v>
      </c>
    </row>
    <row r="36" spans="1:3" ht="14.25">
      <c r="A36" s="3316"/>
      <c r="B36" s="3311"/>
      <c r="C36" s="1174" t="s">
        <v>1650</v>
      </c>
    </row>
    <row r="37" spans="1:3" ht="14.25">
      <c r="A37" s="3316"/>
      <c r="B37" s="3312"/>
      <c r="C37" s="1175" t="s">
        <v>1651</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625" style="2329" customWidth="1"/>
    <col min="2" max="5" width="22.625" style="2329"/>
    <col min="6" max="6" width="25.625" style="2329" customWidth="1"/>
    <col min="7" max="16384" width="22.625" style="2329"/>
  </cols>
  <sheetData>
    <row r="2" spans="1:6" ht="20.25" customHeight="1">
      <c r="A2" s="2326" t="s">
        <v>1907</v>
      </c>
      <c r="B2" s="1645">
        <f ca="1">TODAY()</f>
        <v>43286</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4.25"/>
  <cols>
    <col min="1" max="1" width="10.375" style="1177" customWidth="1"/>
    <col min="2" max="2" width="18.75" style="1155"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125" style="1155" customWidth="1"/>
    <col min="26" max="16384" width="9" style="1155"/>
  </cols>
  <sheetData>
    <row r="1" spans="1:23" s="1176" customFormat="1" ht="27">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13" t="s">
        <v>2953</v>
      </c>
      <c r="C18" s="1542"/>
    </row>
    <row r="19" spans="1:3">
      <c r="A19" s="8" t="s">
        <v>120</v>
      </c>
      <c r="B19" s="3113" t="s">
        <v>2961</v>
      </c>
      <c r="C19" s="1542"/>
    </row>
    <row r="20" spans="1:3">
      <c r="A20" s="8" t="s">
        <v>121</v>
      </c>
      <c r="B20" s="8" t="s">
        <v>2997</v>
      </c>
      <c r="C20" s="1542"/>
    </row>
    <row r="21" spans="1:3">
      <c r="A21" s="8" t="s">
        <v>122</v>
      </c>
      <c r="B21" s="8" t="s">
        <v>2998</v>
      </c>
      <c r="C21" s="1542"/>
    </row>
    <row r="22" spans="1:3">
      <c r="A22" s="8" t="s">
        <v>123</v>
      </c>
      <c r="B22" s="8" t="s">
        <v>3150</v>
      </c>
      <c r="C22" s="1542"/>
    </row>
    <row r="23" spans="1:3">
      <c r="A23" s="8" t="s">
        <v>124</v>
      </c>
      <c r="B23" s="8" t="s">
        <v>3401</v>
      </c>
      <c r="C23" s="1542"/>
    </row>
    <row r="24" spans="1:3">
      <c r="A24" s="8" t="s">
        <v>12</v>
      </c>
      <c r="B24" s="8" t="s">
        <v>3487</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各地块面积指标</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2018-07-05T03:30:53Z</dcterms:modified>
</cp:coreProperties>
</file>