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externalLinks/externalLink7.xml" ContentType="application/vnd.openxmlformats-officedocument.spreadsheetml.externalLink+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externalLinks/externalLink5.xml" ContentType="application/vnd.openxmlformats-officedocument.spreadsheetml.externalLink+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externalLinks/externalLink3.xml" ContentType="application/vnd.openxmlformats-officedocument.spreadsheetml.externalLink+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Override PartName="/xl/comments14.xml" ContentType="application/vnd.openxmlformats-officedocument.spreadsheetml.comments+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externalLinks/externalLink8.xml" ContentType="application/vnd.openxmlformats-officedocument.spreadsheetml.externalLink+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externalLinks/externalLink6.xml" ContentType="application/vnd.openxmlformats-officedocument.spreadsheetml.externalLink+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3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r:id="rId17"/>
    <sheet name="成本法" sheetId="11" r:id="rId18"/>
    <sheet name="假设开发法" sheetId="12" state="hidden"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出售案例" sheetId="63" r:id="rId38"/>
    <sheet name="出租案例" sheetId="64" r:id="rId39"/>
    <sheet name="9套结报表" sheetId="65"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11" i="65"/>
  <c r="D10" l="1"/>
  <c r="D9" l="1"/>
  <c r="D8" l="1"/>
  <c r="D7" l="1"/>
  <c r="D6" l="1"/>
  <c r="D5" l="1"/>
  <c r="D4" l="1"/>
  <c r="D5" i="9" l="1"/>
  <c r="B41" i="1"/>
  <c r="D29" i="43"/>
  <c r="I24" i="1"/>
  <c r="L23"/>
  <c r="K24" s="1"/>
  <c r="I17"/>
  <c r="N22" l="1"/>
  <c r="E20" s="1"/>
  <c r="AH5" i="59"/>
  <c r="AG5"/>
  <c r="AE5"/>
  <c r="AF5" s="1"/>
  <c r="AD5"/>
  <c r="Q5"/>
  <c r="P5"/>
  <c r="O5"/>
  <c r="N5"/>
  <c r="L3" l="1"/>
  <c r="AH3" s="1"/>
  <c r="K3"/>
  <c r="J3"/>
  <c r="I3"/>
  <c r="AD3" s="1"/>
  <c r="AH6"/>
  <c r="AG6"/>
  <c r="AE6"/>
  <c r="AF6" s="1"/>
  <c r="AD6"/>
  <c r="Q6"/>
  <c r="Q7"/>
  <c r="P6"/>
  <c r="P7"/>
  <c r="O6"/>
  <c r="O7"/>
  <c r="N6"/>
  <c r="N7"/>
  <c r="N8"/>
  <c r="O8"/>
  <c r="P8"/>
  <c r="Q8"/>
  <c r="AD7"/>
  <c r="AE7"/>
  <c r="AF7"/>
  <c r="AG7"/>
  <c r="AH7"/>
  <c r="M48" i="15"/>
  <c r="B2" i="1"/>
  <c r="F30" s="1"/>
  <c r="B23"/>
  <c r="B13"/>
  <c r="L49" i="15" s="1"/>
  <c r="J50"/>
  <c r="J51"/>
  <c r="J52" s="1"/>
  <c r="B25" i="1"/>
  <c r="AH8" i="59"/>
  <c r="AG8"/>
  <c r="AE8"/>
  <c r="AF8" s="1"/>
  <c r="AD8"/>
  <c r="AH9"/>
  <c r="AG9"/>
  <c r="AE9"/>
  <c r="AF9" s="1"/>
  <c r="AD9"/>
  <c r="Q9"/>
  <c r="P9"/>
  <c r="O9"/>
  <c r="N9"/>
  <c r="Q10"/>
  <c r="P10"/>
  <c r="O10"/>
  <c r="N10"/>
  <c r="D10"/>
  <c r="E9"/>
  <c r="E8" s="1"/>
  <c r="E7" s="1"/>
  <c r="E6" s="1"/>
  <c r="E5" s="1"/>
  <c r="U9"/>
  <c r="F9"/>
  <c r="F8" s="1"/>
  <c r="F7" s="1"/>
  <c r="C9"/>
  <c r="C8" s="1"/>
  <c r="B9"/>
  <c r="B8" s="1"/>
  <c r="B7" s="1"/>
  <c r="A2" i="50"/>
  <c r="B16" i="60" s="1"/>
  <c r="V9" i="59"/>
  <c r="K60" i="15"/>
  <c r="P59" s="1"/>
  <c r="A132" i="57"/>
  <c r="A130"/>
  <c r="A128"/>
  <c r="A126"/>
  <c r="A129" i="9"/>
  <c r="A127"/>
  <c r="A125"/>
  <c r="A8" i="52" s="1"/>
  <c r="B65" i="60" s="1"/>
  <c r="A123" i="9"/>
  <c r="A16" i="54"/>
  <c r="A14"/>
  <c r="A19" i="55"/>
  <c r="B49" i="60" s="1"/>
  <c r="A13" i="55"/>
  <c r="A1" i="52"/>
  <c r="A4" i="50"/>
  <c r="P11" i="59"/>
  <c r="O11"/>
  <c r="N11"/>
  <c r="Q11"/>
  <c r="C76" i="9"/>
  <c r="C77" i="57"/>
  <c r="J56"/>
  <c r="K55" i="9"/>
  <c r="J55"/>
  <c r="J57" s="1"/>
  <c r="J59" s="1"/>
  <c r="J61" s="1"/>
  <c r="I6" i="4"/>
  <c r="K56" i="9"/>
  <c r="J57" i="57"/>
  <c r="J58"/>
  <c r="J60" s="1"/>
  <c r="J62" s="1"/>
  <c r="N57"/>
  <c r="K57"/>
  <c r="N56" i="9"/>
  <c r="J56"/>
  <c r="E15" i="62"/>
  <c r="F15"/>
  <c r="E16"/>
  <c r="F16"/>
  <c r="E17"/>
  <c r="F17"/>
  <c r="E18"/>
  <c r="F18"/>
  <c r="E19"/>
  <c r="F19"/>
  <c r="E20"/>
  <c r="F20"/>
  <c r="E21"/>
  <c r="F21"/>
  <c r="E22"/>
  <c r="F22"/>
  <c r="E23"/>
  <c r="F23"/>
  <c r="C14"/>
  <c r="B2" s="1"/>
  <c r="B14"/>
  <c r="B1" s="1"/>
  <c r="B3"/>
  <c r="O12" i="59"/>
  <c r="P12"/>
  <c r="Q12"/>
  <c r="N12"/>
  <c r="AE3"/>
  <c r="AF3" s="1"/>
  <c r="AG3"/>
  <c r="AD10"/>
  <c r="AE10"/>
  <c r="AF10" s="1"/>
  <c r="AG10"/>
  <c r="AH10"/>
  <c r="AD11"/>
  <c r="AE11"/>
  <c r="AF11"/>
  <c r="AG11"/>
  <c r="AH11"/>
  <c r="AD12"/>
  <c r="AE12"/>
  <c r="AF12" s="1"/>
  <c r="AG12"/>
  <c r="AH12"/>
  <c r="AD13"/>
  <c r="AE13"/>
  <c r="AF13"/>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D21"/>
  <c r="AE21"/>
  <c r="AF21"/>
  <c r="AG21"/>
  <c r="AH21"/>
  <c r="AD22"/>
  <c r="AE22"/>
  <c r="AF22" s="1"/>
  <c r="AG22"/>
  <c r="AH22"/>
  <c r="AD23"/>
  <c r="AE23"/>
  <c r="AF23"/>
  <c r="AG23"/>
  <c r="AH23"/>
  <c r="AH24"/>
  <c r="AG24"/>
  <c r="AE24"/>
  <c r="AD24"/>
  <c r="AF24"/>
  <c r="AD25"/>
  <c r="AE25"/>
  <c r="AF25"/>
  <c r="AG25"/>
  <c r="AH25"/>
  <c r="S5" i="31"/>
  <c r="M5"/>
  <c r="N5"/>
  <c r="O5"/>
  <c r="P5"/>
  <c r="Q5"/>
  <c r="R5"/>
  <c r="C1" i="61"/>
  <c r="L1" s="1"/>
  <c r="J1"/>
  <c r="B68" i="60"/>
  <c r="D28" i="57"/>
  <c r="D29"/>
  <c r="D28" i="9"/>
  <c r="D29"/>
  <c r="A6" i="52"/>
  <c r="B64" i="60" s="1"/>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F112"/>
  <c r="B45" i="50"/>
  <c r="B59" i="60" s="1"/>
  <c r="D2" i="52"/>
  <c r="B60" i="60"/>
  <c r="B18" i="50"/>
  <c r="B39"/>
  <c r="B15"/>
  <c r="B36"/>
  <c r="B10"/>
  <c r="B31"/>
  <c r="C6"/>
  <c r="A13" i="54"/>
  <c r="B51" i="60"/>
  <c r="B50"/>
  <c r="B47"/>
  <c r="B18"/>
  <c r="B51" i="10"/>
  <c r="A18" i="55"/>
  <c r="B48" i="60" s="1"/>
  <c r="A15" i="55"/>
  <c r="B45" i="60" s="1"/>
  <c r="A14" i="55"/>
  <c r="B44" i="60" s="1"/>
  <c r="B43"/>
  <c r="C10" i="50"/>
  <c r="C7"/>
  <c r="C15" s="1"/>
  <c r="C18"/>
  <c r="B20" i="60"/>
  <c r="C35" i="50"/>
  <c r="C34"/>
  <c r="C33"/>
  <c r="B13" i="60"/>
  <c r="C42" i="50"/>
  <c r="C36"/>
  <c r="C39"/>
  <c r="I19" i="43"/>
  <c r="A135" i="57"/>
  <c r="F118"/>
  <c r="D74" i="59"/>
  <c r="F73"/>
  <c r="F72" s="1"/>
  <c r="F71" s="1"/>
  <c r="E73"/>
  <c r="E72"/>
  <c r="E71" s="1"/>
  <c r="C73"/>
  <c r="D73" s="1"/>
  <c r="B73"/>
  <c r="B72" s="1"/>
  <c r="B71"/>
  <c r="D70"/>
  <c r="F69"/>
  <c r="F68" s="1"/>
  <c r="F67" s="1"/>
  <c r="E69"/>
  <c r="E68"/>
  <c r="E67" s="1"/>
  <c r="C69"/>
  <c r="D69" s="1"/>
  <c r="B69"/>
  <c r="B68" s="1"/>
  <c r="B67"/>
  <c r="D66"/>
  <c r="S65"/>
  <c r="Q65"/>
  <c r="P65"/>
  <c r="O65"/>
  <c r="N65"/>
  <c r="F65"/>
  <c r="V65"/>
  <c r="E65"/>
  <c r="U65"/>
  <c r="C65"/>
  <c r="T65"/>
  <c r="B65"/>
  <c r="Q64"/>
  <c r="P64"/>
  <c r="O64"/>
  <c r="N64"/>
  <c r="F64"/>
  <c r="F63" s="1"/>
  <c r="B64"/>
  <c r="B63" s="1"/>
  <c r="Q63"/>
  <c r="P63"/>
  <c r="O63"/>
  <c r="N63"/>
  <c r="Q62"/>
  <c r="P62"/>
  <c r="O62"/>
  <c r="N62"/>
  <c r="D62"/>
  <c r="Q61"/>
  <c r="P61"/>
  <c r="O61"/>
  <c r="N61"/>
  <c r="F61"/>
  <c r="E61"/>
  <c r="U61" s="1"/>
  <c r="C61"/>
  <c r="T61" s="1"/>
  <c r="B61"/>
  <c r="Q60"/>
  <c r="P60"/>
  <c r="O60"/>
  <c r="N60"/>
  <c r="Q59"/>
  <c r="P59"/>
  <c r="O59"/>
  <c r="N59"/>
  <c r="Q58"/>
  <c r="P58"/>
  <c r="O58"/>
  <c r="N58"/>
  <c r="D58"/>
  <c r="S57"/>
  <c r="Q57"/>
  <c r="P57"/>
  <c r="O57"/>
  <c r="N57"/>
  <c r="F57"/>
  <c r="V57"/>
  <c r="E57"/>
  <c r="C57"/>
  <c r="T57" s="1"/>
  <c r="B57"/>
  <c r="Q56"/>
  <c r="P56"/>
  <c r="O56"/>
  <c r="N56"/>
  <c r="F56"/>
  <c r="F55" s="1"/>
  <c r="B56"/>
  <c r="B55" s="1"/>
  <c r="Q55"/>
  <c r="P55"/>
  <c r="O55"/>
  <c r="N55"/>
  <c r="Q54"/>
  <c r="P54"/>
  <c r="O54"/>
  <c r="N54"/>
  <c r="D54"/>
  <c r="S53"/>
  <c r="N53"/>
  <c r="F53"/>
  <c r="V53"/>
  <c r="E53"/>
  <c r="U53" s="1"/>
  <c r="E52"/>
  <c r="P52" s="1"/>
  <c r="C53"/>
  <c r="B53"/>
  <c r="F52"/>
  <c r="F51" s="1"/>
  <c r="Q51"/>
  <c r="B52"/>
  <c r="E51"/>
  <c r="P50" s="1"/>
  <c r="D50"/>
  <c r="Q49"/>
  <c r="P49"/>
  <c r="O49"/>
  <c r="N49"/>
  <c r="Q48"/>
  <c r="P48"/>
  <c r="O48"/>
  <c r="N48"/>
  <c r="Q47"/>
  <c r="P47"/>
  <c r="O47"/>
  <c r="N47"/>
  <c r="Q46"/>
  <c r="F47" s="1"/>
  <c r="F48" s="1"/>
  <c r="F49" s="1"/>
  <c r="V49" s="1"/>
  <c r="P46"/>
  <c r="E47" s="1"/>
  <c r="E48" s="1"/>
  <c r="E49" s="1"/>
  <c r="U49" s="1"/>
  <c r="O46"/>
  <c r="C47" s="1"/>
  <c r="N46"/>
  <c r="B47" s="1"/>
  <c r="B48" s="1"/>
  <c r="B49" s="1"/>
  <c r="S49" s="1"/>
  <c r="D46"/>
  <c r="Q45"/>
  <c r="P45"/>
  <c r="O45"/>
  <c r="N45"/>
  <c r="Q44"/>
  <c r="P44"/>
  <c r="O44"/>
  <c r="N44"/>
  <c r="Q43"/>
  <c r="P43"/>
  <c r="O43"/>
  <c r="N43"/>
  <c r="Q42"/>
  <c r="F43"/>
  <c r="F44" s="1"/>
  <c r="F45" s="1"/>
  <c r="V45" s="1"/>
  <c r="P42"/>
  <c r="E43" s="1"/>
  <c r="E44" s="1"/>
  <c r="E45" s="1"/>
  <c r="U45" s="1"/>
  <c r="O42"/>
  <c r="C43" s="1"/>
  <c r="N42"/>
  <c r="B43"/>
  <c r="B44" s="1"/>
  <c r="B45" s="1"/>
  <c r="S45" s="1"/>
  <c r="D42"/>
  <c r="Q41"/>
  <c r="P41"/>
  <c r="O41"/>
  <c r="N41"/>
  <c r="Q40"/>
  <c r="P40"/>
  <c r="O40"/>
  <c r="N40"/>
  <c r="Q39"/>
  <c r="P39"/>
  <c r="O39"/>
  <c r="N39"/>
  <c r="Q38"/>
  <c r="F39" s="1"/>
  <c r="F40" s="1"/>
  <c r="F41" s="1"/>
  <c r="V41" s="1"/>
  <c r="P38"/>
  <c r="E39" s="1"/>
  <c r="E40" s="1"/>
  <c r="E41" s="1"/>
  <c r="U41" s="1"/>
  <c r="O38"/>
  <c r="C39" s="1"/>
  <c r="N38"/>
  <c r="B39" s="1"/>
  <c r="B40" s="1"/>
  <c r="B41" s="1"/>
  <c r="S41" s="1"/>
  <c r="D38"/>
  <c r="Q37"/>
  <c r="P37"/>
  <c r="O37"/>
  <c r="N37"/>
  <c r="Q36"/>
  <c r="P36"/>
  <c r="O36"/>
  <c r="N36"/>
  <c r="Q35"/>
  <c r="P35"/>
  <c r="O35"/>
  <c r="N35"/>
  <c r="E35"/>
  <c r="E36" s="1"/>
  <c r="E37" s="1"/>
  <c r="U37" s="1"/>
  <c r="Q34"/>
  <c r="F35" s="1"/>
  <c r="F36" s="1"/>
  <c r="F37" s="1"/>
  <c r="V37" s="1"/>
  <c r="P34"/>
  <c r="O34"/>
  <c r="C35" s="1"/>
  <c r="N34"/>
  <c r="B35" s="1"/>
  <c r="B36" s="1"/>
  <c r="B37" s="1"/>
  <c r="S37" s="1"/>
  <c r="D34"/>
  <c r="T33"/>
  <c r="Q33"/>
  <c r="P33"/>
  <c r="O33"/>
  <c r="N33"/>
  <c r="D33"/>
  <c r="Q32"/>
  <c r="P32"/>
  <c r="O32"/>
  <c r="N32"/>
  <c r="Q31"/>
  <c r="P31"/>
  <c r="O31"/>
  <c r="N31"/>
  <c r="Q30"/>
  <c r="F31" s="1"/>
  <c r="F32" s="1"/>
  <c r="F33" s="1"/>
  <c r="V33" s="1"/>
  <c r="P30"/>
  <c r="E31"/>
  <c r="E32" s="1"/>
  <c r="E33" s="1"/>
  <c r="U33" s="1"/>
  <c r="O30"/>
  <c r="C31" s="1"/>
  <c r="N30"/>
  <c r="B31" s="1"/>
  <c r="B32" s="1"/>
  <c r="B33" s="1"/>
  <c r="S33" s="1"/>
  <c r="D30"/>
  <c r="Q29"/>
  <c r="P29"/>
  <c r="O29"/>
  <c r="N29"/>
  <c r="Q28"/>
  <c r="P28"/>
  <c r="O28"/>
  <c r="N28"/>
  <c r="Q27"/>
  <c r="P27"/>
  <c r="O27"/>
  <c r="N27"/>
  <c r="Q26"/>
  <c r="F27" s="1"/>
  <c r="F28" s="1"/>
  <c r="F29" s="1"/>
  <c r="V29" s="1"/>
  <c r="P26"/>
  <c r="E27"/>
  <c r="E28" s="1"/>
  <c r="E29" s="1"/>
  <c r="U29" s="1"/>
  <c r="O26"/>
  <c r="C27" s="1"/>
  <c r="N26"/>
  <c r="B27" s="1"/>
  <c r="B28" s="1"/>
  <c r="B29" s="1"/>
  <c r="S29" s="1"/>
  <c r="D26"/>
  <c r="Q25"/>
  <c r="P25"/>
  <c r="O25"/>
  <c r="N25"/>
  <c r="AB24"/>
  <c r="Q24"/>
  <c r="P24"/>
  <c r="AA24" s="1"/>
  <c r="O24"/>
  <c r="Y24" s="1"/>
  <c r="Z24" s="1"/>
  <c r="N24"/>
  <c r="X24"/>
  <c r="Q23"/>
  <c r="AB23" s="1"/>
  <c r="P23"/>
  <c r="O23"/>
  <c r="Y23" s="1"/>
  <c r="Z23" s="1"/>
  <c r="N23"/>
  <c r="X23" s="1"/>
  <c r="Q22"/>
  <c r="AB22" s="1"/>
  <c r="P22"/>
  <c r="E23"/>
  <c r="E24" s="1"/>
  <c r="E25" s="1"/>
  <c r="O22"/>
  <c r="Y22" s="1"/>
  <c r="Z22" s="1"/>
  <c r="N22"/>
  <c r="X22" s="1"/>
  <c r="D22"/>
  <c r="Q21"/>
  <c r="AB21" s="1"/>
  <c r="P21"/>
  <c r="O21"/>
  <c r="Y21" s="1"/>
  <c r="Z21" s="1"/>
  <c r="N21"/>
  <c r="Q20"/>
  <c r="AB20" s="1"/>
  <c r="P20"/>
  <c r="O20"/>
  <c r="Y20" s="1"/>
  <c r="Z20" s="1"/>
  <c r="N20"/>
  <c r="Q19"/>
  <c r="AB19" s="1"/>
  <c r="P19"/>
  <c r="O19"/>
  <c r="Y19" s="1"/>
  <c r="Z19" s="1"/>
  <c r="N19"/>
  <c r="Q18"/>
  <c r="AB18" s="1"/>
  <c r="P18"/>
  <c r="E19"/>
  <c r="E20" s="1"/>
  <c r="E21" s="1"/>
  <c r="U21" s="1"/>
  <c r="O18"/>
  <c r="Y18" s="1"/>
  <c r="Z18" s="1"/>
  <c r="N18"/>
  <c r="X18" s="1"/>
  <c r="D18"/>
  <c r="Q17"/>
  <c r="AB17" s="1"/>
  <c r="P17"/>
  <c r="O17"/>
  <c r="Y17" s="1"/>
  <c r="Z17" s="1"/>
  <c r="N17"/>
  <c r="Q16"/>
  <c r="AB16" s="1"/>
  <c r="P16"/>
  <c r="O16"/>
  <c r="Y16" s="1"/>
  <c r="Z16" s="1"/>
  <c r="N16"/>
  <c r="Q15"/>
  <c r="AB15" s="1"/>
  <c r="P15"/>
  <c r="O15"/>
  <c r="Y15" s="1"/>
  <c r="Z15" s="1"/>
  <c r="N15"/>
  <c r="Q14"/>
  <c r="AB14" s="1"/>
  <c r="P14"/>
  <c r="E15"/>
  <c r="E16" s="1"/>
  <c r="E17" s="1"/>
  <c r="U17" s="1"/>
  <c r="O14"/>
  <c r="Y14" s="1"/>
  <c r="Z14" s="1"/>
  <c r="N14"/>
  <c r="X14" s="1"/>
  <c r="D14"/>
  <c r="O13"/>
  <c r="N13"/>
  <c r="C13"/>
  <c r="T13" s="1"/>
  <c r="Y10"/>
  <c r="Z10" s="1"/>
  <c r="Y11"/>
  <c r="Z11" s="1"/>
  <c r="Y13"/>
  <c r="Z13" s="1"/>
  <c r="Y12"/>
  <c r="Z12" s="1"/>
  <c r="B13"/>
  <c r="B12" s="1"/>
  <c r="B11" s="1"/>
  <c r="X12"/>
  <c r="X11"/>
  <c r="P13"/>
  <c r="AA11" s="1"/>
  <c r="Q50"/>
  <c r="U57"/>
  <c r="E56"/>
  <c r="E55"/>
  <c r="Q13"/>
  <c r="N52"/>
  <c r="B51"/>
  <c r="Q52"/>
  <c r="T53"/>
  <c r="O53"/>
  <c r="D53"/>
  <c r="C52"/>
  <c r="C51" s="1"/>
  <c r="D57"/>
  <c r="Q53"/>
  <c r="C60"/>
  <c r="E60"/>
  <c r="E59" s="1"/>
  <c r="D61"/>
  <c r="C64"/>
  <c r="E64"/>
  <c r="E63" s="1"/>
  <c r="D65"/>
  <c r="C68"/>
  <c r="C72"/>
  <c r="D72" s="1"/>
  <c r="F13"/>
  <c r="AB10"/>
  <c r="AB12"/>
  <c r="E13"/>
  <c r="E12" s="1"/>
  <c r="E11" s="1"/>
  <c r="AA12"/>
  <c r="AA3"/>
  <c r="C12"/>
  <c r="C11" s="1"/>
  <c r="D11" s="1"/>
  <c r="D68"/>
  <c r="C67"/>
  <c r="D67"/>
  <c r="D60"/>
  <c r="C59"/>
  <c r="D59" s="1"/>
  <c r="C71"/>
  <c r="D71" s="1"/>
  <c r="D64"/>
  <c r="C63"/>
  <c r="D63"/>
  <c r="O52"/>
  <c r="N50"/>
  <c r="N51"/>
  <c r="D12"/>
  <c r="F12"/>
  <c r="F11" s="1"/>
  <c r="V13"/>
  <c r="Z25" i="40"/>
  <c r="Q25"/>
  <c r="E94"/>
  <c r="F94" s="1"/>
  <c r="D94"/>
  <c r="H25"/>
  <c r="U25"/>
  <c r="F25"/>
  <c r="AA25"/>
  <c r="Q27" i="39"/>
  <c r="Z27" s="1"/>
  <c r="D101"/>
  <c r="E101"/>
  <c r="F101" s="1"/>
  <c r="G101" s="1"/>
  <c r="Z18" i="36"/>
  <c r="Q18"/>
  <c r="F18"/>
  <c r="AA18" s="1"/>
  <c r="C18"/>
  <c r="D66"/>
  <c r="E66" s="1"/>
  <c r="F66" s="1"/>
  <c r="G66" s="1"/>
  <c r="Q18" i="35"/>
  <c r="Z18" s="1"/>
  <c r="D68"/>
  <c r="E68"/>
  <c r="F68" s="1"/>
  <c r="G68" s="1"/>
  <c r="J18"/>
  <c r="AC18"/>
  <c r="H18"/>
  <c r="AB18" s="1"/>
  <c r="F18"/>
  <c r="AA18" s="1"/>
  <c r="C18"/>
  <c r="Q21" i="37"/>
  <c r="Z21" s="1"/>
  <c r="D77"/>
  <c r="E77"/>
  <c r="F77" s="1"/>
  <c r="G77" s="1"/>
  <c r="H21"/>
  <c r="AB21" s="1"/>
  <c r="F21"/>
  <c r="AA21" s="1"/>
  <c r="C21"/>
  <c r="Q21" i="34"/>
  <c r="Z21" s="1"/>
  <c r="D84"/>
  <c r="E84"/>
  <c r="F21"/>
  <c r="AA21"/>
  <c r="C21"/>
  <c r="Z21" i="33"/>
  <c r="Q21"/>
  <c r="D83"/>
  <c r="E83" s="1"/>
  <c r="F83" s="1"/>
  <c r="G83" s="1"/>
  <c r="H21"/>
  <c r="AB21"/>
  <c r="F21"/>
  <c r="AA21"/>
  <c r="C21"/>
  <c r="Z21" i="21"/>
  <c r="Q21"/>
  <c r="D83"/>
  <c r="E83" s="1"/>
  <c r="F83" s="1"/>
  <c r="F21"/>
  <c r="AA21" s="1"/>
  <c r="C21"/>
  <c r="G20" i="20"/>
  <c r="B86" i="43" s="1"/>
  <c r="C22" i="20"/>
  <c r="AB25" i="40"/>
  <c r="S25"/>
  <c r="S18" i="36"/>
  <c r="W18" i="35"/>
  <c r="U18"/>
  <c r="S18"/>
  <c r="U21" i="37"/>
  <c r="S21" i="34"/>
  <c r="U21" i="33"/>
  <c r="S21"/>
  <c r="G94" i="40"/>
  <c r="J25"/>
  <c r="J27" i="39"/>
  <c r="H27"/>
  <c r="F27"/>
  <c r="H18" i="36"/>
  <c r="J18"/>
  <c r="J21" i="37"/>
  <c r="F84" i="34"/>
  <c r="H21"/>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c r="B17" i="60" s="1"/>
  <c r="B1" i="4"/>
  <c r="B9" i="49" s="1"/>
  <c r="B2" i="60" s="1"/>
  <c r="C32" i="58"/>
  <c r="C31"/>
  <c r="C30"/>
  <c r="C27"/>
  <c r="E26"/>
  <c r="I23"/>
  <c r="D20"/>
  <c r="I19"/>
  <c r="I18"/>
  <c r="I17"/>
  <c r="I20"/>
  <c r="E15"/>
  <c r="I14"/>
  <c r="I13"/>
  <c r="I12"/>
  <c r="I15" s="1"/>
  <c r="I9"/>
  <c r="I8"/>
  <c r="I7"/>
  <c r="I6"/>
  <c r="I5"/>
  <c r="I4"/>
  <c r="I3"/>
  <c r="I10" s="1"/>
  <c r="G57" i="40"/>
  <c r="G56"/>
  <c r="C56" s="1"/>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c r="M77"/>
  <c r="N77"/>
  <c r="K77"/>
  <c r="J77"/>
  <c r="D77"/>
  <c r="M76"/>
  <c r="N76" s="1"/>
  <c r="K76"/>
  <c r="J76" s="1"/>
  <c r="D76"/>
  <c r="M75"/>
  <c r="N75"/>
  <c r="K75"/>
  <c r="J75"/>
  <c r="D75"/>
  <c r="M74"/>
  <c r="N74" s="1"/>
  <c r="K74"/>
  <c r="J74" s="1"/>
  <c r="D74" s="1"/>
  <c r="M73"/>
  <c r="N73" s="1"/>
  <c r="K73"/>
  <c r="J73" s="1"/>
  <c r="D73"/>
  <c r="M72"/>
  <c r="N72"/>
  <c r="K72"/>
  <c r="J72"/>
  <c r="D72"/>
  <c r="M71"/>
  <c r="N71" s="1"/>
  <c r="K71"/>
  <c r="J71" s="1"/>
  <c r="D71"/>
  <c r="M70"/>
  <c r="N70" s="1"/>
  <c r="K70"/>
  <c r="J70" s="1"/>
  <c r="M67"/>
  <c r="N67" s="1"/>
  <c r="K67"/>
  <c r="J67" s="1"/>
  <c r="D67"/>
  <c r="M66"/>
  <c r="N66"/>
  <c r="K66"/>
  <c r="J66"/>
  <c r="D66"/>
  <c r="M65"/>
  <c r="N65" s="1"/>
  <c r="K65"/>
  <c r="J65" s="1"/>
  <c r="D65"/>
  <c r="M64"/>
  <c r="N64"/>
  <c r="K64"/>
  <c r="J64"/>
  <c r="D64"/>
  <c r="M63"/>
  <c r="N63" s="1"/>
  <c r="K63"/>
  <c r="J63" s="1"/>
  <c r="D63"/>
  <c r="M62"/>
  <c r="N62"/>
  <c r="K62"/>
  <c r="J62"/>
  <c r="D62"/>
  <c r="M61"/>
  <c r="N61" s="1"/>
  <c r="K61"/>
  <c r="J61" s="1"/>
  <c r="D61"/>
  <c r="M60"/>
  <c r="N60"/>
  <c r="K60"/>
  <c r="J60"/>
  <c r="D60"/>
  <c r="M59"/>
  <c r="N59" s="1"/>
  <c r="K59"/>
  <c r="J59" s="1"/>
  <c r="D59"/>
  <c r="Q70" i="15"/>
  <c r="Q57"/>
  <c r="Q56"/>
  <c r="Q49"/>
  <c r="L48"/>
  <c r="D9" i="31"/>
  <c r="E9" s="1"/>
  <c r="F9" s="1"/>
  <c r="G9" s="1"/>
  <c r="H9" s="1"/>
  <c r="I9" s="1"/>
  <c r="J9" s="1"/>
  <c r="K9" s="1"/>
  <c r="L9" s="1"/>
  <c r="M9" s="1"/>
  <c r="N9" s="1"/>
  <c r="O9" s="1"/>
  <c r="P9" s="1"/>
  <c r="Q9" s="1"/>
  <c r="R9" s="1"/>
  <c r="S9" s="1"/>
  <c r="B6" i="1"/>
  <c r="M21" i="15" s="1"/>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s="1"/>
  <c r="D126" s="1"/>
  <c r="D101"/>
  <c r="C101"/>
  <c r="C92"/>
  <c r="E91"/>
  <c r="D90"/>
  <c r="C90" s="1"/>
  <c r="C88" s="1"/>
  <c r="H78"/>
  <c r="D78"/>
  <c r="F60"/>
  <c r="O56" s="1"/>
  <c r="E60"/>
  <c r="N56" s="1"/>
  <c r="D60"/>
  <c r="M56" s="1"/>
  <c r="F57"/>
  <c r="K56"/>
  <c r="I56"/>
  <c r="F56" s="1"/>
  <c r="O54" s="1"/>
  <c r="O55"/>
  <c r="N55"/>
  <c r="N54"/>
  <c r="E49"/>
  <c r="N53"/>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c r="R31"/>
  <c r="T31"/>
  <c r="R32"/>
  <c r="T32"/>
  <c r="R33"/>
  <c r="T33"/>
  <c r="R34"/>
  <c r="T34"/>
  <c r="R35"/>
  <c r="T35"/>
  <c r="R36"/>
  <c r="R37"/>
  <c r="R38"/>
  <c r="R39"/>
  <c r="T39" s="1"/>
  <c r="R40"/>
  <c r="R41"/>
  <c r="R42"/>
  <c r="R43"/>
  <c r="T43"/>
  <c r="R44"/>
  <c r="R45"/>
  <c r="R46"/>
  <c r="R47"/>
  <c r="T47" s="1"/>
  <c r="R48"/>
  <c r="R49"/>
  <c r="R50"/>
  <c r="R51"/>
  <c r="T51"/>
  <c r="R52"/>
  <c r="R53"/>
  <c r="R54"/>
  <c r="R55"/>
  <c r="T55" s="1"/>
  <c r="R56"/>
  <c r="R57"/>
  <c r="R58"/>
  <c r="T58" s="1"/>
  <c r="R59"/>
  <c r="R60"/>
  <c r="T60"/>
  <c r="R61"/>
  <c r="R62"/>
  <c r="T62" s="1"/>
  <c r="R63"/>
  <c r="R64"/>
  <c r="T64"/>
  <c r="R65"/>
  <c r="R66"/>
  <c r="T66" s="1"/>
  <c r="R67"/>
  <c r="R68"/>
  <c r="T68"/>
  <c r="R69"/>
  <c r="R70"/>
  <c r="T70" s="1"/>
  <c r="R71"/>
  <c r="R72"/>
  <c r="T72"/>
  <c r="R73"/>
  <c r="R74"/>
  <c r="T74" s="1"/>
  <c r="R75"/>
  <c r="R76"/>
  <c r="R77"/>
  <c r="T77" s="1"/>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s="1"/>
  <c r="R264"/>
  <c r="T264" s="1"/>
  <c r="R265"/>
  <c r="S265" s="1"/>
  <c r="R266"/>
  <c r="T266" s="1"/>
  <c r="R267"/>
  <c r="S267" s="1"/>
  <c r="R268"/>
  <c r="T268" s="1"/>
  <c r="R269"/>
  <c r="S269" s="1"/>
  <c r="R270"/>
  <c r="R271"/>
  <c r="S271"/>
  <c r="R272"/>
  <c r="T272"/>
  <c r="R273"/>
  <c r="S273"/>
  <c r="R274"/>
  <c r="T274"/>
  <c r="R275"/>
  <c r="S275"/>
  <c r="R276"/>
  <c r="T276"/>
  <c r="R277"/>
  <c r="S277"/>
  <c r="R278"/>
  <c r="R279"/>
  <c r="S279" s="1"/>
  <c r="R280"/>
  <c r="T280" s="1"/>
  <c r="R281"/>
  <c r="S281" s="1"/>
  <c r="R282"/>
  <c r="T282" s="1"/>
  <c r="R283"/>
  <c r="S283" s="1"/>
  <c r="R284"/>
  <c r="T284" s="1"/>
  <c r="R285"/>
  <c r="S285" s="1"/>
  <c r="R286"/>
  <c r="R287"/>
  <c r="S287"/>
  <c r="R288"/>
  <c r="T288"/>
  <c r="R289"/>
  <c r="S289"/>
  <c r="R290"/>
  <c r="T290"/>
  <c r="R291"/>
  <c r="S291"/>
  <c r="R292"/>
  <c r="T292"/>
  <c r="R293"/>
  <c r="S293"/>
  <c r="R294"/>
  <c r="R295"/>
  <c r="S295" s="1"/>
  <c r="R296"/>
  <c r="T296" s="1"/>
  <c r="R297"/>
  <c r="S297" s="1"/>
  <c r="R298"/>
  <c r="T298" s="1"/>
  <c r="R299"/>
  <c r="S299" s="1"/>
  <c r="R300"/>
  <c r="T300" s="1"/>
  <c r="R301"/>
  <c r="S301" s="1"/>
  <c r="R302"/>
  <c r="R303"/>
  <c r="S303"/>
  <c r="R304"/>
  <c r="T304"/>
  <c r="R305"/>
  <c r="S305"/>
  <c r="R306"/>
  <c r="T306"/>
  <c r="R307"/>
  <c r="S307"/>
  <c r="R308"/>
  <c r="T308"/>
  <c r="R309"/>
  <c r="S309"/>
  <c r="R310"/>
  <c r="R311"/>
  <c r="S311" s="1"/>
  <c r="R312"/>
  <c r="T312" s="1"/>
  <c r="R313"/>
  <c r="S313" s="1"/>
  <c r="R314"/>
  <c r="T314" s="1"/>
  <c r="R315"/>
  <c r="S315" s="1"/>
  <c r="R316"/>
  <c r="T316" s="1"/>
  <c r="R317"/>
  <c r="S317" s="1"/>
  <c r="R318"/>
  <c r="R319"/>
  <c r="S319"/>
  <c r="R320"/>
  <c r="T320"/>
  <c r="R321"/>
  <c r="S321"/>
  <c r="R322"/>
  <c r="T322"/>
  <c r="R323"/>
  <c r="S323"/>
  <c r="R324"/>
  <c r="R325"/>
  <c r="T325" s="1"/>
  <c r="R326"/>
  <c r="T326" s="1"/>
  <c r="R327"/>
  <c r="T327" s="1"/>
  <c r="R328"/>
  <c r="T328" s="1"/>
  <c r="R329"/>
  <c r="T329" s="1"/>
  <c r="R330"/>
  <c r="T330" s="1"/>
  <c r="R331"/>
  <c r="T331" s="1"/>
  <c r="R332"/>
  <c r="R333"/>
  <c r="T333"/>
  <c r="R334"/>
  <c r="T334"/>
  <c r="R335"/>
  <c r="T335"/>
  <c r="R336"/>
  <c r="T336"/>
  <c r="R337"/>
  <c r="T337"/>
  <c r="R338"/>
  <c r="T338"/>
  <c r="R339"/>
  <c r="T339"/>
  <c r="R340"/>
  <c r="R341"/>
  <c r="T341" s="1"/>
  <c r="R342"/>
  <c r="T342" s="1"/>
  <c r="R343"/>
  <c r="T343" s="1"/>
  <c r="R344"/>
  <c r="T344" s="1"/>
  <c r="R345"/>
  <c r="T345" s="1"/>
  <c r="R346"/>
  <c r="T346" s="1"/>
  <c r="R347"/>
  <c r="T347" s="1"/>
  <c r="R348"/>
  <c r="R349"/>
  <c r="T349"/>
  <c r="R350"/>
  <c r="T350"/>
  <c r="R351"/>
  <c r="T351"/>
  <c r="R352"/>
  <c r="T352"/>
  <c r="R353"/>
  <c r="T353"/>
  <c r="R354"/>
  <c r="T354"/>
  <c r="R355"/>
  <c r="T355"/>
  <c r="R356"/>
  <c r="R357"/>
  <c r="T357" s="1"/>
  <c r="R358"/>
  <c r="T358" s="1"/>
  <c r="R359"/>
  <c r="T359" s="1"/>
  <c r="R360"/>
  <c r="T360" s="1"/>
  <c r="R361"/>
  <c r="T361" s="1"/>
  <c r="R362"/>
  <c r="T362" s="1"/>
  <c r="R363"/>
  <c r="T363" s="1"/>
  <c r="R364"/>
  <c r="R365"/>
  <c r="T365"/>
  <c r="R366"/>
  <c r="T366"/>
  <c r="R367"/>
  <c r="T367"/>
  <c r="R368"/>
  <c r="T368"/>
  <c r="R369"/>
  <c r="T369"/>
  <c r="R370"/>
  <c r="T370"/>
  <c r="R371"/>
  <c r="T371"/>
  <c r="R372"/>
  <c r="R373"/>
  <c r="T373" s="1"/>
  <c r="R374"/>
  <c r="T374" s="1"/>
  <c r="R375"/>
  <c r="T375" s="1"/>
  <c r="R376"/>
  <c r="T376" s="1"/>
  <c r="R377"/>
  <c r="T377" s="1"/>
  <c r="R378"/>
  <c r="T378" s="1"/>
  <c r="R379"/>
  <c r="T379" s="1"/>
  <c r="R380"/>
  <c r="R381"/>
  <c r="T381"/>
  <c r="R382"/>
  <c r="T382"/>
  <c r="R383"/>
  <c r="T383"/>
  <c r="R384"/>
  <c r="T384"/>
  <c r="R385"/>
  <c r="T385"/>
  <c r="R386"/>
  <c r="T386"/>
  <c r="R387"/>
  <c r="T387"/>
  <c r="R388"/>
  <c r="R389"/>
  <c r="T389" s="1"/>
  <c r="R390"/>
  <c r="T390" s="1"/>
  <c r="R391"/>
  <c r="T391" s="1"/>
  <c r="R392"/>
  <c r="T392" s="1"/>
  <c r="R393"/>
  <c r="T393" s="1"/>
  <c r="R394"/>
  <c r="T394" s="1"/>
  <c r="R395"/>
  <c r="T395" s="1"/>
  <c r="R396"/>
  <c r="R397"/>
  <c r="T397"/>
  <c r="R398"/>
  <c r="T398"/>
  <c r="R399"/>
  <c r="T399"/>
  <c r="R400"/>
  <c r="T400"/>
  <c r="R401"/>
  <c r="T401"/>
  <c r="R402"/>
  <c r="T402"/>
  <c r="R403"/>
  <c r="T403"/>
  <c r="R404"/>
  <c r="R405"/>
  <c r="T405" s="1"/>
  <c r="R406"/>
  <c r="T406" s="1"/>
  <c r="R407"/>
  <c r="T407" s="1"/>
  <c r="R408"/>
  <c r="T408" s="1"/>
  <c r="R409"/>
  <c r="T409" s="1"/>
  <c r="R410"/>
  <c r="T410" s="1"/>
  <c r="R411"/>
  <c r="T411" s="1"/>
  <c r="R412"/>
  <c r="R413"/>
  <c r="T413"/>
  <c r="R414"/>
  <c r="T414"/>
  <c r="R415"/>
  <c r="T415"/>
  <c r="R416"/>
  <c r="T416"/>
  <c r="R417"/>
  <c r="T417"/>
  <c r="R418"/>
  <c r="T418"/>
  <c r="R419"/>
  <c r="T419"/>
  <c r="R420"/>
  <c r="R421"/>
  <c r="T421" s="1"/>
  <c r="R422"/>
  <c r="T422" s="1"/>
  <c r="R423"/>
  <c r="T423" s="1"/>
  <c r="R424"/>
  <c r="T424" s="1"/>
  <c r="R425"/>
  <c r="T425" s="1"/>
  <c r="R426"/>
  <c r="T426" s="1"/>
  <c r="R427"/>
  <c r="T427" s="1"/>
  <c r="R428"/>
  <c r="T428" s="1"/>
  <c r="R429"/>
  <c r="T429" s="1"/>
  <c r="R430"/>
  <c r="R431"/>
  <c r="T431"/>
  <c r="R432"/>
  <c r="T432"/>
  <c r="R433"/>
  <c r="T433"/>
  <c r="R434"/>
  <c r="R435"/>
  <c r="T435" s="1"/>
  <c r="R436"/>
  <c r="T436" s="1"/>
  <c r="R437"/>
  <c r="T437" s="1"/>
  <c r="R438"/>
  <c r="R439"/>
  <c r="T439"/>
  <c r="R440"/>
  <c r="T440"/>
  <c r="R441"/>
  <c r="T441"/>
  <c r="R442"/>
  <c r="R443"/>
  <c r="T443" s="1"/>
  <c r="R444"/>
  <c r="T444" s="1"/>
  <c r="R445"/>
  <c r="T445" s="1"/>
  <c r="R446"/>
  <c r="R447"/>
  <c r="T447"/>
  <c r="R448"/>
  <c r="T448"/>
  <c r="R449"/>
  <c r="R450"/>
  <c r="T450" s="1"/>
  <c r="R451"/>
  <c r="R452"/>
  <c r="T452"/>
  <c r="R453"/>
  <c r="T453"/>
  <c r="R454"/>
  <c r="R455"/>
  <c r="T455" s="1"/>
  <c r="R456"/>
  <c r="T456" s="1"/>
  <c r="R457"/>
  <c r="T457" s="1"/>
  <c r="R458"/>
  <c r="R459"/>
  <c r="T459"/>
  <c r="R460"/>
  <c r="T460"/>
  <c r="R461"/>
  <c r="T461"/>
  <c r="R462"/>
  <c r="R463"/>
  <c r="T463" s="1"/>
  <c r="R464"/>
  <c r="T464" s="1"/>
  <c r="R465"/>
  <c r="T465" s="1"/>
  <c r="R466"/>
  <c r="R467"/>
  <c r="T467"/>
  <c r="R468"/>
  <c r="T468"/>
  <c r="R469"/>
  <c r="T469"/>
  <c r="R470"/>
  <c r="R471"/>
  <c r="T471" s="1"/>
  <c r="R472"/>
  <c r="R473"/>
  <c r="R474"/>
  <c r="R475"/>
  <c r="T475"/>
  <c r="R476"/>
  <c r="R477"/>
  <c r="R478"/>
  <c r="R479"/>
  <c r="T479" s="1"/>
  <c r="R480"/>
  <c r="R481"/>
  <c r="R482"/>
  <c r="R483"/>
  <c r="T483"/>
  <c r="R484"/>
  <c r="R485"/>
  <c r="R486"/>
  <c r="R487"/>
  <c r="T487" s="1"/>
  <c r="R488"/>
  <c r="R489"/>
  <c r="R490"/>
  <c r="R491"/>
  <c r="T491"/>
  <c r="R492"/>
  <c r="R493"/>
  <c r="R494"/>
  <c r="R495"/>
  <c r="T495" s="1"/>
  <c r="R496"/>
  <c r="R497"/>
  <c r="R498"/>
  <c r="R499"/>
  <c r="T499"/>
  <c r="R500"/>
  <c r="R501"/>
  <c r="T501" s="1"/>
  <c r="R502"/>
  <c r="T502" s="1"/>
  <c r="R503"/>
  <c r="T503" s="1"/>
  <c r="R504"/>
  <c r="T504" s="1"/>
  <c r="R505"/>
  <c r="T505" s="1"/>
  <c r="R506"/>
  <c r="T506" s="1"/>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23" i="48"/>
  <c r="H24"/>
  <c r="D24"/>
  <c r="D21"/>
  <c r="B21" i="49"/>
  <c r="B5" i="60" s="1"/>
  <c r="B12" i="49"/>
  <c r="B3" i="60" s="1"/>
  <c r="B2" i="48"/>
  <c r="F21" s="1"/>
  <c r="H21" s="1"/>
  <c r="I2" i="43"/>
  <c r="H6" i="44"/>
  <c r="G2" i="43"/>
  <c r="E30" i="4"/>
  <c r="C7"/>
  <c r="G3" i="43"/>
  <c r="C121" i="9"/>
  <c r="C4" i="52"/>
  <c r="B36" i="60" s="1"/>
  <c r="B121" i="9"/>
  <c r="B4" i="52" s="1"/>
  <c r="A40" i="1"/>
  <c r="A39"/>
  <c r="A38"/>
  <c r="A37"/>
  <c r="A36"/>
  <c r="A29"/>
  <c r="A34"/>
  <c r="D111" i="9"/>
  <c r="I108"/>
  <c r="D110"/>
  <c r="I107"/>
  <c r="D109"/>
  <c r="I106"/>
  <c r="I105"/>
  <c r="H101"/>
  <c r="J35" i="15"/>
  <c r="Q69" s="1"/>
  <c r="F27" i="11"/>
  <c r="F36"/>
  <c r="M28" i="15"/>
  <c r="M26"/>
  <c r="F42"/>
  <c r="F40"/>
  <c r="F69" s="1"/>
  <c r="C57" i="40"/>
  <c r="G55"/>
  <c r="C55" s="1"/>
  <c r="G54"/>
  <c r="C54" s="1"/>
  <c r="G53"/>
  <c r="C53" s="1"/>
  <c r="G52"/>
  <c r="C52" s="1"/>
  <c r="G57" i="39"/>
  <c r="C57" s="1"/>
  <c r="G63"/>
  <c r="G65" s="1"/>
  <c r="C65" s="1"/>
  <c r="G62"/>
  <c r="C62"/>
  <c r="G61"/>
  <c r="C61"/>
  <c r="G60"/>
  <c r="C60"/>
  <c r="G59"/>
  <c r="C59"/>
  <c r="G58"/>
  <c r="C58"/>
  <c r="G8" i="4"/>
  <c r="H50" i="40"/>
  <c r="H34" i="43"/>
  <c r="H35"/>
  <c r="H36"/>
  <c r="H37"/>
  <c r="H38"/>
  <c r="H39"/>
  <c r="H33"/>
  <c r="L44" i="47"/>
  <c r="M44" s="1"/>
  <c r="J44"/>
  <c r="I44" s="1"/>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E19"/>
  <c r="E20"/>
  <c r="E17"/>
  <c r="F22"/>
  <c r="F23"/>
  <c r="F24"/>
  <c r="C17" i="9"/>
  <c r="D17"/>
  <c r="I55"/>
  <c r="F55"/>
  <c r="O53" s="1"/>
  <c r="D89"/>
  <c r="C89" s="1"/>
  <c r="C87" s="1"/>
  <c r="E15" i="1"/>
  <c r="E19" i="11" s="1"/>
  <c r="E40" i="1"/>
  <c r="F34" i="15" s="1"/>
  <c r="F63" s="1"/>
  <c r="E59" i="9"/>
  <c r="N55" s="1"/>
  <c r="F59"/>
  <c r="O55" s="1"/>
  <c r="N54"/>
  <c r="N53"/>
  <c r="E48"/>
  <c r="N52" s="1"/>
  <c r="F56"/>
  <c r="O54" s="1"/>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c r="C79" i="35"/>
  <c r="J31"/>
  <c r="H31"/>
  <c r="AB31"/>
  <c r="F31"/>
  <c r="D87"/>
  <c r="E87" s="1"/>
  <c r="F87" s="1"/>
  <c r="G87" s="1"/>
  <c r="H87" s="1"/>
  <c r="I87" s="1"/>
  <c r="J87" s="1"/>
  <c r="K87" s="1"/>
  <c r="L87" s="1"/>
  <c r="M87" s="1"/>
  <c r="H29"/>
  <c r="H34" i="37"/>
  <c r="AB34"/>
  <c r="D101"/>
  <c r="F34"/>
  <c r="AA34" s="1"/>
  <c r="D99"/>
  <c r="E99" s="1"/>
  <c r="F99" s="1"/>
  <c r="G99" s="1"/>
  <c r="H42" i="34"/>
  <c r="J42"/>
  <c r="F42"/>
  <c r="J38"/>
  <c r="AC38"/>
  <c r="D114"/>
  <c r="D112"/>
  <c r="E112" s="1"/>
  <c r="F112" s="1"/>
  <c r="G112" s="1"/>
  <c r="H112" s="1"/>
  <c r="I112" s="1"/>
  <c r="J112" s="1"/>
  <c r="K112" s="1"/>
  <c r="L112" s="1"/>
  <c r="M112" s="1"/>
  <c r="F40" i="33"/>
  <c r="J41"/>
  <c r="W41"/>
  <c r="D113"/>
  <c r="F37"/>
  <c r="S37" s="1"/>
  <c r="D111"/>
  <c r="E111" s="1"/>
  <c r="F111" s="1"/>
  <c r="G111" s="1"/>
  <c r="H111" s="1"/>
  <c r="I111" s="1"/>
  <c r="J111" s="1"/>
  <c r="K111" s="1"/>
  <c r="L111" s="1"/>
  <c r="M111" s="1"/>
  <c r="S518" i="31"/>
  <c r="S519"/>
  <c r="S520"/>
  <c r="S521"/>
  <c r="S522"/>
  <c r="S523"/>
  <c r="S524"/>
  <c r="S525"/>
  <c r="S526"/>
  <c r="S527"/>
  <c r="F41" i="21"/>
  <c r="J41"/>
  <c r="AC41" s="1"/>
  <c r="H41"/>
  <c r="D81" i="39"/>
  <c r="E81"/>
  <c r="F81" s="1"/>
  <c r="G81" s="1"/>
  <c r="H81" s="1"/>
  <c r="I81" s="1"/>
  <c r="J81" s="1"/>
  <c r="K81" s="1"/>
  <c r="L81" s="1"/>
  <c r="M81" s="1"/>
  <c r="D76" i="40"/>
  <c r="E76"/>
  <c r="F76" s="1"/>
  <c r="G76" s="1"/>
  <c r="H76" s="1"/>
  <c r="I76" s="1"/>
  <c r="J76" s="1"/>
  <c r="K76" s="1"/>
  <c r="L76" s="1"/>
  <c r="M76" s="1"/>
  <c r="B120"/>
  <c r="B118"/>
  <c r="B116"/>
  <c r="D115"/>
  <c r="E115" s="1"/>
  <c r="F115" s="1"/>
  <c r="G115" s="1"/>
  <c r="H115" s="1"/>
  <c r="I115" s="1"/>
  <c r="J115" s="1"/>
  <c r="K115" s="1"/>
  <c r="L115" s="1"/>
  <c r="M115" s="1"/>
  <c r="D113"/>
  <c r="E113" s="1"/>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s="1"/>
  <c r="AC32" s="1"/>
  <c r="B101"/>
  <c r="J31"/>
  <c r="AC31" s="1"/>
  <c r="D100"/>
  <c r="E100" s="1"/>
  <c r="F100" s="1"/>
  <c r="G100" s="1"/>
  <c r="H100" s="1"/>
  <c r="I100" s="1"/>
  <c r="J100" s="1"/>
  <c r="K100" s="1"/>
  <c r="L100" s="1"/>
  <c r="M100" s="1"/>
  <c r="D98"/>
  <c r="E98" s="1"/>
  <c r="D96"/>
  <c r="E96" s="1"/>
  <c r="B95"/>
  <c r="D92"/>
  <c r="E92"/>
  <c r="F92" s="1"/>
  <c r="G92" s="1"/>
  <c r="D90"/>
  <c r="E90"/>
  <c r="D88"/>
  <c r="E88"/>
  <c r="F88" s="1"/>
  <c r="G88" s="1"/>
  <c r="D86"/>
  <c r="E86"/>
  <c r="D84"/>
  <c r="E84"/>
  <c r="B81"/>
  <c r="B79"/>
  <c r="B77"/>
  <c r="J12"/>
  <c r="M74"/>
  <c r="L74"/>
  <c r="K74"/>
  <c r="J74"/>
  <c r="I74"/>
  <c r="H74"/>
  <c r="G74"/>
  <c r="F74"/>
  <c r="E74"/>
  <c r="D74"/>
  <c r="C74"/>
  <c r="P43"/>
  <c r="P42"/>
  <c r="V41"/>
  <c r="T41"/>
  <c r="R41"/>
  <c r="P41"/>
  <c r="Q40"/>
  <c r="Z40" s="1"/>
  <c r="Q39"/>
  <c r="Z39" s="1"/>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s="1"/>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H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s="1"/>
  <c r="AA14" s="1"/>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H12"/>
  <c r="Q11"/>
  <c r="Z11"/>
  <c r="Q10"/>
  <c r="Z10"/>
  <c r="Q9"/>
  <c r="Z9"/>
  <c r="J9"/>
  <c r="AC9"/>
  <c r="H9"/>
  <c r="AB9"/>
  <c r="F9"/>
  <c r="J8"/>
  <c r="AC8" s="1"/>
  <c r="H8"/>
  <c r="F8"/>
  <c r="AA8"/>
  <c r="C20" i="36"/>
  <c r="C20" i="35"/>
  <c r="C16" i="36"/>
  <c r="C16" i="35"/>
  <c r="C14" i="36"/>
  <c r="C14" i="35"/>
  <c r="B80" i="37"/>
  <c r="H25"/>
  <c r="U25" s="1"/>
  <c r="B110"/>
  <c r="J39" s="1"/>
  <c r="AC39" s="1"/>
  <c r="B108"/>
  <c r="C23"/>
  <c r="C19"/>
  <c r="C17"/>
  <c r="C15"/>
  <c r="B112"/>
  <c r="H40" s="1"/>
  <c r="D107"/>
  <c r="E107" s="1"/>
  <c r="F107" s="1"/>
  <c r="G107" s="1"/>
  <c r="H107" s="1"/>
  <c r="I107" s="1"/>
  <c r="J107" s="1"/>
  <c r="K107" s="1"/>
  <c r="L107" s="1"/>
  <c r="M107" s="1"/>
  <c r="D105"/>
  <c r="E105" s="1"/>
  <c r="F105"/>
  <c r="G105" s="1"/>
  <c r="D103"/>
  <c r="J35"/>
  <c r="G97"/>
  <c r="F97"/>
  <c r="E97"/>
  <c r="D97"/>
  <c r="C97"/>
  <c r="D96"/>
  <c r="E96"/>
  <c r="F96" s="1"/>
  <c r="G96"/>
  <c r="H96" s="1"/>
  <c r="I96" s="1"/>
  <c r="J96" s="1"/>
  <c r="K96" s="1"/>
  <c r="L96" s="1"/>
  <c r="M96" s="1"/>
  <c r="D94"/>
  <c r="E94"/>
  <c r="F94" s="1"/>
  <c r="G94"/>
  <c r="H94" s="1"/>
  <c r="I94" s="1"/>
  <c r="J94" s="1"/>
  <c r="K94" s="1"/>
  <c r="L94" s="1"/>
  <c r="M94" s="1"/>
  <c r="M90"/>
  <c r="L90"/>
  <c r="K90"/>
  <c r="J90"/>
  <c r="I90"/>
  <c r="H90"/>
  <c r="G90"/>
  <c r="F90"/>
  <c r="E90"/>
  <c r="D90"/>
  <c r="C90"/>
  <c r="D89"/>
  <c r="E89" s="1"/>
  <c r="F89"/>
  <c r="G89" s="1"/>
  <c r="H89" s="1"/>
  <c r="I89" s="1"/>
  <c r="J89" s="1"/>
  <c r="K89" s="1"/>
  <c r="L89" s="1"/>
  <c r="M89" s="1"/>
  <c r="B86"/>
  <c r="B84"/>
  <c r="B82"/>
  <c r="D79"/>
  <c r="E79"/>
  <c r="F79" s="1"/>
  <c r="G79" s="1"/>
  <c r="D75"/>
  <c r="E75"/>
  <c r="F75" s="1"/>
  <c r="D73"/>
  <c r="E73" s="1"/>
  <c r="J17"/>
  <c r="D71"/>
  <c r="E71"/>
  <c r="F71" s="1"/>
  <c r="G71" s="1"/>
  <c r="B68"/>
  <c r="H14"/>
  <c r="AB14" s="1"/>
  <c r="B66"/>
  <c r="B64"/>
  <c r="H12"/>
  <c r="U12" s="1"/>
  <c r="D63"/>
  <c r="E63" s="1"/>
  <c r="F63"/>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s="1"/>
  <c r="F31"/>
  <c r="S31" s="1"/>
  <c r="M86"/>
  <c r="L86"/>
  <c r="K86"/>
  <c r="J86"/>
  <c r="I86"/>
  <c r="H86"/>
  <c r="G86"/>
  <c r="F86"/>
  <c r="E86"/>
  <c r="D86"/>
  <c r="C86"/>
  <c r="D85"/>
  <c r="H29"/>
  <c r="U29" s="1"/>
  <c r="D81"/>
  <c r="E81" s="1"/>
  <c r="F81" s="1"/>
  <c r="G81" s="1"/>
  <c r="H81" s="1"/>
  <c r="I81" s="1"/>
  <c r="J81" s="1"/>
  <c r="K81" s="1"/>
  <c r="L81" s="1"/>
  <c r="M81" s="1"/>
  <c r="G79"/>
  <c r="F79"/>
  <c r="E79"/>
  <c r="D79"/>
  <c r="C79"/>
  <c r="B93"/>
  <c r="H33"/>
  <c r="AB33" s="1"/>
  <c r="B91"/>
  <c r="F32" s="1"/>
  <c r="B95"/>
  <c r="H34" s="1"/>
  <c r="U34"/>
  <c r="D83"/>
  <c r="E83"/>
  <c r="D78"/>
  <c r="E78"/>
  <c r="F78" s="1"/>
  <c r="G78" s="1"/>
  <c r="H78" s="1"/>
  <c r="I78" s="1"/>
  <c r="J78" s="1"/>
  <c r="K78" s="1"/>
  <c r="L78" s="1"/>
  <c r="M78" s="1"/>
  <c r="B75"/>
  <c r="B73"/>
  <c r="B71"/>
  <c r="D70"/>
  <c r="H22"/>
  <c r="AB22"/>
  <c r="D68"/>
  <c r="E68"/>
  <c r="F68" s="1"/>
  <c r="G68" s="1"/>
  <c r="D64"/>
  <c r="E64"/>
  <c r="F64" s="1"/>
  <c r="G64"/>
  <c r="J16"/>
  <c r="W16"/>
  <c r="D62"/>
  <c r="E62"/>
  <c r="F62" s="1"/>
  <c r="G62" s="1"/>
  <c r="H14"/>
  <c r="AB14"/>
  <c r="B59"/>
  <c r="B57"/>
  <c r="B55"/>
  <c r="F54"/>
  <c r="G54" s="1"/>
  <c r="H54"/>
  <c r="I54" s="1"/>
  <c r="C51"/>
  <c r="P37"/>
  <c r="P36"/>
  <c r="V35"/>
  <c r="T35"/>
  <c r="R35"/>
  <c r="P35"/>
  <c r="Q34"/>
  <c r="Z34"/>
  <c r="Q33"/>
  <c r="Z33"/>
  <c r="Q32"/>
  <c r="Z32"/>
  <c r="Q31"/>
  <c r="Z31"/>
  <c r="Q30"/>
  <c r="Z30"/>
  <c r="Q29"/>
  <c r="Z29"/>
  <c r="Q28"/>
  <c r="Z28"/>
  <c r="J28"/>
  <c r="AC28"/>
  <c r="Q27"/>
  <c r="Z27"/>
  <c r="Q26"/>
  <c r="Z26"/>
  <c r="H26"/>
  <c r="Q25"/>
  <c r="Z25" s="1"/>
  <c r="Q24"/>
  <c r="Z24" s="1"/>
  <c r="Q23"/>
  <c r="Z23" s="1"/>
  <c r="J23"/>
  <c r="AC23" s="1"/>
  <c r="H23"/>
  <c r="F23"/>
  <c r="AA23"/>
  <c r="Q22"/>
  <c r="Z22"/>
  <c r="J22"/>
  <c r="AC22"/>
  <c r="Q20"/>
  <c r="Z20"/>
  <c r="Q16"/>
  <c r="Z16"/>
  <c r="Q14"/>
  <c r="Z14"/>
  <c r="Q13"/>
  <c r="Z13"/>
  <c r="Q12"/>
  <c r="Z12"/>
  <c r="Q11"/>
  <c r="Z11"/>
  <c r="Q10"/>
  <c r="Z10"/>
  <c r="F10"/>
  <c r="AA10"/>
  <c r="Q9"/>
  <c r="Z9"/>
  <c r="J8"/>
  <c r="AC8" s="1"/>
  <c r="H8"/>
  <c r="U8" s="1"/>
  <c r="F8"/>
  <c r="AA8" s="1"/>
  <c r="D89" i="35"/>
  <c r="M90"/>
  <c r="L90"/>
  <c r="K90"/>
  <c r="J90"/>
  <c r="I90"/>
  <c r="H90"/>
  <c r="G90"/>
  <c r="F90"/>
  <c r="E90"/>
  <c r="D90"/>
  <c r="C90"/>
  <c r="G85"/>
  <c r="F85"/>
  <c r="E85"/>
  <c r="D85"/>
  <c r="C85"/>
  <c r="J27"/>
  <c r="W27"/>
  <c r="H27"/>
  <c r="U27"/>
  <c r="F27"/>
  <c r="AA27"/>
  <c r="J22"/>
  <c r="AC22"/>
  <c r="B101"/>
  <c r="H36"/>
  <c r="AB36" s="1"/>
  <c r="B99"/>
  <c r="B97"/>
  <c r="B77"/>
  <c r="B75"/>
  <c r="B73"/>
  <c r="H23" s="1"/>
  <c r="U23" s="1"/>
  <c r="B57"/>
  <c r="B61"/>
  <c r="B59"/>
  <c r="B131" i="34"/>
  <c r="B129"/>
  <c r="B127"/>
  <c r="B99"/>
  <c r="B97"/>
  <c r="B95"/>
  <c r="B93"/>
  <c r="B75"/>
  <c r="B73"/>
  <c r="B71"/>
  <c r="B130" i="33"/>
  <c r="B128"/>
  <c r="B126"/>
  <c r="B98"/>
  <c r="B96"/>
  <c r="B94"/>
  <c r="B74"/>
  <c r="B72"/>
  <c r="B70"/>
  <c r="D96" i="35"/>
  <c r="E96"/>
  <c r="F96" s="1"/>
  <c r="G96"/>
  <c r="D94"/>
  <c r="E94"/>
  <c r="F94" s="1"/>
  <c r="G94" s="1"/>
  <c r="H94" s="1"/>
  <c r="I94" s="1"/>
  <c r="J94" s="1"/>
  <c r="K94" s="1"/>
  <c r="L94" s="1"/>
  <c r="M94" s="1"/>
  <c r="D84"/>
  <c r="E84"/>
  <c r="F84" s="1"/>
  <c r="G84" s="1"/>
  <c r="H84" s="1"/>
  <c r="I84" s="1"/>
  <c r="J84" s="1"/>
  <c r="K84" s="1"/>
  <c r="L84" s="1"/>
  <c r="M84" s="1"/>
  <c r="D80"/>
  <c r="E80"/>
  <c r="F80" s="1"/>
  <c r="G80" s="1"/>
  <c r="H80" s="1"/>
  <c r="I80" s="1"/>
  <c r="J80" s="1"/>
  <c r="K80" s="1"/>
  <c r="L80" s="1"/>
  <c r="M80" s="1"/>
  <c r="D72"/>
  <c r="E72"/>
  <c r="F72" s="1"/>
  <c r="G72" s="1"/>
  <c r="D70"/>
  <c r="E70"/>
  <c r="F70" s="1"/>
  <c r="G70"/>
  <c r="D66"/>
  <c r="E66"/>
  <c r="F66" s="1"/>
  <c r="G66" s="1"/>
  <c r="F16"/>
  <c r="S16"/>
  <c r="D64"/>
  <c r="E64"/>
  <c r="F64" s="1"/>
  <c r="G64"/>
  <c r="J14"/>
  <c r="AC14"/>
  <c r="F56"/>
  <c r="G56"/>
  <c r="H56" s="1"/>
  <c r="I56" s="1"/>
  <c r="C53"/>
  <c r="P39"/>
  <c r="P38"/>
  <c r="V37"/>
  <c r="T37"/>
  <c r="R37"/>
  <c r="P37"/>
  <c r="Q36"/>
  <c r="Z36" s="1"/>
  <c r="J36"/>
  <c r="AC36" s="1"/>
  <c r="Q35"/>
  <c r="Z35" s="1"/>
  <c r="Q34"/>
  <c r="Z34" s="1"/>
  <c r="J34"/>
  <c r="AC34" s="1"/>
  <c r="Q33"/>
  <c r="Z33" s="1"/>
  <c r="Q32"/>
  <c r="Z32" s="1"/>
  <c r="H32"/>
  <c r="AB32" s="1"/>
  <c r="F32"/>
  <c r="AA32" s="1"/>
  <c r="Q31"/>
  <c r="Z31" s="1"/>
  <c r="AC31"/>
  <c r="AA31"/>
  <c r="Q30"/>
  <c r="Z30" s="1"/>
  <c r="Q29"/>
  <c r="Z29" s="1"/>
  <c r="Q28"/>
  <c r="Z28" s="1"/>
  <c r="J28"/>
  <c r="AC28" s="1"/>
  <c r="H28"/>
  <c r="AB28" s="1"/>
  <c r="F28"/>
  <c r="AA28" s="1"/>
  <c r="Q27"/>
  <c r="Z27" s="1"/>
  <c r="Q26"/>
  <c r="Z26" s="1"/>
  <c r="Q25"/>
  <c r="Z25" s="1"/>
  <c r="Q24"/>
  <c r="Z24" s="1"/>
  <c r="Q23"/>
  <c r="Z23" s="1"/>
  <c r="J23"/>
  <c r="AC23" s="1"/>
  <c r="Q22"/>
  <c r="Z22" s="1"/>
  <c r="Q20"/>
  <c r="Z20" s="1"/>
  <c r="Q16"/>
  <c r="Z16" s="1"/>
  <c r="Q14"/>
  <c r="Z14" s="1"/>
  <c r="Q13"/>
  <c r="Z13" s="1"/>
  <c r="Q12"/>
  <c r="Z12" s="1"/>
  <c r="J12"/>
  <c r="W12" s="1"/>
  <c r="H12"/>
  <c r="U12" s="1"/>
  <c r="F12"/>
  <c r="S12" s="1"/>
  <c r="Q11"/>
  <c r="Z11" s="1"/>
  <c r="Q10"/>
  <c r="Z10" s="1"/>
  <c r="Q9"/>
  <c r="Z9" s="1"/>
  <c r="J9"/>
  <c r="AC9" s="1"/>
  <c r="H9"/>
  <c r="AB9" s="1"/>
  <c r="F9"/>
  <c r="AA9" s="1"/>
  <c r="J8"/>
  <c r="AC8" s="1"/>
  <c r="H8"/>
  <c r="AB8" s="1"/>
  <c r="F8"/>
  <c r="AA8" s="1"/>
  <c r="C7"/>
  <c r="C48" s="1"/>
  <c r="D48" s="1"/>
  <c r="E48" s="1"/>
  <c r="D120" i="34"/>
  <c r="E120" s="1"/>
  <c r="F120" s="1"/>
  <c r="G120" s="1"/>
  <c r="H120" s="1"/>
  <c r="I120" s="1"/>
  <c r="J120" s="1"/>
  <c r="K120" s="1"/>
  <c r="L120" s="1"/>
  <c r="M120" s="1"/>
  <c r="D90"/>
  <c r="E90" s="1"/>
  <c r="F90"/>
  <c r="G90" s="1"/>
  <c r="H90" s="1"/>
  <c r="I90" s="1"/>
  <c r="J90" s="1"/>
  <c r="K90" s="1"/>
  <c r="L90" s="1"/>
  <c r="M90" s="1"/>
  <c r="C15"/>
  <c r="F67"/>
  <c r="G67"/>
  <c r="H67" s="1"/>
  <c r="I67" s="1"/>
  <c r="D126"/>
  <c r="D124"/>
  <c r="E124"/>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c r="F88" s="1"/>
  <c r="G88" s="1"/>
  <c r="H88" s="1"/>
  <c r="I88" s="1"/>
  <c r="J88" s="1"/>
  <c r="K88" s="1"/>
  <c r="L88" s="1"/>
  <c r="M88" s="1"/>
  <c r="D86"/>
  <c r="E86"/>
  <c r="F86" s="1"/>
  <c r="G86" s="1"/>
  <c r="F23"/>
  <c r="AA23" s="1"/>
  <c r="D82"/>
  <c r="E82" s="1"/>
  <c r="F82" s="1"/>
  <c r="G82" s="1"/>
  <c r="F19"/>
  <c r="D80"/>
  <c r="E80"/>
  <c r="D78"/>
  <c r="E78"/>
  <c r="F78" s="1"/>
  <c r="G78" s="1"/>
  <c r="F15"/>
  <c r="AA15"/>
  <c r="D70"/>
  <c r="E70"/>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c r="Q13"/>
  <c r="Z13"/>
  <c r="Q12"/>
  <c r="Z12"/>
  <c r="J12"/>
  <c r="H12"/>
  <c r="U12" s="1"/>
  <c r="F12"/>
  <c r="Q11"/>
  <c r="Z11"/>
  <c r="Q10"/>
  <c r="Z10"/>
  <c r="F10"/>
  <c r="Q9"/>
  <c r="Z9"/>
  <c r="J8"/>
  <c r="H8"/>
  <c r="U8" s="1"/>
  <c r="F8"/>
  <c r="AA8" s="1"/>
  <c r="D121" i="33"/>
  <c r="E121" s="1"/>
  <c r="F121" s="1"/>
  <c r="G121" s="1"/>
  <c r="H121" s="1"/>
  <c r="I121" s="1"/>
  <c r="J121" s="1"/>
  <c r="K121" s="1"/>
  <c r="L121" s="1"/>
  <c r="M121" s="1"/>
  <c r="G109"/>
  <c r="F109"/>
  <c r="E109"/>
  <c r="D109"/>
  <c r="C109"/>
  <c r="D91"/>
  <c r="B88"/>
  <c r="J26" s="1"/>
  <c r="AC26" s="1"/>
  <c r="C23"/>
  <c r="C19"/>
  <c r="C17"/>
  <c r="C15"/>
  <c r="C15" i="21"/>
  <c r="D125" i="33"/>
  <c r="D123"/>
  <c r="E123"/>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s="1"/>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c r="I66" s="1"/>
  <c r="J10"/>
  <c r="AC10" s="1"/>
  <c r="C63"/>
  <c r="H9" s="1"/>
  <c r="F54"/>
  <c r="P49"/>
  <c r="P48"/>
  <c r="V47"/>
  <c r="T47"/>
  <c r="R47"/>
  <c r="P47"/>
  <c r="Q46"/>
  <c r="Z46"/>
  <c r="Q45"/>
  <c r="Z45"/>
  <c r="Q44"/>
  <c r="Z44"/>
  <c r="Q43"/>
  <c r="Z43"/>
  <c r="Q42"/>
  <c r="Z42"/>
  <c r="J42"/>
  <c r="AC42"/>
  <c r="Q41"/>
  <c r="Z41"/>
  <c r="Q40"/>
  <c r="Z40"/>
  <c r="J40"/>
  <c r="AC40"/>
  <c r="H40"/>
  <c r="AB40"/>
  <c r="AA40"/>
  <c r="Q39"/>
  <c r="Z39" s="1"/>
  <c r="Q38"/>
  <c r="Z38" s="1"/>
  <c r="J38"/>
  <c r="H38"/>
  <c r="AB38"/>
  <c r="F38"/>
  <c r="Q37"/>
  <c r="Z37" s="1"/>
  <c r="Q36"/>
  <c r="Z36" s="1"/>
  <c r="Q35"/>
  <c r="Z35" s="1"/>
  <c r="H35"/>
  <c r="AB35" s="1"/>
  <c r="F35"/>
  <c r="S35" s="1"/>
  <c r="Q34"/>
  <c r="Z34" s="1"/>
  <c r="H34"/>
  <c r="AB34" s="1"/>
  <c r="F34"/>
  <c r="AA34" s="1"/>
  <c r="Q33"/>
  <c r="Z33" s="1"/>
  <c r="J33"/>
  <c r="H33"/>
  <c r="AB33"/>
  <c r="F33"/>
  <c r="AA33"/>
  <c r="Q32"/>
  <c r="Z32"/>
  <c r="Q31"/>
  <c r="Z31"/>
  <c r="Q30"/>
  <c r="Z30"/>
  <c r="Q29"/>
  <c r="Z29"/>
  <c r="Q28"/>
  <c r="Z28"/>
  <c r="Q27"/>
  <c r="Z27"/>
  <c r="Q26"/>
  <c r="Z26"/>
  <c r="Q25"/>
  <c r="Z25"/>
  <c r="Q23"/>
  <c r="Z23"/>
  <c r="Q19"/>
  <c r="Z19"/>
  <c r="Q17"/>
  <c r="Z17"/>
  <c r="Q15"/>
  <c r="Z15"/>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c r="G19" i="20"/>
  <c r="B85" i="43"/>
  <c r="G16" i="20"/>
  <c r="B82" i="43"/>
  <c r="G15" i="20"/>
  <c r="B81" i="43"/>
  <c r="C24" i="20"/>
  <c r="B73" i="43"/>
  <c r="C21" i="20"/>
  <c r="C27" i="39" s="1"/>
  <c r="B74" i="43"/>
  <c r="C20" i="20"/>
  <c r="B77" i="43"/>
  <c r="C18" i="20"/>
  <c r="B71" i="43"/>
  <c r="C17" i="20"/>
  <c r="B59" i="43"/>
  <c r="C16" i="20"/>
  <c r="B48" i="43"/>
  <c r="C15" i="20"/>
  <c r="B70" i="43"/>
  <c r="E54" i="21"/>
  <c r="F54" s="1"/>
  <c r="I54"/>
  <c r="J54" s="1"/>
  <c r="G54"/>
  <c r="H54" s="1"/>
  <c r="D125"/>
  <c r="E125" s="1"/>
  <c r="F125" s="1"/>
  <c r="G125" s="1"/>
  <c r="D123"/>
  <c r="E123" s="1"/>
  <c r="D119"/>
  <c r="D117"/>
  <c r="E117"/>
  <c r="J39" s="1"/>
  <c r="AC39" s="1"/>
  <c r="D115"/>
  <c r="E115"/>
  <c r="F115" s="1"/>
  <c r="G115" s="1"/>
  <c r="H115" s="1"/>
  <c r="I115" s="1"/>
  <c r="J115" s="1"/>
  <c r="K115" s="1"/>
  <c r="L115" s="1"/>
  <c r="M115" s="1"/>
  <c r="D113"/>
  <c r="E113" s="1"/>
  <c r="F113" s="1"/>
  <c r="D110"/>
  <c r="E110" s="1"/>
  <c r="F110" s="1"/>
  <c r="G110" s="1"/>
  <c r="H110" s="1"/>
  <c r="I110" s="1"/>
  <c r="J110" s="1"/>
  <c r="K110" s="1"/>
  <c r="L110" s="1"/>
  <c r="M110" s="1"/>
  <c r="J36"/>
  <c r="D108"/>
  <c r="E108" s="1"/>
  <c r="F108" s="1"/>
  <c r="G108" s="1"/>
  <c r="H108" s="1"/>
  <c r="I108" s="1"/>
  <c r="J108" s="1"/>
  <c r="K108" s="1"/>
  <c r="L108" s="1"/>
  <c r="M108" s="1"/>
  <c r="D106"/>
  <c r="D101"/>
  <c r="D89"/>
  <c r="E89" s="1"/>
  <c r="F89" s="1"/>
  <c r="D67"/>
  <c r="E67"/>
  <c r="F67"/>
  <c r="G67"/>
  <c r="H67"/>
  <c r="I67"/>
  <c r="J67"/>
  <c r="K67"/>
  <c r="L67"/>
  <c r="M67"/>
  <c r="C67"/>
  <c r="D69"/>
  <c r="E69" s="1"/>
  <c r="F69" s="1"/>
  <c r="G69" s="1"/>
  <c r="H69" s="1"/>
  <c r="I69" s="1"/>
  <c r="J69" s="1"/>
  <c r="K69" s="1"/>
  <c r="L69" s="1"/>
  <c r="M69" s="1"/>
  <c r="D66"/>
  <c r="E66"/>
  <c r="F66" s="1"/>
  <c r="G66" s="1"/>
  <c r="H66" s="1"/>
  <c r="I66" s="1"/>
  <c r="D111"/>
  <c r="E111"/>
  <c r="F111"/>
  <c r="C111"/>
  <c r="D79"/>
  <c r="E79"/>
  <c r="F79" s="1"/>
  <c r="G79" s="1"/>
  <c r="D85"/>
  <c r="E85" s="1"/>
  <c r="F85" s="1"/>
  <c r="G85" s="1"/>
  <c r="D81"/>
  <c r="E81" s="1"/>
  <c r="F81" s="1"/>
  <c r="G81" s="1"/>
  <c r="D77"/>
  <c r="E77" s="1"/>
  <c r="F77" s="1"/>
  <c r="G77" s="1"/>
  <c r="H15"/>
  <c r="U15" s="1"/>
  <c r="B130"/>
  <c r="B128"/>
  <c r="B126"/>
  <c r="B98"/>
  <c r="B96"/>
  <c r="B94"/>
  <c r="J29" s="1"/>
  <c r="AC29" s="1"/>
  <c r="B92"/>
  <c r="B90"/>
  <c r="J27" s="1"/>
  <c r="W27" s="1"/>
  <c r="B74"/>
  <c r="B72"/>
  <c r="B70"/>
  <c r="F12"/>
  <c r="AA12" s="1"/>
  <c r="F10"/>
  <c r="AA10" s="1"/>
  <c r="C19"/>
  <c r="C17"/>
  <c r="C23"/>
  <c r="Q9"/>
  <c r="Z9"/>
  <c r="Q10"/>
  <c r="Z10"/>
  <c r="Q11"/>
  <c r="Z11" s="1"/>
  <c r="Q12"/>
  <c r="Z12" s="1"/>
  <c r="Q13"/>
  <c r="Z13" s="1"/>
  <c r="Q14"/>
  <c r="Z14" s="1"/>
  <c r="Q15"/>
  <c r="Z15"/>
  <c r="Q17"/>
  <c r="Z17"/>
  <c r="Q19"/>
  <c r="Z19"/>
  <c r="Q23"/>
  <c r="Z23" s="1"/>
  <c r="Q25"/>
  <c r="Z25" s="1"/>
  <c r="Q26"/>
  <c r="Z26"/>
  <c r="Q27"/>
  <c r="Z27" s="1"/>
  <c r="Q28"/>
  <c r="Z28" s="1"/>
  <c r="Q29"/>
  <c r="Z29"/>
  <c r="Q30"/>
  <c r="Z30" s="1"/>
  <c r="Q31"/>
  <c r="Z31" s="1"/>
  <c r="Q32"/>
  <c r="Z32" s="1"/>
  <c r="Q33"/>
  <c r="Z33" s="1"/>
  <c r="Q34"/>
  <c r="Z34" s="1"/>
  <c r="J35"/>
  <c r="W35" s="1"/>
  <c r="Q35"/>
  <c r="Z35" s="1"/>
  <c r="Q36"/>
  <c r="Z36" s="1"/>
  <c r="Q37"/>
  <c r="Z37" s="1"/>
  <c r="J38"/>
  <c r="W38" s="1"/>
  <c r="Q38"/>
  <c r="Z38"/>
  <c r="Q39"/>
  <c r="Z39" s="1"/>
  <c r="Q40"/>
  <c r="Z40" s="1"/>
  <c r="Q41"/>
  <c r="Z41" s="1"/>
  <c r="Q42"/>
  <c r="Z42"/>
  <c r="Q43"/>
  <c r="Z43" s="1"/>
  <c r="Q44"/>
  <c r="Z44" s="1"/>
  <c r="Q45"/>
  <c r="Z45" s="1"/>
  <c r="Q46"/>
  <c r="Z46" s="1"/>
  <c r="P47"/>
  <c r="R47"/>
  <c r="T47"/>
  <c r="V47"/>
  <c r="P48"/>
  <c r="P49"/>
  <c r="F8"/>
  <c r="AA8" s="1"/>
  <c r="E10" i="11"/>
  <c r="E9"/>
  <c r="F43" i="21"/>
  <c r="S43" s="1"/>
  <c r="H38"/>
  <c r="U38" s="1"/>
  <c r="H43"/>
  <c r="AB43" s="1"/>
  <c r="F38"/>
  <c r="S38" s="1"/>
  <c r="F36"/>
  <c r="S36" s="1"/>
  <c r="H35"/>
  <c r="AB35" s="1"/>
  <c r="J8"/>
  <c r="AC8" s="1"/>
  <c r="J9"/>
  <c r="W9" s="1"/>
  <c r="H8"/>
  <c r="U8" s="1"/>
  <c r="H9"/>
  <c r="AB9" s="1"/>
  <c r="H10"/>
  <c r="AB10" s="1"/>
  <c r="H36"/>
  <c r="U36" s="1"/>
  <c r="F35"/>
  <c r="AA35" s="1"/>
  <c r="J33"/>
  <c r="W33" s="1"/>
  <c r="H33"/>
  <c r="AB33" s="1"/>
  <c r="F33"/>
  <c r="AA33" s="1"/>
  <c r="J10"/>
  <c r="AC10" s="1"/>
  <c r="F19"/>
  <c r="AA19" s="1"/>
  <c r="J19"/>
  <c r="W19" s="1"/>
  <c r="J12"/>
  <c r="AC12" s="1"/>
  <c r="H12"/>
  <c r="AB12" s="1"/>
  <c r="AB41"/>
  <c r="U41"/>
  <c r="S41"/>
  <c r="AA41"/>
  <c r="W41"/>
  <c r="F45" i="39"/>
  <c r="J45"/>
  <c r="W45"/>
  <c r="J44"/>
  <c r="F36"/>
  <c r="S36" s="1"/>
  <c r="H36"/>
  <c r="AB36" s="1"/>
  <c r="J36"/>
  <c r="AC36" s="1"/>
  <c r="S8"/>
  <c r="U38"/>
  <c r="H32" i="37"/>
  <c r="AB32" s="1"/>
  <c r="U8"/>
  <c r="W31"/>
  <c r="F39"/>
  <c r="S39" s="1"/>
  <c r="U14"/>
  <c r="S30"/>
  <c r="W30"/>
  <c r="F29" i="36"/>
  <c r="AA29"/>
  <c r="F16"/>
  <c r="S16"/>
  <c r="U22"/>
  <c r="S23"/>
  <c r="W23"/>
  <c r="W22"/>
  <c r="AA31"/>
  <c r="AC31"/>
  <c r="W31"/>
  <c r="U31"/>
  <c r="J33"/>
  <c r="W33"/>
  <c r="AB34"/>
  <c r="H22" i="35"/>
  <c r="AB22" s="1"/>
  <c r="U9"/>
  <c r="U31"/>
  <c r="S32"/>
  <c r="S31"/>
  <c r="W31"/>
  <c r="U32"/>
  <c r="F36" i="34"/>
  <c r="AA36" s="1"/>
  <c r="U39"/>
  <c r="H39" i="33"/>
  <c r="AB39"/>
  <c r="F26"/>
  <c r="AA26"/>
  <c r="S40"/>
  <c r="H39" i="37"/>
  <c r="AB39" s="1"/>
  <c r="S27" i="35"/>
  <c r="F11" i="40"/>
  <c r="AA11"/>
  <c r="S8"/>
  <c r="H11"/>
  <c r="AB11" s="1"/>
  <c r="W8"/>
  <c r="U9"/>
  <c r="S34"/>
  <c r="U34"/>
  <c r="S39"/>
  <c r="W39"/>
  <c r="F42" i="39"/>
  <c r="AA42" s="1"/>
  <c r="F41"/>
  <c r="AA41" s="1"/>
  <c r="H40"/>
  <c r="AB40" s="1"/>
  <c r="H39"/>
  <c r="U39" s="1"/>
  <c r="S38"/>
  <c r="H34"/>
  <c r="AB34"/>
  <c r="E109"/>
  <c r="F109"/>
  <c r="H31"/>
  <c r="AB31" s="1"/>
  <c r="F31"/>
  <c r="AA31" s="1"/>
  <c r="E103"/>
  <c r="H19"/>
  <c r="AB19"/>
  <c r="F19"/>
  <c r="S19" s="1"/>
  <c r="H17"/>
  <c r="U17" s="1"/>
  <c r="F17"/>
  <c r="AA17" s="1"/>
  <c r="J23" i="40"/>
  <c r="AC23" s="1"/>
  <c r="H42" i="39"/>
  <c r="AB42" s="1"/>
  <c r="J34"/>
  <c r="AC34" s="1"/>
  <c r="G109"/>
  <c r="H109" s="1"/>
  <c r="I109" s="1"/>
  <c r="J109" s="1"/>
  <c r="K109" s="1"/>
  <c r="L109" s="1"/>
  <c r="M109" s="1"/>
  <c r="J31"/>
  <c r="W31"/>
  <c r="F103"/>
  <c r="H29"/>
  <c r="U29" s="1"/>
  <c r="J19"/>
  <c r="AC19" s="1"/>
  <c r="J17"/>
  <c r="W17" s="1"/>
  <c r="J29"/>
  <c r="AC29" s="1"/>
  <c r="F29"/>
  <c r="AA29" s="1"/>
  <c r="F11" i="21"/>
  <c r="S11" s="1"/>
  <c r="C25" i="39"/>
  <c r="C21"/>
  <c r="H11"/>
  <c r="AB11"/>
  <c r="AB39"/>
  <c r="H11" i="21"/>
  <c r="U11" s="1"/>
  <c r="J11"/>
  <c r="AC11" s="1"/>
  <c r="U33"/>
  <c r="H36" i="40"/>
  <c r="U36"/>
  <c r="F35"/>
  <c r="S35"/>
  <c r="J30"/>
  <c r="W30"/>
  <c r="F30"/>
  <c r="AA30"/>
  <c r="F96"/>
  <c r="G96"/>
  <c r="H96" s="1"/>
  <c r="I96" s="1"/>
  <c r="J96" s="1"/>
  <c r="K96" s="1"/>
  <c r="L96" s="1"/>
  <c r="M96" s="1"/>
  <c r="H27"/>
  <c r="U27"/>
  <c r="H23"/>
  <c r="AB23"/>
  <c r="J11"/>
  <c r="W11"/>
  <c r="AB12" i="33"/>
  <c r="AA12"/>
  <c r="S44" i="39"/>
  <c r="F37"/>
  <c r="S37" s="1"/>
  <c r="J34" i="36"/>
  <c r="W34" s="1"/>
  <c r="U30"/>
  <c r="J30" i="35"/>
  <c r="W30"/>
  <c r="H30"/>
  <c r="AB30"/>
  <c r="F22"/>
  <c r="AA22"/>
  <c r="H10"/>
  <c r="U10"/>
  <c r="U33" i="36"/>
  <c r="AB29"/>
  <c r="F33"/>
  <c r="S33"/>
  <c r="E85"/>
  <c r="F85"/>
  <c r="G85" s="1"/>
  <c r="H85" s="1"/>
  <c r="I85" s="1"/>
  <c r="J85" s="1"/>
  <c r="K85" s="1"/>
  <c r="L85" s="1"/>
  <c r="M85" s="1"/>
  <c r="J29"/>
  <c r="AC29" s="1"/>
  <c r="F12"/>
  <c r="AA12" s="1"/>
  <c r="F34"/>
  <c r="AA34" s="1"/>
  <c r="H20"/>
  <c r="J20"/>
  <c r="W20"/>
  <c r="AB8"/>
  <c r="W9" i="35"/>
  <c r="F14"/>
  <c r="F23"/>
  <c r="AA23" s="1"/>
  <c r="J32"/>
  <c r="AC32" s="1"/>
  <c r="J16"/>
  <c r="W16" s="1"/>
  <c r="H14"/>
  <c r="AB14" s="1"/>
  <c r="H33"/>
  <c r="AB33" s="1"/>
  <c r="S8"/>
  <c r="W8"/>
  <c r="S9"/>
  <c r="J20"/>
  <c r="W20"/>
  <c r="H20"/>
  <c r="U20"/>
  <c r="F20"/>
  <c r="AA20"/>
  <c r="E101" i="37"/>
  <c r="F101"/>
  <c r="G101" s="1"/>
  <c r="H101" s="1"/>
  <c r="I101" s="1"/>
  <c r="J101" s="1"/>
  <c r="K101" s="1"/>
  <c r="L101" s="1"/>
  <c r="M101" s="1"/>
  <c r="J34"/>
  <c r="W34" s="1"/>
  <c r="AA39"/>
  <c r="J43" i="34"/>
  <c r="AC43"/>
  <c r="H43"/>
  <c r="AB43"/>
  <c r="U42"/>
  <c r="F118"/>
  <c r="H40"/>
  <c r="U40"/>
  <c r="E114"/>
  <c r="F38"/>
  <c r="AA38" s="1"/>
  <c r="F114"/>
  <c r="G114" s="1"/>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c r="J19"/>
  <c r="W19"/>
  <c r="J17"/>
  <c r="AC17"/>
  <c r="H17"/>
  <c r="AB17"/>
  <c r="J15"/>
  <c r="AC15"/>
  <c r="F11"/>
  <c r="AA11"/>
  <c r="W10"/>
  <c r="H10"/>
  <c r="U10" s="1"/>
  <c r="S10" i="21"/>
  <c r="S26" i="33"/>
  <c r="U40"/>
  <c r="U8"/>
  <c r="S8"/>
  <c r="F37" i="40"/>
  <c r="AA37"/>
  <c r="F36"/>
  <c r="AA36"/>
  <c r="J27"/>
  <c r="W27"/>
  <c r="F27"/>
  <c r="S27"/>
  <c r="F23"/>
  <c r="AA23"/>
  <c r="AC11"/>
  <c r="AB30" i="36"/>
  <c r="AC34"/>
  <c r="AC30" i="35"/>
  <c r="W32"/>
  <c r="F29"/>
  <c r="S29" s="1"/>
  <c r="U34" i="37"/>
  <c r="AB42" i="34"/>
  <c r="H38"/>
  <c r="U15"/>
  <c r="F113" i="33"/>
  <c r="G113" s="1"/>
  <c r="H113" s="1"/>
  <c r="I113" s="1"/>
  <c r="J113" s="1"/>
  <c r="K113" s="1"/>
  <c r="L113" s="1"/>
  <c r="M113" s="1"/>
  <c r="H37"/>
  <c r="AB37" s="1"/>
  <c r="AA37"/>
  <c r="H36"/>
  <c r="U36"/>
  <c r="S25"/>
  <c r="F17"/>
  <c r="AA17" s="1"/>
  <c r="H15"/>
  <c r="AB15" s="1"/>
  <c r="AB11"/>
  <c r="AC27" i="40"/>
  <c r="AC42" i="34"/>
  <c r="W42"/>
  <c r="AA42"/>
  <c r="S42"/>
  <c r="W38"/>
  <c r="J37" i="33"/>
  <c r="AC37"/>
  <c r="J36"/>
  <c r="AC36"/>
  <c r="J11"/>
  <c r="AC11"/>
  <c r="J10" i="35"/>
  <c r="AC10"/>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c r="H28"/>
  <c r="U28"/>
  <c r="F28"/>
  <c r="S28"/>
  <c r="J28"/>
  <c r="AC28"/>
  <c r="F33" i="35"/>
  <c r="S33"/>
  <c r="J33"/>
  <c r="AC33"/>
  <c r="F30"/>
  <c r="S30"/>
  <c r="E89"/>
  <c r="F89"/>
  <c r="G89" s="1"/>
  <c r="H89" s="1"/>
  <c r="I89" s="1"/>
  <c r="J89" s="1"/>
  <c r="K89" s="1"/>
  <c r="L89" s="1"/>
  <c r="M89" s="1"/>
  <c r="H10" i="36"/>
  <c r="AB10" s="1"/>
  <c r="F83"/>
  <c r="G83" s="1"/>
  <c r="H83" s="1"/>
  <c r="I83" s="1"/>
  <c r="J83" s="1"/>
  <c r="K83" s="1"/>
  <c r="L83" s="1"/>
  <c r="M83" s="1"/>
  <c r="F28"/>
  <c r="AA28" s="1"/>
  <c r="J13" i="33"/>
  <c r="AC13" s="1"/>
  <c r="H13"/>
  <c r="AB13" s="1"/>
  <c r="F13"/>
  <c r="S13" s="1"/>
  <c r="J29"/>
  <c r="AC29" s="1"/>
  <c r="H29"/>
  <c r="U29"/>
  <c r="F29"/>
  <c r="S29"/>
  <c r="J31"/>
  <c r="W31"/>
  <c r="H31"/>
  <c r="AB31"/>
  <c r="F31"/>
  <c r="AA31"/>
  <c r="H45"/>
  <c r="U45"/>
  <c r="J45"/>
  <c r="W45"/>
  <c r="F45"/>
  <c r="S45"/>
  <c r="J14" i="34"/>
  <c r="W14"/>
  <c r="F14"/>
  <c r="H14"/>
  <c r="U14" s="1"/>
  <c r="H30"/>
  <c r="U30" s="1"/>
  <c r="F30"/>
  <c r="S30" s="1"/>
  <c r="J30"/>
  <c r="W30" s="1"/>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s="1"/>
  <c r="AB46" i="21"/>
  <c r="U14"/>
  <c r="AC14"/>
  <c r="S46" i="33"/>
  <c r="AC13" i="36"/>
  <c r="AC11"/>
  <c r="U32"/>
  <c r="AB45" i="33"/>
  <c r="U31"/>
  <c r="W29"/>
  <c r="AB28"/>
  <c r="J41" i="39"/>
  <c r="W41" s="1"/>
  <c r="AC45"/>
  <c r="U36"/>
  <c r="S508" i="31"/>
  <c r="S506"/>
  <c r="S504"/>
  <c r="S502"/>
  <c r="O30"/>
  <c r="O31"/>
  <c r="O29"/>
  <c r="M30"/>
  <c r="M31"/>
  <c r="M29"/>
  <c r="E15"/>
  <c r="F15" s="1"/>
  <c r="G15" s="1"/>
  <c r="H15" s="1"/>
  <c r="I15" s="1"/>
  <c r="J15" s="1"/>
  <c r="K15" s="1"/>
  <c r="L15" s="1"/>
  <c r="M15" s="1"/>
  <c r="N15" s="1"/>
  <c r="O15" s="1"/>
  <c r="P15" s="1"/>
  <c r="Q15" s="1"/>
  <c r="R15" s="1"/>
  <c r="S15" s="1"/>
  <c r="I29"/>
  <c r="I28"/>
  <c r="Q29"/>
  <c r="K29"/>
  <c r="Q30"/>
  <c r="K30"/>
  <c r="I31"/>
  <c r="Q31"/>
  <c r="K31"/>
  <c r="W36" i="33"/>
  <c r="S12" i="21"/>
  <c r="H25"/>
  <c r="U25" s="1"/>
  <c r="F25"/>
  <c r="S25" s="1"/>
  <c r="J25"/>
  <c r="AC25" s="1"/>
  <c r="H17" i="37"/>
  <c r="U17" s="1"/>
  <c r="F73"/>
  <c r="G73" s="1"/>
  <c r="F23"/>
  <c r="S23" s="1"/>
  <c r="F32"/>
  <c r="S32" s="1"/>
  <c r="AA36" i="39"/>
  <c r="F39" i="33"/>
  <c r="AA39"/>
  <c r="F42"/>
  <c r="AA42"/>
  <c r="F14" i="36"/>
  <c r="AA14"/>
  <c r="F22"/>
  <c r="AA22"/>
  <c r="F26"/>
  <c r="AA26"/>
  <c r="H27" i="34"/>
  <c r="U27"/>
  <c r="H35"/>
  <c r="U35"/>
  <c r="F41"/>
  <c r="S41"/>
  <c r="H41"/>
  <c r="U41"/>
  <c r="J41"/>
  <c r="AC41"/>
  <c r="F10" i="35"/>
  <c r="AA10"/>
  <c r="H23" i="37"/>
  <c r="AB23"/>
  <c r="J32"/>
  <c r="AC32" s="1"/>
  <c r="F36"/>
  <c r="AA36" s="1"/>
  <c r="F37"/>
  <c r="AA37" s="1"/>
  <c r="F31" i="40"/>
  <c r="AA31" s="1"/>
  <c r="H31"/>
  <c r="U31" s="1"/>
  <c r="F32"/>
  <c r="S32" s="1"/>
  <c r="H32"/>
  <c r="U32" s="1"/>
  <c r="J36"/>
  <c r="W36" s="1"/>
  <c r="AB32"/>
  <c r="U23" i="37"/>
  <c r="H42" i="33"/>
  <c r="U42"/>
  <c r="J23" i="37"/>
  <c r="W23"/>
  <c r="S30" i="31"/>
  <c r="U11" i="40"/>
  <c r="AC33" i="36"/>
  <c r="AB20" i="35"/>
  <c r="AA11"/>
  <c r="AC12"/>
  <c r="S28" i="37"/>
  <c r="U39"/>
  <c r="AC8"/>
  <c r="S25"/>
  <c r="W47" i="34"/>
  <c r="AB8"/>
  <c r="W14" i="33"/>
  <c r="AA13"/>
  <c r="AC31"/>
  <c r="AA30"/>
  <c r="AB10"/>
  <c r="S11"/>
  <c r="AB38" i="21"/>
  <c r="AA23" i="37"/>
  <c r="W10" i="36"/>
  <c r="W38" i="37"/>
  <c r="H19" i="34"/>
  <c r="U19" s="1"/>
  <c r="F36" i="35"/>
  <c r="AA36" s="1"/>
  <c r="J9" i="37"/>
  <c r="W9" s="1"/>
  <c r="H9"/>
  <c r="AB9" s="1"/>
  <c r="F9"/>
  <c r="AA9" s="1"/>
  <c r="F11"/>
  <c r="S11" s="1"/>
  <c r="J42" i="39"/>
  <c r="AC42" s="1"/>
  <c r="AC9" i="37"/>
  <c r="AB27" i="40"/>
  <c r="AC31" i="39"/>
  <c r="U31"/>
  <c r="C12" i="43"/>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AC37"/>
  <c r="H25"/>
  <c r="U25"/>
  <c r="J25"/>
  <c r="W25"/>
  <c r="F25"/>
  <c r="S25"/>
  <c r="F15"/>
  <c r="S15"/>
  <c r="H15"/>
  <c r="U15" s="1"/>
  <c r="J15"/>
  <c r="W15" s="1"/>
  <c r="H41"/>
  <c r="AB41" s="1"/>
  <c r="F11"/>
  <c r="AA11" s="1"/>
  <c r="H21"/>
  <c r="U21" s="1"/>
  <c r="F32"/>
  <c r="S32" s="1"/>
  <c r="W29"/>
  <c r="W19"/>
  <c r="U34"/>
  <c r="S42"/>
  <c r="S41"/>
  <c r="W39"/>
  <c r="W8"/>
  <c r="AB25"/>
  <c r="W21"/>
  <c r="J11"/>
  <c r="W11"/>
  <c r="J32"/>
  <c r="AC32"/>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s="1"/>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c r="F26"/>
  <c r="AA26"/>
  <c r="H26"/>
  <c r="U26"/>
  <c r="K145" i="21"/>
  <c r="K144"/>
  <c r="K141"/>
  <c r="K143"/>
  <c r="B101" i="9"/>
  <c r="C112" s="1"/>
  <c r="H110" s="1"/>
  <c r="F23" i="21"/>
  <c r="AA23" s="1"/>
  <c r="J23"/>
  <c r="AC23" s="1"/>
  <c r="H23"/>
  <c r="U23" s="1"/>
  <c r="F17"/>
  <c r="AA17" s="1"/>
  <c r="J17"/>
  <c r="AC17" s="1"/>
  <c r="H17"/>
  <c r="AB17" s="1"/>
  <c r="J15"/>
  <c r="W15" s="1"/>
  <c r="U35"/>
  <c r="H102" i="57"/>
  <c r="A131" i="9"/>
  <c r="A134" i="57"/>
  <c r="B102"/>
  <c r="B106" s="1"/>
  <c r="C111"/>
  <c r="H106" s="1"/>
  <c r="D127"/>
  <c r="AC15" i="21"/>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S25" s="1"/>
  <c r="C113" i="57"/>
  <c r="H108" s="1"/>
  <c r="C18"/>
  <c r="D18"/>
  <c r="D47" i="15"/>
  <c r="AB12" i="37"/>
  <c r="J37"/>
  <c r="W37"/>
  <c r="AB40"/>
  <c r="U40"/>
  <c r="AB15" i="21"/>
  <c r="AA16" i="35"/>
  <c r="S14" i="39"/>
  <c r="AB29" i="35"/>
  <c r="U29"/>
  <c r="AA35" i="39"/>
  <c r="AB21"/>
  <c r="U25" i="35"/>
  <c r="W44" i="33"/>
  <c r="U36" i="37"/>
  <c r="AB46" i="34"/>
  <c r="S14"/>
  <c r="AA14"/>
  <c r="AB38"/>
  <c r="U38"/>
  <c r="F40"/>
  <c r="AA40" s="1"/>
  <c r="G118"/>
  <c r="U20" i="36"/>
  <c r="AB20"/>
  <c r="AA16"/>
  <c r="AC44" i="39"/>
  <c r="W44"/>
  <c r="H13" i="21"/>
  <c r="U13" s="1"/>
  <c r="J13"/>
  <c r="F13"/>
  <c r="AA13" s="1"/>
  <c r="J45"/>
  <c r="F45"/>
  <c r="AA45" s="1"/>
  <c r="B41" i="47"/>
  <c r="C23" i="40"/>
  <c r="AC8" i="34"/>
  <c r="W8"/>
  <c r="W12"/>
  <c r="AC12"/>
  <c r="J9"/>
  <c r="AC9" s="1"/>
  <c r="F9"/>
  <c r="S9" s="1"/>
  <c r="AA19"/>
  <c r="S19"/>
  <c r="AB23" i="36"/>
  <c r="U23"/>
  <c r="J12"/>
  <c r="W12" s="1"/>
  <c r="H12"/>
  <c r="AB12" s="1"/>
  <c r="AA9" i="39"/>
  <c r="S9"/>
  <c r="AB12"/>
  <c r="U12"/>
  <c r="J12"/>
  <c r="F12"/>
  <c r="S12"/>
  <c r="R29" i="31"/>
  <c r="T29"/>
  <c r="B103" i="9"/>
  <c r="F15" i="21"/>
  <c r="S15" s="1"/>
  <c r="C106" i="9"/>
  <c r="H102" s="1"/>
  <c r="AA30" i="21"/>
  <c r="J36" i="34"/>
  <c r="W36"/>
  <c r="S8"/>
  <c r="J19" i="40"/>
  <c r="AC19" s="1"/>
  <c r="W9" i="39"/>
  <c r="U14"/>
  <c r="H32"/>
  <c r="U32" s="1"/>
  <c r="F21"/>
  <c r="AA21" s="1"/>
  <c r="F37" i="47"/>
  <c r="B35" s="1"/>
  <c r="F31" i="37"/>
  <c r="AA31" s="1"/>
  <c r="U25" i="36"/>
  <c r="AC36" i="40"/>
  <c r="F17" i="37"/>
  <c r="AA17" s="1"/>
  <c r="AA29" i="33"/>
  <c r="AB28" i="36"/>
  <c r="AB13" i="40"/>
  <c r="U33"/>
  <c r="S12"/>
  <c r="AB13" i="37"/>
  <c r="U44" i="33"/>
  <c r="U11" i="36"/>
  <c r="AB11" i="35"/>
  <c r="U32" i="34"/>
  <c r="AB32"/>
  <c r="AA30"/>
  <c r="H45" i="21"/>
  <c r="AB45" s="1"/>
  <c r="J14" i="36"/>
  <c r="AC14"/>
  <c r="AA30" i="35"/>
  <c r="AC30" i="21"/>
  <c r="S15" i="34"/>
  <c r="J40"/>
  <c r="AC40" s="1"/>
  <c r="S37" i="40"/>
  <c r="H19" i="33"/>
  <c r="AB19"/>
  <c r="AB23"/>
  <c r="U23"/>
  <c r="W23"/>
  <c r="AA41"/>
  <c r="J23" i="34"/>
  <c r="W23"/>
  <c r="AC30" i="40"/>
  <c r="AB17" i="39"/>
  <c r="W22" i="35"/>
  <c r="S30" i="36"/>
  <c r="AA38" i="21"/>
  <c r="E106"/>
  <c r="F106" s="1"/>
  <c r="G106" s="1"/>
  <c r="H106" s="1"/>
  <c r="I106" s="1"/>
  <c r="J106" s="1"/>
  <c r="K106" s="1"/>
  <c r="L106" s="1"/>
  <c r="M106" s="1"/>
  <c r="F34"/>
  <c r="S34" s="1"/>
  <c r="H34"/>
  <c r="U34" s="1"/>
  <c r="J34"/>
  <c r="AC34" s="1"/>
  <c r="AC36"/>
  <c r="W36"/>
  <c r="E101" i="33"/>
  <c r="F32"/>
  <c r="AA32"/>
  <c r="H9" i="34"/>
  <c r="AB9"/>
  <c r="W27"/>
  <c r="AC27"/>
  <c r="H28"/>
  <c r="U28"/>
  <c r="E116"/>
  <c r="F116"/>
  <c r="G116" s="1"/>
  <c r="H116" s="1"/>
  <c r="I116" s="1"/>
  <c r="J116" s="1"/>
  <c r="K116" s="1"/>
  <c r="L116" s="1"/>
  <c r="M116" s="1"/>
  <c r="J39"/>
  <c r="W39" s="1"/>
  <c r="J27" i="36"/>
  <c r="F37" i="34"/>
  <c r="AA37"/>
  <c r="H37"/>
  <c r="U37"/>
  <c r="F26" i="47"/>
  <c r="B24"/>
  <c r="AA32" i="37"/>
  <c r="AB12" i="40"/>
  <c r="U12"/>
  <c r="AC14" i="39"/>
  <c r="AC46" i="34"/>
  <c r="AA32"/>
  <c r="S31" i="33"/>
  <c r="U10" i="36"/>
  <c r="W28" i="33"/>
  <c r="W34"/>
  <c r="AC34"/>
  <c r="AA14" i="35"/>
  <c r="S14"/>
  <c r="W11" i="21"/>
  <c r="S45" i="39"/>
  <c r="AA45"/>
  <c r="H27" i="21"/>
  <c r="AB27" s="1"/>
  <c r="F27"/>
  <c r="AA27" s="1"/>
  <c r="H29"/>
  <c r="U29" s="1"/>
  <c r="F29"/>
  <c r="AA29" s="1"/>
  <c r="J31"/>
  <c r="W31" s="1"/>
  <c r="H31"/>
  <c r="F31"/>
  <c r="AA31"/>
  <c r="H39"/>
  <c r="U39" s="1"/>
  <c r="F117"/>
  <c r="G117" s="1"/>
  <c r="S9"/>
  <c r="AA9"/>
  <c r="AA15" i="33"/>
  <c r="S15"/>
  <c r="AA35"/>
  <c r="E117"/>
  <c r="F117"/>
  <c r="G117" s="1"/>
  <c r="J39"/>
  <c r="AC39" s="1"/>
  <c r="E125"/>
  <c r="H43"/>
  <c r="U43"/>
  <c r="E91"/>
  <c r="F91"/>
  <c r="G91" s="1"/>
  <c r="H91" s="1"/>
  <c r="I91" s="1"/>
  <c r="J91" s="1"/>
  <c r="K91" s="1"/>
  <c r="L91" s="1"/>
  <c r="M91" s="1"/>
  <c r="F27"/>
  <c r="S27" s="1"/>
  <c r="H41"/>
  <c r="U41" s="1"/>
  <c r="S12" i="34"/>
  <c r="AA12"/>
  <c r="AA11"/>
  <c r="S11"/>
  <c r="F80"/>
  <c r="H17"/>
  <c r="U17"/>
  <c r="H16" i="35"/>
  <c r="U16"/>
  <c r="J24"/>
  <c r="AC24"/>
  <c r="F24"/>
  <c r="AA24"/>
  <c r="H24"/>
  <c r="U24"/>
  <c r="H34"/>
  <c r="U34"/>
  <c r="F34"/>
  <c r="G60" i="37"/>
  <c r="F10"/>
  <c r="AA10" s="1"/>
  <c r="J12"/>
  <c r="W12" s="1"/>
  <c r="F12"/>
  <c r="S12" s="1"/>
  <c r="H27"/>
  <c r="U27" s="1"/>
  <c r="F27"/>
  <c r="AA27" s="1"/>
  <c r="J27"/>
  <c r="AC27" s="1"/>
  <c r="J29"/>
  <c r="W29" s="1"/>
  <c r="F29"/>
  <c r="S29" s="1"/>
  <c r="H31"/>
  <c r="AB31" s="1"/>
  <c r="J36"/>
  <c r="W36" s="1"/>
  <c r="J40"/>
  <c r="W40" s="1"/>
  <c r="F40"/>
  <c r="AA40" s="1"/>
  <c r="AB25"/>
  <c r="U8" i="39"/>
  <c r="AB8"/>
  <c r="J29" i="35"/>
  <c r="AC29"/>
  <c r="AC30" i="36"/>
  <c r="W30"/>
  <c r="H35" i="39"/>
  <c r="U35"/>
  <c r="J35"/>
  <c r="AC35"/>
  <c r="AA19"/>
  <c r="H16" i="36"/>
  <c r="U16" s="1"/>
  <c r="U32" i="37"/>
  <c r="E101" i="21"/>
  <c r="F101"/>
  <c r="G101" s="1"/>
  <c r="H101" s="1"/>
  <c r="I101" s="1"/>
  <c r="J101" s="1"/>
  <c r="K101" s="1"/>
  <c r="L101" s="1"/>
  <c r="M101" s="1"/>
  <c r="F32"/>
  <c r="S32" s="1"/>
  <c r="J32"/>
  <c r="W32" s="1"/>
  <c r="H32"/>
  <c r="U32" s="1"/>
  <c r="F40"/>
  <c r="AA40" s="1"/>
  <c r="H40"/>
  <c r="AB40" s="1"/>
  <c r="J40"/>
  <c r="AC40" s="1"/>
  <c r="B44" i="47"/>
  <c r="C21" i="40"/>
  <c r="AC33" i="33"/>
  <c r="W33"/>
  <c r="S34"/>
  <c r="AA38"/>
  <c r="S38"/>
  <c r="AC38"/>
  <c r="W38"/>
  <c r="J9"/>
  <c r="AC9"/>
  <c r="F9"/>
  <c r="AA9"/>
  <c r="AA10" i="34"/>
  <c r="S10"/>
  <c r="F25"/>
  <c r="S25"/>
  <c r="E126"/>
  <c r="H44"/>
  <c r="U44" s="1"/>
  <c r="AB26" i="36"/>
  <c r="U26"/>
  <c r="F20"/>
  <c r="AA20" s="1"/>
  <c r="J24"/>
  <c r="W24" s="1"/>
  <c r="H24"/>
  <c r="U24" s="1"/>
  <c r="F24"/>
  <c r="AA24" s="1"/>
  <c r="AA32"/>
  <c r="S32"/>
  <c r="J26" i="37"/>
  <c r="AC26" s="1"/>
  <c r="H26"/>
  <c r="AB26" s="1"/>
  <c r="F26"/>
  <c r="AA26" s="1"/>
  <c r="J23" i="39"/>
  <c r="W23" s="1"/>
  <c r="E97"/>
  <c r="H15" i="37"/>
  <c r="AB15"/>
  <c r="F15"/>
  <c r="AA15"/>
  <c r="F38" i="40"/>
  <c r="AA38"/>
  <c r="J38"/>
  <c r="W38"/>
  <c r="H38"/>
  <c r="AB38"/>
  <c r="J40"/>
  <c r="AC40"/>
  <c r="H40"/>
  <c r="AB40"/>
  <c r="F40"/>
  <c r="AA40"/>
  <c r="N6" i="43"/>
  <c r="F48"/>
  <c r="H51" s="1"/>
  <c r="M9"/>
  <c r="M1"/>
  <c r="N3"/>
  <c r="A121" i="9"/>
  <c r="N5" i="43"/>
  <c r="F101" i="9"/>
  <c r="M4" i="43"/>
  <c r="F33" i="9"/>
  <c r="C25" i="57"/>
  <c r="F107" i="43"/>
  <c r="N102"/>
  <c r="C102"/>
  <c r="G103"/>
  <c r="K104"/>
  <c r="D103"/>
  <c r="H106"/>
  <c r="E103"/>
  <c r="M105"/>
  <c r="G4" i="47"/>
  <c r="F59" i="43"/>
  <c r="H63" s="1"/>
  <c r="G15" i="47"/>
  <c r="W40" i="40"/>
  <c r="U15" i="37"/>
  <c r="AB24" i="36"/>
  <c r="H25" i="34"/>
  <c r="U25"/>
  <c r="AB35" i="39"/>
  <c r="AC40" i="37"/>
  <c r="AC36"/>
  <c r="S27"/>
  <c r="AA12"/>
  <c r="AA34" i="35"/>
  <c r="S34"/>
  <c r="AB24"/>
  <c r="J17" i="34"/>
  <c r="AC17" s="1"/>
  <c r="G80"/>
  <c r="F17"/>
  <c r="AA17" s="1"/>
  <c r="H27" i="33"/>
  <c r="AB27" s="1"/>
  <c r="F43"/>
  <c r="S43" s="1"/>
  <c r="F125"/>
  <c r="G125" s="1"/>
  <c r="J43"/>
  <c r="AC43" s="1"/>
  <c r="AB31" i="21"/>
  <c r="U31"/>
  <c r="S37" i="34"/>
  <c r="H27" i="36"/>
  <c r="AB27"/>
  <c r="F27"/>
  <c r="AA27"/>
  <c r="J28" i="34"/>
  <c r="W28"/>
  <c r="AB34" i="21"/>
  <c r="H11" i="34"/>
  <c r="U11" s="1"/>
  <c r="S17" i="37"/>
  <c r="J11"/>
  <c r="AC11"/>
  <c r="AC36" i="34"/>
  <c r="W12" i="39"/>
  <c r="AC12"/>
  <c r="W9" i="34"/>
  <c r="S45" i="21"/>
  <c r="AB13"/>
  <c r="AC37" i="37"/>
  <c r="U38" i="40"/>
  <c r="F23" i="39"/>
  <c r="AA23"/>
  <c r="F97"/>
  <c r="G97"/>
  <c r="S26" i="37"/>
  <c r="S24" i="36"/>
  <c r="F44" i="34"/>
  <c r="F126"/>
  <c r="G126" s="1"/>
  <c r="J44"/>
  <c r="AC44" s="1"/>
  <c r="U31" i="37"/>
  <c r="W27"/>
  <c r="AB27"/>
  <c r="H60"/>
  <c r="H10"/>
  <c r="U10" s="1"/>
  <c r="S24" i="35"/>
  <c r="AA27" i="33"/>
  <c r="AB43"/>
  <c r="S31" i="21"/>
  <c r="AC27" i="36"/>
  <c r="W27"/>
  <c r="U9" i="34"/>
  <c r="F101" i="33"/>
  <c r="G101"/>
  <c r="H101" s="1"/>
  <c r="I101" s="1"/>
  <c r="J101" s="1"/>
  <c r="K101" s="1"/>
  <c r="L101" s="1"/>
  <c r="M101" s="1"/>
  <c r="J32"/>
  <c r="W32"/>
  <c r="H32"/>
  <c r="AB32"/>
  <c r="W40" i="34"/>
  <c r="U45" i="21"/>
  <c r="U12" i="36"/>
  <c r="AC45" i="21"/>
  <c r="W45"/>
  <c r="W13"/>
  <c r="AC13"/>
  <c r="AA44" i="34"/>
  <c r="S44"/>
  <c r="S27" i="36"/>
  <c r="AB25" i="34"/>
  <c r="I60" i="37"/>
  <c r="J10"/>
  <c r="AC10"/>
  <c r="H23" i="39"/>
  <c r="AB23" s="1"/>
  <c r="J11" i="34"/>
  <c r="W11" s="1"/>
  <c r="J27" i="33"/>
  <c r="W27" s="1"/>
  <c r="W17" i="34"/>
  <c r="J25"/>
  <c r="W25"/>
  <c r="U23" i="39"/>
  <c r="AC11" i="34"/>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E48" s="1"/>
  <c r="B46" s="1"/>
  <c r="M56"/>
  <c r="N56"/>
  <c r="C115" i="57"/>
  <c r="H111" s="1"/>
  <c r="F43" i="15"/>
  <c r="F72" s="1"/>
  <c r="D93" i="9"/>
  <c r="D37" i="11"/>
  <c r="C37" s="1"/>
  <c r="M29" i="15"/>
  <c r="P51"/>
  <c r="H56" i="43"/>
  <c r="D10" i="11"/>
  <c r="C10" s="1"/>
  <c r="C2" i="31"/>
  <c r="I23" s="1"/>
  <c r="P60" i="15"/>
  <c r="D3" i="35"/>
  <c r="D3" i="34"/>
  <c r="D78" i="9"/>
  <c r="D94" i="57"/>
  <c r="D79"/>
  <c r="C114"/>
  <c r="H109"/>
  <c r="C112"/>
  <c r="H107"/>
  <c r="A16" i="55"/>
  <c r="B46" i="60" s="1"/>
  <c r="D3" i="33"/>
  <c r="D3" i="37"/>
  <c r="D3" i="36"/>
  <c r="C14" i="12"/>
  <c r="AB36" i="40"/>
  <c r="AA32"/>
  <c r="W32"/>
  <c r="W31"/>
  <c r="AC9"/>
  <c r="S9"/>
  <c r="AA27"/>
  <c r="AC38"/>
  <c r="S40"/>
  <c r="W35"/>
  <c r="W33"/>
  <c r="W34"/>
  <c r="AB39"/>
  <c r="J37"/>
  <c r="H35"/>
  <c r="H37"/>
  <c r="H28"/>
  <c r="F28"/>
  <c r="J28"/>
  <c r="F98"/>
  <c r="G98"/>
  <c r="H98" s="1"/>
  <c r="I98" s="1"/>
  <c r="J98" s="1"/>
  <c r="K98" s="1"/>
  <c r="L98" s="1"/>
  <c r="M98" s="1"/>
  <c r="F21"/>
  <c r="H21"/>
  <c r="F90"/>
  <c r="G90"/>
  <c r="J21"/>
  <c r="W21" s="1"/>
  <c r="W19"/>
  <c r="F86"/>
  <c r="G86"/>
  <c r="H17"/>
  <c r="U17" s="1"/>
  <c r="J17"/>
  <c r="F17"/>
  <c r="S17"/>
  <c r="F84"/>
  <c r="G84"/>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s="1"/>
  <c r="K99" s="1"/>
  <c r="L99" s="1"/>
  <c r="M99" s="1"/>
  <c r="H33"/>
  <c r="AC35"/>
  <c r="W35"/>
  <c r="S31"/>
  <c r="H35"/>
  <c r="AB35"/>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39" i="21"/>
  <c r="U43"/>
  <c r="AB44"/>
  <c r="U30"/>
  <c r="AB36"/>
  <c r="AA36"/>
  <c r="AA43"/>
  <c r="AB32"/>
  <c r="AB21"/>
  <c r="U21"/>
  <c r="S13"/>
  <c r="U12"/>
  <c r="AB11"/>
  <c r="U10"/>
  <c r="U9"/>
  <c r="AB8"/>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c r="D31" i="50"/>
  <c r="D32"/>
  <c r="D10"/>
  <c r="D11"/>
  <c r="B25" i="60" s="1"/>
  <c r="D111" i="57"/>
  <c r="D35" i="50"/>
  <c r="D14"/>
  <c r="B28" i="60"/>
  <c r="C18" i="9"/>
  <c r="D18" s="1"/>
  <c r="D22" i="15"/>
  <c r="T28" i="31"/>
  <c r="A14" i="52"/>
  <c r="B61" i="60" s="1"/>
  <c r="C29" i="11"/>
  <c r="D27" s="1"/>
  <c r="C36" i="57"/>
  <c r="F124" s="1"/>
  <c r="Y25" i="31"/>
  <c r="C35" i="57"/>
  <c r="D124" s="1"/>
  <c r="V25" i="31"/>
  <c r="A4" i="54"/>
  <c r="B6" i="60" s="1"/>
  <c r="L103" i="43"/>
  <c r="H102"/>
  <c r="D109"/>
  <c r="K107"/>
  <c r="C106"/>
  <c r="D3" i="21"/>
  <c r="N9" i="43"/>
  <c r="M6"/>
  <c r="N11"/>
  <c r="M5"/>
  <c r="N2"/>
  <c r="F81"/>
  <c r="H85" s="1"/>
  <c r="N10"/>
  <c r="H13" i="44"/>
  <c r="H5"/>
  <c r="G59" i="40"/>
  <c r="C59" s="1"/>
  <c r="H11" i="44"/>
  <c r="A6" i="54"/>
  <c r="B7" i="60" s="1"/>
  <c r="C51" i="10"/>
  <c r="A8" i="54"/>
  <c r="B8" i="60" s="1"/>
  <c r="F2" i="21"/>
  <c r="F2" i="34"/>
  <c r="F2" i="35"/>
  <c r="F2" i="33"/>
  <c r="S29" i="31"/>
  <c r="C109" i="9"/>
  <c r="H106"/>
  <c r="C111"/>
  <c r="H108"/>
  <c r="H105"/>
  <c r="C110"/>
  <c r="H107" s="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E13" i="1" s="1"/>
  <c r="C8" i="11" s="1"/>
  <c r="D19"/>
  <c r="C19" s="1"/>
  <c r="C17" i="12"/>
  <c r="C20"/>
  <c r="C19"/>
  <c r="G22" i="11"/>
  <c r="G41"/>
  <c r="H113" i="43"/>
  <c r="X7"/>
  <c r="E59"/>
  <c r="B57" s="1"/>
  <c r="H22"/>
  <c r="AI11"/>
  <c r="AI13"/>
  <c r="AG11"/>
  <c r="AG13"/>
  <c r="AE11"/>
  <c r="AE13"/>
  <c r="AC11"/>
  <c r="AC13"/>
  <c r="AA11"/>
  <c r="AA13"/>
  <c r="Y11"/>
  <c r="Y13"/>
  <c r="S6"/>
  <c r="S2"/>
  <c r="AJ11"/>
  <c r="AJ13"/>
  <c r="AH11"/>
  <c r="AH13"/>
  <c r="AF11"/>
  <c r="AF13"/>
  <c r="AD11"/>
  <c r="AD13"/>
  <c r="AB11"/>
  <c r="AB13"/>
  <c r="Z11"/>
  <c r="Z13"/>
  <c r="Z7"/>
  <c r="S7"/>
  <c r="S5"/>
  <c r="S3"/>
  <c r="S4"/>
  <c r="E9"/>
  <c r="E8"/>
  <c r="E10"/>
  <c r="E11"/>
  <c r="H60"/>
  <c r="C7" i="39"/>
  <c r="C68"/>
  <c r="C70" s="1"/>
  <c r="C53" i="10"/>
  <c r="D123" i="9"/>
  <c r="D6" i="52" s="1"/>
  <c r="D124" i="9"/>
  <c r="D7" i="52"/>
  <c r="M48" i="57"/>
  <c r="D63" i="40"/>
  <c r="B58" i="60"/>
  <c r="A12" i="52"/>
  <c r="B67" i="60" s="1"/>
  <c r="L105" i="43"/>
  <c r="L109"/>
  <c r="H105"/>
  <c r="H107"/>
  <c r="D104"/>
  <c r="K106"/>
  <c r="K102"/>
  <c r="G105"/>
  <c r="G109"/>
  <c r="C104"/>
  <c r="C107"/>
  <c r="A4" i="52"/>
  <c r="A124" i="57"/>
  <c r="M47" i="9"/>
  <c r="N104" i="46"/>
  <c r="J17" i="43"/>
  <c r="C7" i="21"/>
  <c r="C58"/>
  <c r="D58" s="1"/>
  <c r="C7" i="33"/>
  <c r="C58"/>
  <c r="C7" i="37"/>
  <c r="C52"/>
  <c r="D52" s="1"/>
  <c r="H59" i="43"/>
  <c r="H61"/>
  <c r="I104"/>
  <c r="J109"/>
  <c r="H48"/>
  <c r="I115"/>
  <c r="J115" s="1"/>
  <c r="K115" s="1"/>
  <c r="L115" s="1"/>
  <c r="M115" s="1"/>
  <c r="L106"/>
  <c r="L104"/>
  <c r="L102"/>
  <c r="H104"/>
  <c r="H103"/>
  <c r="D105"/>
  <c r="D106"/>
  <c r="D102"/>
  <c r="K105"/>
  <c r="K103"/>
  <c r="G106"/>
  <c r="G104"/>
  <c r="G102"/>
  <c r="C105"/>
  <c r="C103"/>
  <c r="I20"/>
  <c r="D115"/>
  <c r="E115" s="1"/>
  <c r="F115" s="1"/>
  <c r="G115" s="1"/>
  <c r="H115" s="1"/>
  <c r="B117"/>
  <c r="C117" s="1"/>
  <c r="M109"/>
  <c r="I107"/>
  <c r="N106"/>
  <c r="J105"/>
  <c r="F104"/>
  <c r="G37" i="47"/>
  <c r="C23" i="43"/>
  <c r="G19"/>
  <c r="F36"/>
  <c r="C17"/>
  <c r="F35"/>
  <c r="F37"/>
  <c r="F39"/>
  <c r="G17"/>
  <c r="C7" i="34"/>
  <c r="C59" s="1"/>
  <c r="C7" i="36"/>
  <c r="C46" s="1"/>
  <c r="D46" s="1"/>
  <c r="F38" i="43"/>
  <c r="A10" i="52"/>
  <c r="B66" i="60" s="1"/>
  <c r="J20" i="15"/>
  <c r="K86" i="43"/>
  <c r="J86"/>
  <c r="D86"/>
  <c r="M87"/>
  <c r="N87" s="1"/>
  <c r="H82"/>
  <c r="K82"/>
  <c r="J82" s="1"/>
  <c r="D82"/>
  <c r="H83"/>
  <c r="M83"/>
  <c r="N83" s="1"/>
  <c r="H64"/>
  <c r="H65"/>
  <c r="H52"/>
  <c r="I116"/>
  <c r="J116" s="1"/>
  <c r="K116" s="1"/>
  <c r="L116" s="1"/>
  <c r="M116" s="1"/>
  <c r="D117"/>
  <c r="E117" s="1"/>
  <c r="F117" s="1"/>
  <c r="G117" s="1"/>
  <c r="H117" s="1"/>
  <c r="B118"/>
  <c r="C118"/>
  <c r="B116"/>
  <c r="C116"/>
  <c r="I106"/>
  <c r="E105"/>
  <c r="N104"/>
  <c r="F106"/>
  <c r="M12"/>
  <c r="H15" i="44"/>
  <c r="M8" i="43"/>
  <c r="M2"/>
  <c r="C6"/>
  <c r="M10"/>
  <c r="N7"/>
  <c r="N1"/>
  <c r="M3"/>
  <c r="M7"/>
  <c r="M11"/>
  <c r="N4"/>
  <c r="F70" s="1"/>
  <c r="N8"/>
  <c r="N12"/>
  <c r="H8" i="44"/>
  <c r="H10"/>
  <c r="D22" i="43"/>
  <c r="C21" s="1"/>
  <c r="H7" i="44"/>
  <c r="H12"/>
  <c r="H9"/>
  <c r="C63" i="39"/>
  <c r="G64"/>
  <c r="C64" s="1"/>
  <c r="M85" i="43"/>
  <c r="N85" s="1"/>
  <c r="K85"/>
  <c r="J85" s="1"/>
  <c r="D85"/>
  <c r="M82"/>
  <c r="N82" s="1"/>
  <c r="K83"/>
  <c r="J83" s="1"/>
  <c r="D83"/>
  <c r="H88"/>
  <c r="H84"/>
  <c r="H81"/>
  <c r="H66"/>
  <c r="H62"/>
  <c r="H67"/>
  <c r="H50"/>
  <c r="F109"/>
  <c r="F103"/>
  <c r="F105"/>
  <c r="J107"/>
  <c r="J102"/>
  <c r="J104"/>
  <c r="J106"/>
  <c r="N109"/>
  <c r="N103"/>
  <c r="N105"/>
  <c r="E107"/>
  <c r="E102"/>
  <c r="E104"/>
  <c r="E106"/>
  <c r="I109"/>
  <c r="I103"/>
  <c r="I105"/>
  <c r="M107"/>
  <c r="M102"/>
  <c r="M104"/>
  <c r="M106"/>
  <c r="B115"/>
  <c r="I117"/>
  <c r="J117"/>
  <c r="K117" s="1"/>
  <c r="L117" s="1"/>
  <c r="M117" s="1"/>
  <c r="D116"/>
  <c r="E116" s="1"/>
  <c r="F116" s="1"/>
  <c r="G116" s="1"/>
  <c r="H116" s="1"/>
  <c r="D118"/>
  <c r="E118" s="1"/>
  <c r="F118" s="1"/>
  <c r="G118"/>
  <c r="H118" s="1"/>
  <c r="M7" i="15"/>
  <c r="F35"/>
  <c r="F64" s="1"/>
  <c r="C63"/>
  <c r="E18" i="1"/>
  <c r="C34" i="11" s="1"/>
  <c r="C17" i="15"/>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AC34" i="37"/>
  <c r="U29"/>
  <c r="U30"/>
  <c r="S40"/>
  <c r="AC29"/>
  <c r="U26"/>
  <c r="AC13"/>
  <c r="U38"/>
  <c r="AA13"/>
  <c r="AA8"/>
  <c r="W25"/>
  <c r="S9"/>
  <c r="G84" i="34"/>
  <c r="J21"/>
  <c r="W21" s="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AC21" s="1"/>
  <c r="AC31"/>
  <c r="AA32"/>
  <c r="W23"/>
  <c r="AB25"/>
  <c r="AA25"/>
  <c r="S46"/>
  <c r="AC46"/>
  <c r="W10"/>
  <c r="W12"/>
  <c r="S35"/>
  <c r="C15" i="39"/>
  <c r="C17"/>
  <c r="C19"/>
  <c r="C15" i="40"/>
  <c r="C17"/>
  <c r="B54" i="43"/>
  <c r="B65"/>
  <c r="U30" i="40"/>
  <c r="B49" i="43"/>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M86" i="43"/>
  <c r="N86" s="1"/>
  <c r="T25" i="31"/>
  <c r="C18" i="12"/>
  <c r="F34" i="11"/>
  <c r="E19" i="1"/>
  <c r="D20"/>
  <c r="D18"/>
  <c r="F50" i="11"/>
  <c r="F19" i="1"/>
  <c r="F18"/>
  <c r="C11" i="12" s="1"/>
  <c r="D19" i="1"/>
  <c r="K87" i="43"/>
  <c r="J87" s="1"/>
  <c r="D87"/>
  <c r="C7"/>
  <c r="K106" i="9"/>
  <c r="O19" i="43"/>
  <c r="D58" i="33"/>
  <c r="E58" s="1"/>
  <c r="F58" s="1"/>
  <c r="D65" i="40"/>
  <c r="E63"/>
  <c r="B14" i="1"/>
  <c r="H10" i="39" s="1"/>
  <c r="J22" i="43"/>
  <c r="M84"/>
  <c r="N84" s="1"/>
  <c r="K84"/>
  <c r="J84" s="1"/>
  <c r="D84"/>
  <c r="M81"/>
  <c r="N81" s="1"/>
  <c r="K81"/>
  <c r="J81" s="1"/>
  <c r="D81"/>
  <c r="M88"/>
  <c r="N88" s="1"/>
  <c r="K88"/>
  <c r="J88" s="1"/>
  <c r="D88"/>
  <c r="I113" i="57"/>
  <c r="M50" s="1"/>
  <c r="B40" i="1"/>
  <c r="M27" i="15" s="1"/>
  <c r="C14"/>
  <c r="C18" s="1"/>
  <c r="F63" i="40"/>
  <c r="E65"/>
  <c r="D130" i="57"/>
  <c r="G63" i="40"/>
  <c r="G65" s="1"/>
  <c r="F65"/>
  <c r="D117" i="57"/>
  <c r="D118"/>
  <c r="I114" s="1"/>
  <c r="D131" s="1"/>
  <c r="D133"/>
  <c r="M57"/>
  <c r="D119"/>
  <c r="I115"/>
  <c r="D132" s="1"/>
  <c r="M56" i="9"/>
  <c r="D130"/>
  <c r="D13" i="52"/>
  <c r="I112" i="9"/>
  <c r="M49" s="1"/>
  <c r="D114"/>
  <c r="D115"/>
  <c r="I113" s="1"/>
  <c r="D39" i="50"/>
  <c r="D40" s="1"/>
  <c r="D18"/>
  <c r="D19" s="1"/>
  <c r="B32" i="60" s="1"/>
  <c r="D127" i="9"/>
  <c r="D10" i="52" s="1"/>
  <c r="L67" i="9"/>
  <c r="M67" s="1"/>
  <c r="L65"/>
  <c r="M65" s="1"/>
  <c r="L66"/>
  <c r="M66" s="1"/>
  <c r="L68"/>
  <c r="M68" s="1"/>
  <c r="L63"/>
  <c r="M63" s="1"/>
  <c r="M69" s="1"/>
  <c r="N69" s="1"/>
  <c r="L64"/>
  <c r="M64" s="1"/>
  <c r="I114"/>
  <c r="D42" i="50" s="1"/>
  <c r="D43" s="1"/>
  <c r="D116" i="9"/>
  <c r="D21" i="50"/>
  <c r="D22" s="1"/>
  <c r="B35" i="60" s="1"/>
  <c r="D23" i="48"/>
  <c r="E2" i="37"/>
  <c r="E2" i="34"/>
  <c r="D6" i="61"/>
  <c r="D5"/>
  <c r="D7"/>
  <c r="H23" i="31"/>
  <c r="E2" i="35"/>
  <c r="D3" i="61"/>
  <c r="F6"/>
  <c r="F5"/>
  <c r="D4"/>
  <c r="F4"/>
  <c r="F7"/>
  <c r="C20" i="57"/>
  <c r="E2" i="36"/>
  <c r="E2" i="33"/>
  <c r="E2" i="21"/>
  <c r="C19" i="57"/>
  <c r="D20"/>
  <c r="D19"/>
  <c r="F3" i="61"/>
  <c r="E2" i="11"/>
  <c r="C15" i="15" l="1"/>
  <c r="B23" i="31"/>
  <c r="B2" s="1"/>
  <c r="C33" i="57" s="1"/>
  <c r="H124" s="1"/>
  <c r="R25" i="31"/>
  <c r="B24" s="1"/>
  <c r="B3" s="1"/>
  <c r="C34" i="57" s="1"/>
  <c r="I124" s="1"/>
  <c r="C38" i="11"/>
  <c r="C36"/>
  <c r="AC21" i="34"/>
  <c r="S36" i="37"/>
  <c r="D129" i="9"/>
  <c r="D12" i="52" s="1"/>
  <c r="H14" i="62"/>
  <c r="B7" s="1"/>
  <c r="D7" s="1"/>
  <c r="E81" i="43"/>
  <c r="B79" s="1"/>
  <c r="C115"/>
  <c r="D113" s="1"/>
  <c r="H19" i="21"/>
  <c r="F39"/>
  <c r="J43"/>
  <c r="H9" i="36"/>
  <c r="J9"/>
  <c r="F9"/>
  <c r="I21" i="58"/>
  <c r="D1"/>
  <c r="E10" s="1"/>
  <c r="D70" i="43"/>
  <c r="E70"/>
  <c r="B68" s="1"/>
  <c r="C24" s="1"/>
  <c r="J6" i="15"/>
  <c r="S21" i="37"/>
  <c r="B75" i="43"/>
  <c r="B55"/>
  <c r="C29" i="39"/>
  <c r="C25" i="40"/>
  <c r="O51" i="59"/>
  <c r="O50"/>
  <c r="D51"/>
  <c r="M19" i="43"/>
  <c r="U25" i="59"/>
  <c r="B66" i="43"/>
  <c r="C28" i="59"/>
  <c r="D27"/>
  <c r="C32"/>
  <c r="D32" s="1"/>
  <c r="D31"/>
  <c r="D35"/>
  <c r="C36"/>
  <c r="D39"/>
  <c r="C40"/>
  <c r="D43"/>
  <c r="C44"/>
  <c r="D47"/>
  <c r="C48"/>
  <c r="F15"/>
  <c r="F16" s="1"/>
  <c r="F17" s="1"/>
  <c r="V17" s="1"/>
  <c r="F19"/>
  <c r="F20" s="1"/>
  <c r="F21" s="1"/>
  <c r="V21" s="1"/>
  <c r="F23"/>
  <c r="F24" s="1"/>
  <c r="F25" s="1"/>
  <c r="V25" s="1"/>
  <c r="S61"/>
  <c r="B60"/>
  <c r="B59" s="1"/>
  <c r="B24" i="60"/>
  <c r="C12" i="50"/>
  <c r="C13"/>
  <c r="AB8" i="59"/>
  <c r="Y9"/>
  <c r="Z9" s="1"/>
  <c r="X9"/>
  <c r="AA8"/>
  <c r="X8"/>
  <c r="AA9"/>
  <c r="X7"/>
  <c r="AA7"/>
  <c r="AB6"/>
  <c r="Y6"/>
  <c r="Z6" s="1"/>
  <c r="X6"/>
  <c r="AA6"/>
  <c r="U13"/>
  <c r="D52"/>
  <c r="D13"/>
  <c r="AA10"/>
  <c r="AA13"/>
  <c r="AB13"/>
  <c r="AB11"/>
  <c r="AB3"/>
  <c r="S13"/>
  <c r="C56"/>
  <c r="P51"/>
  <c r="X10"/>
  <c r="X13"/>
  <c r="B15"/>
  <c r="B16" s="1"/>
  <c r="B17" s="1"/>
  <c r="S17" s="1"/>
  <c r="C15"/>
  <c r="AA14"/>
  <c r="X15"/>
  <c r="AA15"/>
  <c r="X16"/>
  <c r="AA16"/>
  <c r="X17"/>
  <c r="AA17"/>
  <c r="B19"/>
  <c r="B20" s="1"/>
  <c r="B21" s="1"/>
  <c r="S21" s="1"/>
  <c r="C19"/>
  <c r="AA18"/>
  <c r="X19"/>
  <c r="AA19"/>
  <c r="X20"/>
  <c r="AA20"/>
  <c r="X21"/>
  <c r="AA21"/>
  <c r="B23"/>
  <c r="B24" s="1"/>
  <c r="B25" s="1"/>
  <c r="S25" s="1"/>
  <c r="C23"/>
  <c r="AA22"/>
  <c r="AA23"/>
  <c r="V61"/>
  <c r="F60"/>
  <c r="F59" s="1"/>
  <c r="C14" i="50"/>
  <c r="D8" i="59"/>
  <c r="C7"/>
  <c r="D7" s="1"/>
  <c r="Y7"/>
  <c r="Z7" s="1"/>
  <c r="AB7"/>
  <c r="AB9"/>
  <c r="X5"/>
  <c r="AA5"/>
  <c r="P53"/>
  <c r="P72" i="15"/>
  <c r="D9" i="59"/>
  <c r="S9"/>
  <c r="T9"/>
  <c r="Y8"/>
  <c r="Z8" s="1"/>
  <c r="Y5"/>
  <c r="Z5" s="1"/>
  <c r="AB5"/>
  <c r="C16" i="43"/>
  <c r="W44" i="21"/>
  <c r="S44"/>
  <c r="H37"/>
  <c r="G113"/>
  <c r="H113" s="1"/>
  <c r="F37"/>
  <c r="J37"/>
  <c r="S8"/>
  <c r="M60" i="15"/>
  <c r="L60"/>
  <c r="N60"/>
  <c r="C16"/>
  <c r="C35" i="11"/>
  <c r="C33" s="1"/>
  <c r="C39" s="1"/>
  <c r="C46" s="1"/>
  <c r="C45" s="1"/>
  <c r="J42" i="21"/>
  <c r="F123"/>
  <c r="G123" s="1"/>
  <c r="H123" s="1"/>
  <c r="I123" s="1"/>
  <c r="J123" s="1"/>
  <c r="K123" s="1"/>
  <c r="L123" s="1"/>
  <c r="M123" s="1"/>
  <c r="F42"/>
  <c r="H42"/>
  <c r="AB42" s="1"/>
  <c r="J54" i="15"/>
  <c r="Q50" s="1"/>
  <c r="H63" i="40"/>
  <c r="S40" i="21"/>
  <c r="AB39"/>
  <c r="AB29"/>
  <c r="AC28"/>
  <c r="S28"/>
  <c r="AC38"/>
  <c r="AC35"/>
  <c r="AC33"/>
  <c r="S33"/>
  <c r="U40"/>
  <c r="W40"/>
  <c r="W34"/>
  <c r="AA34"/>
  <c r="AC32"/>
  <c r="AC27"/>
  <c r="S29"/>
  <c r="W29"/>
  <c r="U28"/>
  <c r="U27"/>
  <c r="S27"/>
  <c r="G89"/>
  <c r="H89" s="1"/>
  <c r="I89" s="1"/>
  <c r="J89" s="1"/>
  <c r="K89" s="1"/>
  <c r="W25"/>
  <c r="S21"/>
  <c r="S19"/>
  <c r="S23"/>
  <c r="U17"/>
  <c r="S17"/>
  <c r="AA15"/>
  <c r="AB23"/>
  <c r="W21"/>
  <c r="AC19"/>
  <c r="W17"/>
  <c r="AC9"/>
  <c r="W8"/>
  <c r="J10" i="40"/>
  <c r="W10" s="1"/>
  <c r="C19" i="15"/>
  <c r="C20" s="1"/>
  <c r="C26" s="1"/>
  <c r="H87" i="43"/>
  <c r="H86"/>
  <c r="H72"/>
  <c r="H74"/>
  <c r="H77"/>
  <c r="H71"/>
  <c r="H70"/>
  <c r="G26" i="47"/>
  <c r="C15" i="12"/>
  <c r="C12"/>
  <c r="C13"/>
  <c r="C94" i="9"/>
  <c r="C92"/>
  <c r="C93" i="57"/>
  <c r="C95"/>
  <c r="D69"/>
  <c r="F31" i="12"/>
  <c r="F48" i="9"/>
  <c r="O52" s="1"/>
  <c r="F30" i="11"/>
  <c r="C30" s="1"/>
  <c r="F49" i="57"/>
  <c r="O53" s="1"/>
  <c r="F55"/>
  <c r="F54" i="9"/>
  <c r="F53"/>
  <c r="M18" i="15"/>
  <c r="F54" i="57"/>
  <c r="F52" i="9"/>
  <c r="F32" i="15"/>
  <c r="F61" s="1"/>
  <c r="F28"/>
  <c r="C28" s="1"/>
  <c r="F53" i="57"/>
  <c r="D68" i="9"/>
  <c r="C23" i="12"/>
  <c r="AC10" i="40"/>
  <c r="F10"/>
  <c r="S10" s="1"/>
  <c r="J10" i="39"/>
  <c r="U10"/>
  <c r="AB10"/>
  <c r="F10"/>
  <c r="H10" i="40"/>
  <c r="D41" i="50"/>
  <c r="B63" i="60" s="1"/>
  <c r="I103" i="57"/>
  <c r="C106"/>
  <c r="H125"/>
  <c r="D109"/>
  <c r="D115" s="1"/>
  <c r="D125"/>
  <c r="E124"/>
  <c r="G124"/>
  <c r="F125"/>
  <c r="D128" i="9"/>
  <c r="D11" i="52" s="1"/>
  <c r="D20" i="50"/>
  <c r="L68" i="57"/>
  <c r="M68" s="1"/>
  <c r="L65"/>
  <c r="M65" s="1"/>
  <c r="L69"/>
  <c r="M69" s="1"/>
  <c r="L67"/>
  <c r="M67" s="1"/>
  <c r="L66"/>
  <c r="M66" s="1"/>
  <c r="L64"/>
  <c r="M64" s="1"/>
  <c r="M70" s="1"/>
  <c r="N70" s="1"/>
  <c r="I104"/>
  <c r="C107"/>
  <c r="D110"/>
  <c r="D120"/>
  <c r="I116" s="1"/>
  <c r="B31" i="60"/>
  <c r="C21" i="50"/>
  <c r="D5" i="43"/>
  <c r="C6" i="15"/>
  <c r="F51"/>
  <c r="C50" s="1"/>
  <c r="C7" i="62"/>
  <c r="B33" i="60"/>
  <c r="E46" i="36"/>
  <c r="F46" s="1"/>
  <c r="G46" s="1"/>
  <c r="H46" s="1"/>
  <c r="I46" s="1"/>
  <c r="J46" s="1"/>
  <c r="K46" s="1"/>
  <c r="L46" s="1"/>
  <c r="M46" s="1"/>
  <c r="N46" s="1"/>
  <c r="O46" s="1"/>
  <c r="F7" s="1"/>
  <c r="D59" i="34"/>
  <c r="E59" s="1"/>
  <c r="F59" s="1"/>
  <c r="G59" s="1"/>
  <c r="H59" s="1"/>
  <c r="I59" s="1"/>
  <c r="J59" s="1"/>
  <c r="K59" s="1"/>
  <c r="L59" s="1"/>
  <c r="M59" s="1"/>
  <c r="N59" s="1"/>
  <c r="O59" s="1"/>
  <c r="E58" i="21"/>
  <c r="F58" s="1"/>
  <c r="G58" s="1"/>
  <c r="H58" s="1"/>
  <c r="I58" s="1"/>
  <c r="J58" s="1"/>
  <c r="K58" s="1"/>
  <c r="L58" s="1"/>
  <c r="M58" s="1"/>
  <c r="N58" s="1"/>
  <c r="O58" s="1"/>
  <c r="F48" i="35"/>
  <c r="G48" s="1"/>
  <c r="H48" s="1"/>
  <c r="I48" s="1"/>
  <c r="J48" s="1"/>
  <c r="K48" s="1"/>
  <c r="L48" s="1"/>
  <c r="M48" s="1"/>
  <c r="N48" s="1"/>
  <c r="O48" s="1"/>
  <c r="J7"/>
  <c r="G58" i="33"/>
  <c r="H58" s="1"/>
  <c r="I58" s="1"/>
  <c r="J58" s="1"/>
  <c r="K58" s="1"/>
  <c r="L58" s="1"/>
  <c r="M58" s="1"/>
  <c r="N58" s="1"/>
  <c r="O58" s="1"/>
  <c r="E52" i="37"/>
  <c r="F52" s="1"/>
  <c r="G52" s="1"/>
  <c r="H52" s="1"/>
  <c r="I52" s="1"/>
  <c r="J52" s="1"/>
  <c r="K52" s="1"/>
  <c r="L52" s="1"/>
  <c r="M52" s="1"/>
  <c r="N52" s="1"/>
  <c r="O52" s="1"/>
  <c r="F7"/>
  <c r="J58" i="15"/>
  <c r="J56" s="1"/>
  <c r="J59" s="1"/>
  <c r="Q48" s="1"/>
  <c r="L59"/>
  <c r="I55"/>
  <c r="L57"/>
  <c r="F31"/>
  <c r="C24" i="12"/>
  <c r="C29" s="1"/>
  <c r="D28" s="1"/>
  <c r="C77" i="9"/>
  <c r="C74" s="1"/>
  <c r="F60" i="15"/>
  <c r="C78" i="57"/>
  <c r="C75" s="1"/>
  <c r="C31" i="12"/>
  <c r="M17" i="15"/>
  <c r="C48" i="11"/>
  <c r="H7" i="33"/>
  <c r="J7"/>
  <c r="J7" i="36"/>
  <c r="D68" i="39"/>
  <c r="F6" i="59"/>
  <c r="F5" s="1"/>
  <c r="C6"/>
  <c r="C5" s="1"/>
  <c r="D5" s="1"/>
  <c r="X3"/>
  <c r="Y3"/>
  <c r="Z3" s="1"/>
  <c r="B6"/>
  <c r="B5" s="1"/>
  <c r="D6"/>
  <c r="P23" i="43"/>
  <c r="P25"/>
  <c r="P21"/>
  <c r="B71" i="39" s="1"/>
  <c r="P24" i="43"/>
  <c r="B66" i="40" s="1"/>
  <c r="P22" i="43"/>
  <c r="B6" i="48"/>
  <c r="F17"/>
  <c r="F22"/>
  <c r="H22" s="1"/>
  <c r="B11"/>
  <c r="D11" s="1"/>
  <c r="F16"/>
  <c r="H16" s="1"/>
  <c r="F7"/>
  <c r="H7" s="1"/>
  <c r="F6"/>
  <c r="H6" s="1"/>
  <c r="B10"/>
  <c r="D10" s="1"/>
  <c r="B15"/>
  <c r="C5" i="43"/>
  <c r="H55"/>
  <c r="H54"/>
  <c r="H53"/>
  <c r="H76"/>
  <c r="H75"/>
  <c r="H78"/>
  <c r="H49"/>
  <c r="H73"/>
  <c r="F8" i="48"/>
  <c r="H8" s="1"/>
  <c r="B22"/>
  <c r="D22" s="1"/>
  <c r="B5"/>
  <c r="D5" s="1"/>
  <c r="F11"/>
  <c r="H11" s="1"/>
  <c r="F5"/>
  <c r="H5" s="1"/>
  <c r="F4"/>
  <c r="H4" s="1"/>
  <c r="B7"/>
  <c r="D7" s="1"/>
  <c r="B14"/>
  <c r="D14" s="1"/>
  <c r="F10"/>
  <c r="H10" s="1"/>
  <c r="D103" i="57"/>
  <c r="I1" i="61"/>
  <c r="B30" i="1" s="1"/>
  <c r="D102" i="57"/>
  <c r="G20"/>
  <c r="C103"/>
  <c r="K1" i="61"/>
  <c r="C102" i="57"/>
  <c r="G19"/>
  <c r="D22"/>
  <c r="E20" i="43"/>
  <c r="B9" i="48"/>
  <c r="D9" s="1"/>
  <c r="B8"/>
  <c r="D8" s="1"/>
  <c r="B13"/>
  <c r="D13" s="1"/>
  <c r="B16"/>
  <c r="D16" s="1"/>
  <c r="B4"/>
  <c r="D4" s="1"/>
  <c r="F14"/>
  <c r="H14" s="1"/>
  <c r="F13"/>
  <c r="H13" s="1"/>
  <c r="F15"/>
  <c r="H15" s="1"/>
  <c r="F9"/>
  <c r="H9" s="1"/>
  <c r="G1" i="61"/>
  <c r="C20" i="59" l="1"/>
  <c r="D19"/>
  <c r="C55"/>
  <c r="D55" s="1"/>
  <c r="D56"/>
  <c r="D48"/>
  <c r="C49"/>
  <c r="D44"/>
  <c r="C45"/>
  <c r="D40"/>
  <c r="C41"/>
  <c r="C37"/>
  <c r="D36"/>
  <c r="AA9" i="36"/>
  <c r="S9"/>
  <c r="AB9"/>
  <c r="U9"/>
  <c r="S39" i="21"/>
  <c r="AA39"/>
  <c r="C24" i="59"/>
  <c r="D23"/>
  <c r="C16"/>
  <c r="D15"/>
  <c r="D28"/>
  <c r="C29"/>
  <c r="AC9" i="36"/>
  <c r="W9"/>
  <c r="AC43" i="21"/>
  <c r="W43"/>
  <c r="AB19"/>
  <c r="U19"/>
  <c r="I14" i="62"/>
  <c r="B8" s="1"/>
  <c r="AA37" i="21"/>
  <c r="S37"/>
  <c r="U37"/>
  <c r="AB37"/>
  <c r="W37"/>
  <c r="AC37"/>
  <c r="U42"/>
  <c r="C16" i="12"/>
  <c r="C21" s="1"/>
  <c r="C22" s="1"/>
  <c r="C30" s="1"/>
  <c r="C28" s="1"/>
  <c r="Q72" i="15"/>
  <c r="Q59"/>
  <c r="B33" i="1"/>
  <c r="F41" i="15" s="1"/>
  <c r="F70" s="1"/>
  <c r="AA42" i="21"/>
  <c r="S42"/>
  <c r="AC42"/>
  <c r="W42"/>
  <c r="I63" i="40"/>
  <c r="H65"/>
  <c r="J7" i="37"/>
  <c r="W7" s="1"/>
  <c r="H7"/>
  <c r="H7" i="35"/>
  <c r="AB7" s="1"/>
  <c r="T38" s="1"/>
  <c r="G38" s="1"/>
  <c r="H7" i="34"/>
  <c r="H26" i="21"/>
  <c r="L89"/>
  <c r="J26" s="1"/>
  <c r="W26" s="1"/>
  <c r="C105" i="57"/>
  <c r="AA10" i="40"/>
  <c r="W10" i="39"/>
  <c r="AC10"/>
  <c r="AA10"/>
  <c r="S10"/>
  <c r="U10" i="40"/>
  <c r="AB10"/>
  <c r="C104" i="57"/>
  <c r="D116"/>
  <c r="I112" s="1"/>
  <c r="D129" s="1"/>
  <c r="I111"/>
  <c r="D128" s="1"/>
  <c r="D46"/>
  <c r="M49"/>
  <c r="D15" i="48"/>
  <c r="E3" i="4"/>
  <c r="B5" i="55" s="1"/>
  <c r="B55" i="60" s="1"/>
  <c r="D6" i="48"/>
  <c r="C3" i="4"/>
  <c r="AA7" i="36"/>
  <c r="R36" s="1"/>
  <c r="S7"/>
  <c r="W7"/>
  <c r="AC7"/>
  <c r="V36" s="1"/>
  <c r="I36" s="1"/>
  <c r="W7" i="33"/>
  <c r="AC7"/>
  <c r="V48" s="1"/>
  <c r="I48" s="1"/>
  <c r="AB7" i="37"/>
  <c r="T42" s="1"/>
  <c r="G42" s="1"/>
  <c r="U7"/>
  <c r="AC7" i="35"/>
  <c r="V38" s="1"/>
  <c r="I38" s="1"/>
  <c r="W7"/>
  <c r="F7" i="33"/>
  <c r="F7" i="35"/>
  <c r="J7" i="21"/>
  <c r="H7"/>
  <c r="J7" i="34"/>
  <c r="H7" i="36"/>
  <c r="D70" i="39"/>
  <c r="E68"/>
  <c r="AC7" i="37"/>
  <c r="V42" s="1"/>
  <c r="I42" s="1"/>
  <c r="U7" i="33"/>
  <c r="AB7"/>
  <c r="T48" s="1"/>
  <c r="G48" s="1"/>
  <c r="Q71" i="15"/>
  <c r="Q58"/>
  <c r="S7" i="37"/>
  <c r="AA7"/>
  <c r="R42" s="1"/>
  <c r="U7" i="35"/>
  <c r="AB7" i="34"/>
  <c r="T49" s="1"/>
  <c r="G49" s="1"/>
  <c r="U7"/>
  <c r="F7" i="21"/>
  <c r="F7" i="34"/>
  <c r="E27" i="1"/>
  <c r="F11" i="15"/>
  <c r="M11"/>
  <c r="J10" s="1"/>
  <c r="J5" s="1"/>
  <c r="N17" i="43"/>
  <c r="M17"/>
  <c r="O17"/>
  <c r="P17"/>
  <c r="D8" i="62" l="1"/>
  <c r="C8"/>
  <c r="D16" i="59"/>
  <c r="C17"/>
  <c r="D24"/>
  <c r="C25"/>
  <c r="D37"/>
  <c r="T37"/>
  <c r="D20"/>
  <c r="C21"/>
  <c r="D29"/>
  <c r="T29"/>
  <c r="D41"/>
  <c r="T41"/>
  <c r="D45"/>
  <c r="T45"/>
  <c r="D49"/>
  <c r="T49"/>
  <c r="AC26" i="21"/>
  <c r="I65" i="40"/>
  <c r="J63"/>
  <c r="AB26" i="21"/>
  <c r="U26"/>
  <c r="M89"/>
  <c r="F26"/>
  <c r="G20" i="43"/>
  <c r="E41" s="1"/>
  <c r="C41" s="1"/>
  <c r="D56" i="57"/>
  <c r="M54" s="1"/>
  <c r="C65"/>
  <c r="C64" s="1"/>
  <c r="C68" s="1"/>
  <c r="C69" s="1"/>
  <c r="D55" s="1"/>
  <c r="D53"/>
  <c r="C94"/>
  <c r="C87" s="1"/>
  <c r="C79"/>
  <c r="C74" s="1"/>
  <c r="C73"/>
  <c r="C86"/>
  <c r="D54"/>
  <c r="D49" s="1"/>
  <c r="M53" s="1"/>
  <c r="B4" i="55"/>
  <c r="B53" i="60" s="1"/>
  <c r="B18" i="49"/>
  <c r="B4" i="60" s="1"/>
  <c r="G43" i="35"/>
  <c r="H43" s="1"/>
  <c r="G42"/>
  <c r="H42" s="1"/>
  <c r="S7" i="21"/>
  <c r="AA7"/>
  <c r="E42" i="37"/>
  <c r="R43"/>
  <c r="G52" i="33"/>
  <c r="H52" s="1"/>
  <c r="G53"/>
  <c r="H53" s="1"/>
  <c r="I46" i="37"/>
  <c r="J46" s="1"/>
  <c r="I47"/>
  <c r="J47" s="1"/>
  <c r="E70" i="39"/>
  <c r="F68"/>
  <c r="AB7" i="36"/>
  <c r="T36" s="1"/>
  <c r="G36" s="1"/>
  <c r="U7"/>
  <c r="U7" i="21"/>
  <c r="AB7"/>
  <c r="T48" s="1"/>
  <c r="G48" s="1"/>
  <c r="S7" i="35"/>
  <c r="AA7"/>
  <c r="R38" s="1"/>
  <c r="I42"/>
  <c r="J42" s="1"/>
  <c r="G46" i="37"/>
  <c r="H46" s="1"/>
  <c r="G47"/>
  <c r="H47" s="1"/>
  <c r="E36" i="36"/>
  <c r="R37"/>
  <c r="AA7" i="34"/>
  <c r="R49" s="1"/>
  <c r="S7"/>
  <c r="G53"/>
  <c r="H53" s="1"/>
  <c r="AC7"/>
  <c r="V49" s="1"/>
  <c r="I49" s="1"/>
  <c r="G54" s="1"/>
  <c r="H54" s="1"/>
  <c r="W7"/>
  <c r="W7" i="21"/>
  <c r="AC7"/>
  <c r="V48" s="1"/>
  <c r="I48" s="1"/>
  <c r="AA7" i="33"/>
  <c r="R48" s="1"/>
  <c r="S7"/>
  <c r="I52"/>
  <c r="J52" s="1"/>
  <c r="I40" i="36"/>
  <c r="J40" s="1"/>
  <c r="I41"/>
  <c r="J41" s="1"/>
  <c r="C54" i="15"/>
  <c r="C49" s="1"/>
  <c r="C10"/>
  <c r="C5" s="1"/>
  <c r="J18"/>
  <c r="J26"/>
  <c r="J29" s="1"/>
  <c r="J24"/>
  <c r="F24"/>
  <c r="F25" i="12"/>
  <c r="F22" i="11"/>
  <c r="D21" i="59" l="1"/>
  <c r="T21"/>
  <c r="D25"/>
  <c r="T25"/>
  <c r="D17"/>
  <c r="M20" i="43" s="1"/>
  <c r="C19" s="1"/>
  <c r="C39" s="1"/>
  <c r="T17" i="59"/>
  <c r="K63" i="40"/>
  <c r="J65"/>
  <c r="S26" i="21"/>
  <c r="AA26"/>
  <c r="R48" s="1"/>
  <c r="C20" i="43"/>
  <c r="C37" s="1"/>
  <c r="C96" i="57"/>
  <c r="C97" s="1"/>
  <c r="E97" s="1"/>
  <c r="E98" s="1"/>
  <c r="C80"/>
  <c r="E48" i="33"/>
  <c r="R49"/>
  <c r="I53" i="34"/>
  <c r="J53" s="1"/>
  <c r="E49"/>
  <c r="I54" s="1"/>
  <c r="J54" s="1"/>
  <c r="R50"/>
  <c r="E40" i="36"/>
  <c r="F40" s="1"/>
  <c r="E41"/>
  <c r="F41" s="1"/>
  <c r="G40"/>
  <c r="H40" s="1"/>
  <c r="G41"/>
  <c r="H41" s="1"/>
  <c r="E46" i="37"/>
  <c r="F46" s="1"/>
  <c r="E47"/>
  <c r="F47" s="1"/>
  <c r="I52" i="21"/>
  <c r="J52" s="1"/>
  <c r="C36" i="36"/>
  <c r="C37"/>
  <c r="B2" s="1"/>
  <c r="B3" s="1"/>
  <c r="R39" i="35"/>
  <c r="E38"/>
  <c r="G52" i="21"/>
  <c r="H52" s="1"/>
  <c r="G53"/>
  <c r="H53" s="1"/>
  <c r="F70" i="39"/>
  <c r="G68"/>
  <c r="C43" i="37"/>
  <c r="B2" s="1"/>
  <c r="B3" s="1"/>
  <c r="C42"/>
  <c r="C26" i="12"/>
  <c r="D25" s="1"/>
  <c r="C27"/>
  <c r="C25" s="1"/>
  <c r="C38" i="15"/>
  <c r="C32"/>
  <c r="C44" i="11"/>
  <c r="D41" s="1"/>
  <c r="C26"/>
  <c r="D22" s="1"/>
  <c r="C43"/>
  <c r="C24"/>
  <c r="C42"/>
  <c r="C23" i="15"/>
  <c r="C24"/>
  <c r="C67"/>
  <c r="C61"/>
  <c r="C38" i="43" l="1"/>
  <c r="E38" s="1"/>
  <c r="E48" i="21"/>
  <c r="I53" s="1"/>
  <c r="J53" s="1"/>
  <c r="R49"/>
  <c r="C48" s="1"/>
  <c r="K65" i="40"/>
  <c r="L63"/>
  <c r="C29" i="43"/>
  <c r="E29" s="1"/>
  <c r="T14"/>
  <c r="V14" s="1"/>
  <c r="C34"/>
  <c r="E34" s="1"/>
  <c r="T10"/>
  <c r="V10" s="1"/>
  <c r="T15"/>
  <c r="V15" s="1"/>
  <c r="C98" i="57"/>
  <c r="D59" s="1"/>
  <c r="D57" s="1"/>
  <c r="M55" s="1"/>
  <c r="N58" s="1"/>
  <c r="P58" s="1"/>
  <c r="T6" i="43"/>
  <c r="V6" s="1"/>
  <c r="T3"/>
  <c r="V3" s="1"/>
  <c r="T11"/>
  <c r="V11" s="1"/>
  <c r="T13"/>
  <c r="V13" s="1"/>
  <c r="C36"/>
  <c r="E36" s="1"/>
  <c r="T9"/>
  <c r="V9" s="1"/>
  <c r="T7"/>
  <c r="V7" s="1"/>
  <c r="T2"/>
  <c r="V2" s="1"/>
  <c r="T16"/>
  <c r="V16" s="1"/>
  <c r="T12"/>
  <c r="V12" s="1"/>
  <c r="T4"/>
  <c r="V4" s="1"/>
  <c r="T8"/>
  <c r="V8" s="1"/>
  <c r="T5"/>
  <c r="V5" s="1"/>
  <c r="C35"/>
  <c r="G35" s="1"/>
  <c r="I35" s="1"/>
  <c r="C33"/>
  <c r="G33" s="1"/>
  <c r="I33" s="1"/>
  <c r="N60" i="57"/>
  <c r="C81"/>
  <c r="E81" s="1"/>
  <c r="E82" s="1"/>
  <c r="C82"/>
  <c r="G70" i="39"/>
  <c r="H68"/>
  <c r="E43" i="35"/>
  <c r="F43" s="1"/>
  <c r="E42"/>
  <c r="F42" s="1"/>
  <c r="I43"/>
  <c r="J43" s="1"/>
  <c r="C50" i="34"/>
  <c r="B2" s="1"/>
  <c r="B3" s="1"/>
  <c r="C49"/>
  <c r="C48" i="33"/>
  <c r="C49"/>
  <c r="B2" s="1"/>
  <c r="B3" s="1"/>
  <c r="E52" i="21"/>
  <c r="F52" s="1"/>
  <c r="E53"/>
  <c r="F53" s="1"/>
  <c r="C39" i="35"/>
  <c r="C38"/>
  <c r="E53" i="34"/>
  <c r="F53" s="1"/>
  <c r="E54"/>
  <c r="F54" s="1"/>
  <c r="E52" i="33"/>
  <c r="F52" s="1"/>
  <c r="E53"/>
  <c r="F53" s="1"/>
  <c r="I53"/>
  <c r="J53" s="1"/>
  <c r="C41" i="11"/>
  <c r="C49" s="1"/>
  <c r="C51" s="1"/>
  <c r="G38" i="43"/>
  <c r="I38" s="1"/>
  <c r="G37"/>
  <c r="I37" s="1"/>
  <c r="E37"/>
  <c r="G39"/>
  <c r="I39" s="1"/>
  <c r="E39"/>
  <c r="C32" i="12"/>
  <c r="C29" i="15"/>
  <c r="N59" i="57" l="1"/>
  <c r="C49" i="21"/>
  <c r="B2" s="1"/>
  <c r="L65" i="40"/>
  <c r="M63"/>
  <c r="C30" i="43"/>
  <c r="E30" s="1"/>
  <c r="G34"/>
  <c r="I34" s="1"/>
  <c r="G36"/>
  <c r="I36" s="1"/>
  <c r="B3" i="21"/>
  <c r="E35" i="43"/>
  <c r="E33"/>
  <c r="N61" i="57"/>
  <c r="N62"/>
  <c r="B3" i="35"/>
  <c r="B2"/>
  <c r="H70" i="39"/>
  <c r="I68"/>
  <c r="B2" i="12"/>
  <c r="B3"/>
  <c r="C33" i="15"/>
  <c r="C31" s="1"/>
  <c r="C58"/>
  <c r="J14"/>
  <c r="J19"/>
  <c r="J17" s="1"/>
  <c r="Q47"/>
  <c r="C13"/>
  <c r="C36"/>
  <c r="J60"/>
  <c r="J61" s="1"/>
  <c r="N63" i="40" l="1"/>
  <c r="M65"/>
  <c r="C27" i="43"/>
  <c r="C26"/>
  <c r="B2" s="1"/>
  <c r="C6" i="11" s="1"/>
  <c r="C7" s="1"/>
  <c r="C5" s="1"/>
  <c r="J68" i="39"/>
  <c r="I70"/>
  <c r="L47" i="15"/>
  <c r="Q46"/>
  <c r="C57"/>
  <c r="C66" s="1"/>
  <c r="J34"/>
  <c r="Q68"/>
  <c r="C37"/>
  <c r="C30" s="1"/>
  <c r="C39" s="1"/>
  <c r="C62"/>
  <c r="C60" s="1"/>
  <c r="C65"/>
  <c r="J22"/>
  <c r="J13"/>
  <c r="J23" s="1"/>
  <c r="B3" i="43" l="1"/>
  <c r="N65" i="40"/>
  <c r="O63"/>
  <c r="O65" s="1"/>
  <c r="C20" i="11"/>
  <c r="C23"/>
  <c r="J70" i="39"/>
  <c r="K68"/>
  <c r="J16" i="15"/>
  <c r="J25" s="1"/>
  <c r="C59"/>
  <c r="C68" s="1"/>
  <c r="C69" s="1"/>
  <c r="C72" s="1"/>
  <c r="J38"/>
  <c r="J39" s="1"/>
  <c r="Q67"/>
  <c r="Q66" s="1"/>
  <c r="C40"/>
  <c r="F7" i="40" l="1"/>
  <c r="H7"/>
  <c r="J7"/>
  <c r="C28" i="11"/>
  <c r="C27" s="1"/>
  <c r="C25"/>
  <c r="C22" s="1"/>
  <c r="L68" i="39"/>
  <c r="K70"/>
  <c r="C47" i="15"/>
  <c r="L52"/>
  <c r="C43"/>
  <c r="B3"/>
  <c r="Q45"/>
  <c r="Q51" s="1"/>
  <c r="Q54"/>
  <c r="Q63"/>
  <c r="B2"/>
  <c r="J41"/>
  <c r="W7" i="40" l="1"/>
  <c r="AC7"/>
  <c r="V42" s="1"/>
  <c r="I42" s="1"/>
  <c r="AA7"/>
  <c r="R42" s="1"/>
  <c r="S7"/>
  <c r="U7"/>
  <c r="AB7"/>
  <c r="T42" s="1"/>
  <c r="G42" s="1"/>
  <c r="C31" i="11"/>
  <c r="C52" s="1"/>
  <c r="B3" s="1"/>
  <c r="M68" i="39"/>
  <c r="L70"/>
  <c r="J42" i="15"/>
  <c r="D35" i="9"/>
  <c r="L58" i="15"/>
  <c r="L61" s="1"/>
  <c r="Q65"/>
  <c r="C20" i="9"/>
  <c r="D20"/>
  <c r="C102" l="1"/>
  <c r="G46" i="40"/>
  <c r="H46" s="1"/>
  <c r="G47"/>
  <c r="H47" s="1"/>
  <c r="I46"/>
  <c r="J46" s="1"/>
  <c r="R43"/>
  <c r="E42"/>
  <c r="D102" i="9"/>
  <c r="G20"/>
  <c r="C56" i="11"/>
  <c r="C57" s="1"/>
  <c r="B2"/>
  <c r="N68" i="39"/>
  <c r="M70"/>
  <c r="D34" i="9"/>
  <c r="Q64" i="15"/>
  <c r="Q73" s="1"/>
  <c r="Q55"/>
  <c r="Q60" s="1"/>
  <c r="C19" i="9"/>
  <c r="D19"/>
  <c r="C32" l="1"/>
  <c r="C35" s="1"/>
  <c r="C34" s="1"/>
  <c r="D3" i="65"/>
  <c r="C101" i="9"/>
  <c r="E47" i="40"/>
  <c r="F47" s="1"/>
  <c r="E46"/>
  <c r="F46" s="1"/>
  <c r="C43"/>
  <c r="C42"/>
  <c r="I47"/>
  <c r="J47" s="1"/>
  <c r="D101" i="9"/>
  <c r="D22"/>
  <c r="G19"/>
  <c r="O68" i="39"/>
  <c r="O70" s="1"/>
  <c r="N70"/>
  <c r="B58" i="40" l="1"/>
  <c r="F58" s="1"/>
  <c r="B51"/>
  <c r="F51" s="1"/>
  <c r="F61" s="1"/>
  <c r="B2" s="1"/>
  <c r="B3" s="1"/>
  <c r="B52"/>
  <c r="F52" s="1"/>
  <c r="B60"/>
  <c r="F60" s="1"/>
  <c r="B55"/>
  <c r="F55" s="1"/>
  <c r="B57"/>
  <c r="F57" s="1"/>
  <c r="B59"/>
  <c r="F59" s="1"/>
  <c r="B56"/>
  <c r="F56" s="1"/>
  <c r="B53"/>
  <c r="F53" s="1"/>
  <c r="B54"/>
  <c r="F54" s="1"/>
  <c r="F7" i="39"/>
  <c r="J7"/>
  <c r="H7"/>
  <c r="S7" l="1"/>
  <c r="AA7"/>
  <c r="R47" s="1"/>
  <c r="AB7"/>
  <c r="T47" s="1"/>
  <c r="G47" s="1"/>
  <c r="G51" s="1"/>
  <c r="H51" s="1"/>
  <c r="U7"/>
  <c r="W7"/>
  <c r="AC7"/>
  <c r="V47" s="1"/>
  <c r="I47" s="1"/>
  <c r="G52" l="1"/>
  <c r="H52" s="1"/>
  <c r="I51"/>
  <c r="J51" s="1"/>
  <c r="R48"/>
  <c r="E47"/>
  <c r="C47" l="1"/>
  <c r="C48"/>
  <c r="E52"/>
  <c r="F52" s="1"/>
  <c r="E51"/>
  <c r="F51" s="1"/>
  <c r="I52"/>
  <c r="J52" s="1"/>
  <c r="B59" l="1"/>
  <c r="F59" s="1"/>
  <c r="B61"/>
  <c r="F61" s="1"/>
  <c r="B63"/>
  <c r="F63" s="1"/>
  <c r="B57"/>
  <c r="F57" s="1"/>
  <c r="B65"/>
  <c r="F65" s="1"/>
  <c r="B56"/>
  <c r="F56" s="1"/>
  <c r="F66" s="1"/>
  <c r="B2" s="1"/>
  <c r="B3" s="1"/>
  <c r="B64"/>
  <c r="F64" s="1"/>
  <c r="B58"/>
  <c r="F58" s="1"/>
  <c r="B60"/>
  <c r="F60" s="1"/>
  <c r="B62"/>
  <c r="F62" s="1"/>
  <c r="G121" i="9" l="1"/>
  <c r="I121"/>
  <c r="H121" s="1"/>
  <c r="E121"/>
  <c r="H4" i="52" l="1"/>
  <c r="D14" i="62"/>
  <c r="C103" i="9"/>
  <c r="H122"/>
  <c r="H5" i="52" s="1"/>
  <c r="E4"/>
  <c r="B38" i="60" s="1"/>
  <c r="D121" i="9"/>
  <c r="G4" i="52"/>
  <c r="B41" i="60" s="1"/>
  <c r="F121" i="9"/>
  <c r="D106"/>
  <c r="D112" s="1"/>
  <c r="D117" s="1"/>
  <c r="I102"/>
  <c r="D7" i="50" s="1"/>
  <c r="I4" i="52"/>
  <c r="C104" i="9"/>
  <c r="I103"/>
  <c r="D107"/>
  <c r="E14" i="62" l="1"/>
  <c r="F14"/>
  <c r="B5"/>
  <c r="D28" i="50"/>
  <c r="D29" s="1"/>
  <c r="D45" i="9"/>
  <c r="C85" s="1"/>
  <c r="I110"/>
  <c r="D15" i="50" s="1"/>
  <c r="M48" i="9"/>
  <c r="F122"/>
  <c r="F5" i="52" s="1"/>
  <c r="B42" i="60" s="1"/>
  <c r="F4" i="52"/>
  <c r="B40" i="60" s="1"/>
  <c r="D4" i="52"/>
  <c r="B37" i="60" s="1"/>
  <c r="D122" i="9"/>
  <c r="D5" i="52" s="1"/>
  <c r="B39" i="60" s="1"/>
  <c r="D113" i="9"/>
  <c r="I111" s="1"/>
  <c r="D30" i="50"/>
  <c r="D9"/>
  <c r="B21" i="60" s="1"/>
  <c r="I115" i="9"/>
  <c r="D23" i="50" s="1"/>
  <c r="B34" i="60" s="1"/>
  <c r="D44" i="50"/>
  <c r="D8"/>
  <c r="B22" i="60" s="1"/>
  <c r="B19"/>
  <c r="D5" i="62" l="1"/>
  <c r="C5"/>
  <c r="D36" i="50"/>
  <c r="D37" s="1"/>
  <c r="C93" i="9"/>
  <c r="C86" s="1"/>
  <c r="D38" i="50"/>
  <c r="B62" i="60" s="1"/>
  <c r="D125" i="9"/>
  <c r="D59"/>
  <c r="M55" s="1"/>
  <c r="D55"/>
  <c r="M53" s="1"/>
  <c r="C64"/>
  <c r="C63" s="1"/>
  <c r="C67" s="1"/>
  <c r="C68" s="1"/>
  <c r="D54" s="1"/>
  <c r="C72"/>
  <c r="D53"/>
  <c r="D48" s="1"/>
  <c r="M52" s="1"/>
  <c r="C78"/>
  <c r="C73" s="1"/>
  <c r="D52"/>
  <c r="C95"/>
  <c r="D126"/>
  <c r="D9" i="52" s="1"/>
  <c r="D17" i="50"/>
  <c r="D16"/>
  <c r="B30" i="60" s="1"/>
  <c r="B29"/>
  <c r="D8" i="52" l="1"/>
  <c r="G14" i="62"/>
  <c r="B6" s="1"/>
  <c r="C79" i="9"/>
  <c r="C80" s="1"/>
  <c r="E80" s="1"/>
  <c r="E81" s="1"/>
  <c r="C96"/>
  <c r="E96" s="1"/>
  <c r="E97" s="1"/>
  <c r="D6" i="62" l="1"/>
  <c r="C6"/>
  <c r="C97" i="9"/>
  <c r="D58" s="1"/>
  <c r="D56" s="1"/>
  <c r="M54" s="1"/>
  <c r="N57" s="1"/>
  <c r="P57" s="1"/>
  <c r="C81"/>
  <c r="N58"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<sst xmlns="http://schemas.openxmlformats.org/spreadsheetml/2006/main" count="6930" uniqueCount="2947">
  <si>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</si>
  <si>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</si>
  <si>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</si>
  <si>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</si>
  <si>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</si>
  <si>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</si>
  <si>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</si>
  <si>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</si>
  <si>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</si>
  <si>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</si>
  <si>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</si>
  <si>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</si>
  <si>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</si>
  <si>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</si>
  <si>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</si>
  <si>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</si>
  <si>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</si>
  <si>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</si>
  <si>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</si>
  <si>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</si>
  <si>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</si>
  <si>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</si>
  <si>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</si>
  <si>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</si>
  <si>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</si>
  <si>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</si>
  <si>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</si>
  <si>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</si>
  <si>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</si>
  <si>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</si>
  <si>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</si>
  <si>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</si>
  <si>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</si>
  <si>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</si>
  <si>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</si>
  <si>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</si>
  <si>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</si>
  <si>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</si>
  <si>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</si>
  <si>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</si>
  <si>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</si>
  <si>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</si>
  <si>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</si>
  <si>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</si>
  <si>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</si>
  <si>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</si>
  <si>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</si>
  <si>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</si>
  <si>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</si>
  <si>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</si>
  <si>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</si>
  <si>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</si>
  <si>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</si>
  <si>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</si>
  <si>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</si>
  <si>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</si>
  <si>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</si>
  <si>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</si>
  <si>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</si>
  <si>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</si>
  <si>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</si>
  <si>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</si>
  <si>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</si>
  <si>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</si>
  <si>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</si>
  <si>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</si>
  <si>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</si>
  <si>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</si>
  <si>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</si>
  <si>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</si>
  <si>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</si>
  <si>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</si>
  <si>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</si>
  <si>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</si>
  <si>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</si>
  <si>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</si>
  <si>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</si>
  <si>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</si>
  <si>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</si>
  <si>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</si>
  <si>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</si>
  <si>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</si>
  <si>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</si>
  <si>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</si>
  <si>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</si>
  <si>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</si>
  <si>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</si>
  <si>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</si>
  <si>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</si>
  <si>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</si>
  <si>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</si>
  <si>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</si>
  <si>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</si>
  <si>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</si>
  <si>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</si>
  <si>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</si>
  <si>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</si>
  <si>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</si>
  <si>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</si>
  <si>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</si>
  <si>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</si>
  <si>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</si>
  <si>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</si>
  <si>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</si>
  <si>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</si>
  <si>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</si>
  <si>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</si>
  <si>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</si>
  <si>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</si>
  <si>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</si>
  <si>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</si>
  <si>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</si>
  <si>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</si>
  <si>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</si>
  <si>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</si>
  <si>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</si>
  <si>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</si>
  <si>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</si>
  <si>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</si>
  <si>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</si>
  <si>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</si>
  <si>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</si>
  <si>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</si>
  <si>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</si>
  <si>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</si>
  <si>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</si>
  <si>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</si>
  <si>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</si>
  <si>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</si>
  <si>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</si>
  <si>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</si>
  <si>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</si>
  <si>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</si>
  <si>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</si>
  <si>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</si>
  <si>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</si>
  <si>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</si>
  <si>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</si>
  <si>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</si>
  <si>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</si>
  <si>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</si>
  <si>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</si>
  <si>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</si>
  <si>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</si>
  <si>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</si>
  <si>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</si>
  <si>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</si>
  <si>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</si>
  <si>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</si>
  <si>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</si>
  <si>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</si>
  <si>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</si>
  <si>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</si>
  <si>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</si>
  <si>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</si>
  <si>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</si>
  <si>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</si>
  <si>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</si>
  <si>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</si>
  <si>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</si>
  <si>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</si>
  <si>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</si>
  <si>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</si>
  <si>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</si>
  <si>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</si>
  <si>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</si>
  <si>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</si>
  <si>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</si>
  <si>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</si>
  <si>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</si>
  <si>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</si>
  <si>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</si>
  <si>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</si>
  <si>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</si>
  <si>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</si>
  <si>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</si>
  <si>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</si>
  <si>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</si>
  <si>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</si>
  <si>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</si>
  <si>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</si>
  <si>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</si>
  <si>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</si>
  <si>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</si>
  <si>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</si>
  <si>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</si>
  <si>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</si>
  <si>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</si>
  <si>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</si>
  <si>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</si>
  <si>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</si>
  <si>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</si>
  <si>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</si>
  <si>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</si>
  <si>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</si>
  <si>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</si>
  <si>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</si>
  <si>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</si>
  <si>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</si>
  <si>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</si>
  <si>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</si>
  <si>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</si>
  <si>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</si>
  <si>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</si>
  <si>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</si>
  <si>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</si>
  <si>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</si>
  <si>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</si>
  <si>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</si>
  <si>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</si>
  <si>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</si>
  <si>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</si>
  <si>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</si>
  <si>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</si>
  <si>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</si>
  <si>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</si>
  <si>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</si>
  <si>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</si>
  <si>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</si>
  <si>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</si>
  <si>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</si>
  <si>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</si>
  <si>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</si>
  <si>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</si>
  <si>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</si>
  <si>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</si>
  <si>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</si>
  <si>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</si>
  <si>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</si>
  <si>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</si>
  <si>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</si>
  <si>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</si>
  <si>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</si>
  <si>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</si>
  <si>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</si>
  <si>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</si>
  <si>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</si>
  <si>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</si>
  <si>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</si>
  <si>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</si>
  <si>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</si>
  <si>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</si>
  <si>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</si>
  <si>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</si>
  <si>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</si>
  <si>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</si>
  <si>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</si>
  <si>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</si>
  <si>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</si>
  <si>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</si>
  <si>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</si>
  <si>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</si>
  <si>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</si>
  <si>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</si>
  <si>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</si>
  <si>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</si>
  <si>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</si>
  <si>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</si>
  <si>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</si>
  <si>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</si>
  <si>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</si>
  <si>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</si>
  <si>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</si>
  <si>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</si>
  <si>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</si>
  <si>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</si>
  <si>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</si>
  <si>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</si>
  <si>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</si>
  <si>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</si>
  <si>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</si>
  <si>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</si>
  <si>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</si>
  <si>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</si>
  <si>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</si>
  <si>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</si>
  <si>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</si>
  <si>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</si>
  <si>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</si>
  <si>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</si>
  <si>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</si>
  <si>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</si>
  <si>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</si>
  <si>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</si>
  <si>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</si>
  <si>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</si>
  <si>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</si>
  <si>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</si>
  <si>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</si>
  <si>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</si>
  <si>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</si>
  <si>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</si>
  <si>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</si>
  <si>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</si>
  <si>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</si>
  <si>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</si>
  <si>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</si>
  <si>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</si>
  <si>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</si>
  <si>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</si>
  <si>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</si>
  <si>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</si>
  <si>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</si>
  <si>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</si>
  <si>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</si>
  <si>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</si>
  <si>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</si>
  <si>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</si>
  <si>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</si>
  <si>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</si>
  <si>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</si>
  <si>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</si>
  <si>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</si>
  <si>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</si>
  <si>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</si>
  <si>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</si>
  <si>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</si>
  <si>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</si>
  <si>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</si>
  <si>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</si>
  <si>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</si>
  <si>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</si>
  <si>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</si>
  <si>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</si>
  <si>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</si>
  <si>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</si>
  <si>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</si>
  <si>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</si>
  <si>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</si>
  <si>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</si>
  <si>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</si>
  <si>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</si>
  <si>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</si>
  <si>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</si>
  <si>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</si>
  <si>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</si>
  <si>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</si>
  <si>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</si>
  <si>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</si>
  <si>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</si>
  <si>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</si>
  <si>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</si>
  <si>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</si>
  <si>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</si>
  <si>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</si>
  <si>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</si>
  <si>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</si>
  <si>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</si>
  <si>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</si>
  <si>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</si>
  <si>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</si>
  <si>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</si>
  <si>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</si>
  <si>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</si>
  <si>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</si>
  <si>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</si>
  <si>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</si>
  <si>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</si>
  <si>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</si>
  <si>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</si>
  <si>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</si>
  <si>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</si>
  <si>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</si>
  <si>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</si>
  <si>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</si>
  <si>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</si>
  <si>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</si>
  <si>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</si>
  <si>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</si>
  <si>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</si>
  <si>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</si>
  <si>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</si>
  <si>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</si>
  <si>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</si>
  <si>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</si>
  <si>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</si>
  <si>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</si>
  <si>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</si>
  <si>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</si>
  <si>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</si>
  <si>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</si>
  <si>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</si>
  <si>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</si>
  <si>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</si>
  <si>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</si>
  <si>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</si>
  <si>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</si>
  <si>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</si>
  <si>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</si>
  <si>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</si>
  <si>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</si>
  <si>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</si>
  <si>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</si>
  <si>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</si>
  <si>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</si>
  <si>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</si>
  <si>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</si>
  <si>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</si>
  <si>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</si>
  <si>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</si>
  <si>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</si>
  <si>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</si>
  <si>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</si>
  <si>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</si>
  <si>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</si>
  <si>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</si>
  <si>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</si>
  <si>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</si>
  <si>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</si>
  <si>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</si>
  <si>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</si>
  <si>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</si>
  <si>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</si>
  <si>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</si>
  <si>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</si>
  <si>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</si>
  <si>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</si>
  <si>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</si>
  <si>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</si>
  <si>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</si>
  <si>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</si>
  <si>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</si>
  <si>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</si>
  <si>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</si>
  <si>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</si>
  <si>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</si>
  <si>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</si>
  <si>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</si>
  <si>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</si>
  <si>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</si>
  <si>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</si>
  <si>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</si>
  <si>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</si>
  <si>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</si>
  <si>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</si>
  <si>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</si>
  <si>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</si>
  <si>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</si>
  <si>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</si>
  <si>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</si>
  <si>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</si>
  <si>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</si>
  <si>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</si>
  <si>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</si>
  <si>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</si>
  <si>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</si>
  <si>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</si>
  <si>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</si>
  <si>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</si>
  <si>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</si>
  <si>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</si>
  <si>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</si>
  <si>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</si>
  <si>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</si>
  <si>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</si>
  <si>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</si>
  <si>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</si>
  <si>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</si>
  <si>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</si>
  <si>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</si>
  <si>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</si>
  <si>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</si>
  <si>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</si>
  <si>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</si>
  <si>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</si>
  <si>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</si>
  <si>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</si>
  <si>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</si>
  <si>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</si>
  <si>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</si>
  <si>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</si>
  <si>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</si>
  <si>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</si>
  <si>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</si>
  <si>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</si>
  <si>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</si>
  <si>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</si>
  <si>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</si>
  <si>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</si>
  <si>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</si>
  <si>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</si>
  <si>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</si>
  <si>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</si>
  <si>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</si>
  <si>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</si>
  <si>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</si>
  <si>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</si>
  <si>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</si>
  <si>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</si>
  <si>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</si>
  <si>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</si>
  <si>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</si>
  <si>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</si>
  <si>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</si>
  <si>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</si>
  <si>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</si>
  <si>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</si>
  <si>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</si>
  <si>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</si>
  <si>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</si>
  <si>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</si>
  <si>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</si>
  <si>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</si>
  <si>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</si>
  <si>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</si>
  <si>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</si>
  <si>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</si>
  <si>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</si>
  <si>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</si>
  <si>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</si>
  <si>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</si>
  <si>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</si>
  <si>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</si>
  <si>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</si>
  <si>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</si>
  <si>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</si>
  <si>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</si>
  <si>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</si>
  <si>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</si>
  <si>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</si>
  <si>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</si>
  <si>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</si>
  <si>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</si>
  <si>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</si>
  <si>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</si>
  <si>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</si>
  <si>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</si>
  <si>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</si>
  <si>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</si>
  <si>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</si>
  <si>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</si>
  <si>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</si>
  <si>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</si>
  <si>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</si>
  <si>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</si>
  <si>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</si>
  <si>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</si>
  <si>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</si>
  <si>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</si>
  <si>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</si>
  <si>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</si>
  <si>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</si>
  <si>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</si>
  <si>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</si>
  <si>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</si>
  <si>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</si>
  <si>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</si>
  <si>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</si>
  <si>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</si>
  <si>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</si>
  <si>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</si>
  <si>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</si>
  <si>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</si>
  <si>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</si>
  <si>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</si>
  <si>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</si>
  <si>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</si>
  <si>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</si>
  <si>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</si>
  <si>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</si>
  <si>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</si>
  <si>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</si>
  <si>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</si>
  <si>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</si>
  <si>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</si>
  <si>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</si>
  <si>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</si>
  <si>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</si>
  <si>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</si>
  <si>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</si>
  <si>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</si>
  <si>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</si>
  <si>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</si>
  <si>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</si>
  <si>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</si>
  <si>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</si>
  <si>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</si>
  <si>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</si>
  <si>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</si>
  <si>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</si>
  <si>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</si>
  <si>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</si>
  <si>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</si>
  <si>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</si>
  <si>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</si>
  <si>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</si>
  <si>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</si>
  <si>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</si>
  <si>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</si>
  <si>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</si>
  <si>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</si>
  <si>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</si>
  <si>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</si>
  <si>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</si>
  <si>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</si>
  <si>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</si>
  <si>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</si>
  <si>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</si>
  <si>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</si>
  <si>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</si>
  <si>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</si>
  <si>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</si>
  <si>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</si>
  <si>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</si>
  <si>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</si>
  <si>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</si>
  <si>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</si>
  <si>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</si>
  <si>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</si>
  <si>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</si>
  <si>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</si>
  <si>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</si>
  <si>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</si>
  <si>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</si>
  <si>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</si>
  <si>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</si>
  <si>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</si>
  <si>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</si>
  <si>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</si>
  <si>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</si>
  <si>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</si>
  <si>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</si>
  <si>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</si>
  <si>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</si>
  <si>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</si>
  <si>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</si>
  <si>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</si>
  <si>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</si>
  <si>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</si>
  <si>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</si>
  <si>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</si>
  <si>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</si>
  <si>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</si>
  <si>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</si>
  <si>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</si>
  <si>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</si>
  <si>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</si>
  <si>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</si>
  <si>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</si>
  <si>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</si>
  <si>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</si>
  <si>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</si>
  <si>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</si>
  <si>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</si>
  <si>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</si>
  <si>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</si>
  <si>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</si>
  <si>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</si>
  <si>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</si>
  <si>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</si>
  <si>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</si>
  <si>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</si>
  <si>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</si>
  <si>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</si>
  <si>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</si>
  <si>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</si>
  <si>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</si>
  <si>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</si>
  <si>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</si>
  <si>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</si>
  <si>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</si>
  <si>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</si>
  <si>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</si>
  <si>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</si>
  <si>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</si>
  <si>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</si>
  <si>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</si>
  <si>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</si>
  <si>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</si>
  <si>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</si>
  <si>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</si>
  <si>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</si>
  <si>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</si>
  <si>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</si>
  <si>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</si>
  <si>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</si>
  <si>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</si>
  <si>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</si>
  <si>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</si>
  <si>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</si>
  <si>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</si>
  <si>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</si>
  <si>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</si>
  <si>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</si>
  <si>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</si>
  <si>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</si>
  <si>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</si>
  <si>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</si>
  <si>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</si>
  <si>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</si>
  <si>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</si>
  <si>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</si>
  <si>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</si>
  <si>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</si>
  <si>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</si>
  <si>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</si>
  <si>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</si>
  <si>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</si>
  <si>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</si>
  <si>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</si>
  <si>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</si>
  <si>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</si>
  <si>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</si>
  <si>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</si>
  <si>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</si>
  <si>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</si>
  <si>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</si>
  <si>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</si>
  <si>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</si>
  <si>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</si>
  <si>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</si>
  <si>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</si>
  <si>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</si>
  <si>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</si>
  <si>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</si>
  <si>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</si>
  <si>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</si>
  <si>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</si>
  <si>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</si>
  <si>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</si>
  <si>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</si>
  <si>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</si>
  <si>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</si>
  <si>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</si>
  <si>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</si>
  <si>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</si>
  <si>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</si>
  <si>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</si>
  <si>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</si>
  <si>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</si>
  <si>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</si>
  <si>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</si>
  <si>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</si>
  <si>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</si>
  <si>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</si>
  <si>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</si>
  <si>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</si>
  <si>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</si>
  <si>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</si>
  <si>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</si>
  <si>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</si>
  <si>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</si>
  <si>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</si>
  <si>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</si>
  <si>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</si>
  <si>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</si>
  <si>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</si>
  <si>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</si>
  <si>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</si>
  <si>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</si>
  <si>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</si>
  <si>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</si>
  <si>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</si>
  <si>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</si>
  <si>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</si>
  <si>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</si>
  <si>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</si>
  <si>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</si>
  <si>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</si>
  <si>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</si>
  <si>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</si>
  <si>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</si>
  <si>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</si>
  <si>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</si>
  <si>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</si>
  <si>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</si>
  <si>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</si>
  <si>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</si>
  <si>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</si>
  <si>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</si>
  <si>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</si>
  <si>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</si>
  <si>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</si>
  <si>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</si>
  <si>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</si>
  <si>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</si>
  <si>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</si>
  <si>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</si>
  <si>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</si>
  <si>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</si>
  <si>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</si>
  <si>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</si>
  <si>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</si>
  <si>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</si>
  <si>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</si>
  <si>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</si>
  <si>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</si>
  <si>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</si>
  <si>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</si>
  <si>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</si>
  <si>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</si>
  <si>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</si>
  <si>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</si>
  <si>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</si>
  <si>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</si>
  <si>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</si>
  <si>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</si>
  <si>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</si>
  <si>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</si>
  <si>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</si>
  <si>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</si>
  <si>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</si>
  <si>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</si>
  <si>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</si>
  <si>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</si>
  <si>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</si>
  <si>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</si>
  <si>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</si>
  <si>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</si>
  <si>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</si>
  <si>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</si>
  <si>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</si>
  <si>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</si>
  <si>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</si>
  <si>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</si>
  <si>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</si>
  <si>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</si>
  <si>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</si>
  <si>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</si>
  <si>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</si>
  <si>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</si>
  <si>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</si>
  <si>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</si>
  <si>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</si>
  <si>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</si>
  <si>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</si>
  <si>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</si>
  <si>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</si>
  <si>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</si>
  <si>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</si>
  <si>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</si>
  <si>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</si>
  <si>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</si>
  <si>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</si>
  <si>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</si>
  <si>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</si>
  <si>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</si>
  <si>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</si>
  <si>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</si>
  <si>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</si>
  <si>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</si>
  <si>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</si>
  <si>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</si>
  <si>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</si>
  <si>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</si>
  <si>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</si>
  <si>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</si>
  <si>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</si>
  <si>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</si>
  <si>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</si>
  <si>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</si>
  <si>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</si>
  <si>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</si>
  <si>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</si>
  <si>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</si>
  <si>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</si>
  <si>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</si>
  <si>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</si>
  <si>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</si>
  <si>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</si>
  <si>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</si>
  <si>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</si>
  <si>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</si>
  <si>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</si>
  <si>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</si>
  <si>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</si>
  <si>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</si>
  <si>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</si>
  <si>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</si>
  <si>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</si>
  <si>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</si>
  <si>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</si>
  <si>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</si>
  <si>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</si>
  <si>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</si>
  <si>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</si>
  <si>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</si>
  <si>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</si>
  <si>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</si>
  <si>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</si>
  <si>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</si>
  <si>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</si>
  <si>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</si>
  <si>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</si>
  <si>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</si>
  <si>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</si>
  <si>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</si>
  <si>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</si>
  <si>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</si>
  <si>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</si>
  <si>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</si>
  <si>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</si>
  <si>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</si>
  <si>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</si>
  <si>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</si>
  <si>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</si>
  <si>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</si>
  <si>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</si>
  <si>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</si>
  <si>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</si>
  <si>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</si>
  <si>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</si>
  <si>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</si>
  <si>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</si>
  <si>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</si>
  <si>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</si>
  <si>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</si>
  <si>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</si>
  <si>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</si>
  <si>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</si>
  <si>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</si>
  <si>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</si>
  <si>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</si>
  <si>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</si>
  <si>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</si>
  <si>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</si>
  <si>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</si>
  <si>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</si>
  <si>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</si>
  <si>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</si>
  <si>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</si>
  <si>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</si>
  <si>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</si>
  <si>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</si>
  <si>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</si>
  <si>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</si>
  <si>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</si>
  <si>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</si>
  <si>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</si>
  <si>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</si>
  <si>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</si>
  <si>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</si>
  <si>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</si>
  <si>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</si>
  <si>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</si>
  <si>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</si>
  <si>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</si>
  <si>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</si>
  <si>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</si>
  <si>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</si>
  <si>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</si>
  <si>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</si>
  <si>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</si>
  <si>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</si>
  <si>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</si>
  <si>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</si>
  <si>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</si>
  <si>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</si>
  <si>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</si>
  <si>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</si>
  <si>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</si>
  <si>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</si>
  <si>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</si>
  <si>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</si>
  <si>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</si>
  <si>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</si>
  <si>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</si>
  <si>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</si>
  <si>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</si>
  <si>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</si>
  <si>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</si>
  <si>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</si>
  <si>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</si>
  <si>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</si>
  <si>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</si>
  <si>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</si>
  <si>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</si>
  <si>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</si>
  <si>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</si>
  <si>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</si>
  <si>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</si>
  <si>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</si>
  <si>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</si>
  <si>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</si>
  <si>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</si>
  <si>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</si>
  <si>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</si>
  <si>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</si>
  <si>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</si>
  <si>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</si>
  <si>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</si>
  <si>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</si>
  <si>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</si>
  <si>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</si>
  <si>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</si>
  <si>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</si>
  <si>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</si>
  <si>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</si>
  <si>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</si>
  <si>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</si>
  <si>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</si>
  <si>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</si>
  <si>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</si>
  <si>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</si>
  <si>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</si>
  <si>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</si>
  <si>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</si>
  <si>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</si>
  <si>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</si>
  <si>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</si>
  <si>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</si>
  <si>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</si>
  <si>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</si>
  <si>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</si>
  <si>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</si>
  <si>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</si>
  <si>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</si>
  <si>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</si>
  <si>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</si>
  <si>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</si>
  <si>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</si>
  <si>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</si>
  <si>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</si>
  <si>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</si>
  <si>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</si>
  <si>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</si>
  <si>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</si>
  <si>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</si>
  <si>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</si>
  <si>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</si>
  <si>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</si>
  <si>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</si>
  <si>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</si>
  <si>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</si>
  <si>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</si>
  <si>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</si>
  <si>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</si>
  <si>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</si>
  <si>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</si>
  <si>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</si>
  <si>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</si>
  <si>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</si>
  <si>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</si>
  <si>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</si>
  <si>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</si>
  <si>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</si>
  <si>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</si>
  <si>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</si>
  <si>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</si>
  <si>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</si>
  <si>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</si>
  <si>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</si>
  <si>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</si>
  <si>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</si>
  <si>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</si>
  <si>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</si>
  <si>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</si>
  <si>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</si>
  <si>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</si>
  <si>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</si>
  <si>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</si>
  <si>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</si>
  <si>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</si>
  <si>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</si>
  <si>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</si>
  <si>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</si>
  <si>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</si>
  <si>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</si>
  <si>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</si>
  <si>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</si>
  <si>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</si>
  <si>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</si>
  <si>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</si>
  <si>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</si>
  <si>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</si>
  <si>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</si>
  <si>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</si>
  <si>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</si>
  <si>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</si>
  <si>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</si>
  <si>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</si>
  <si>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</si>
  <si>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</si>
  <si>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</si>
  <si>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</si>
  <si>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</si>
  <si>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</si>
  <si>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</si>
  <si>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</si>
  <si>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</si>
  <si>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</si>
  <si>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</si>
  <si>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</si>
  <si>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</si>
  <si>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</si>
  <si>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</si>
  <si>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</si>
  <si>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</si>
  <si>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</si>
  <si>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</si>
  <si>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</si>
  <si>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</si>
  <si>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</si>
  <si>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</si>
  <si>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</si>
  <si>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</si>
  <si>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</si>
  <si>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</si>
  <si>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</si>
  <si>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</si>
  <si>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</si>
  <si>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</si>
  <si>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</si>
  <si>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</si>
  <si>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</si>
  <si>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</si>
  <si>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</si>
  <si>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</si>
  <si>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</si>
  <si>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</si>
  <si>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</si>
  <si>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</si>
  <si>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</si>
  <si>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</si>
  <si>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</si>
  <si>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</si>
  <si>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</si>
  <si>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</si>
  <si>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</si>
  <si>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</si>
  <si>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</si>
  <si>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</si>
  <si>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</si>
  <si>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</si>
  <si>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</si>
  <si>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</si>
  <si>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</si>
  <si>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</si>
  <si>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</si>
  <si>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</si>
  <si>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</si>
  <si>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</si>
  <si>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</si>
  <si>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</si>
  <si>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</si>
  <si>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</si>
  <si>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</si>
  <si>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</si>
  <si>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</si>
  <si>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</si>
  <si>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</si>
  <si>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</si>
  <si>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</si>
  <si>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</si>
  <si>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</si>
  <si>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</si>
  <si>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</si>
  <si>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</si>
  <si>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</si>
  <si>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</si>
  <si>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</si>
  <si>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</si>
  <si>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</si>
  <si>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</si>
  <si>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</si>
  <si>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</si>
  <si>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</si>
  <si>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</si>
  <si>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</si>
  <si>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</si>
  <si>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</si>
  <si>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</si>
  <si>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</si>
  <si>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</si>
  <si>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</si>
  <si>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</si>
  <si>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</si>
  <si>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</si>
  <si>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</si>
  <si>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</si>
  <si>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</si>
  <si>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</si>
  <si>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</si>
  <si>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</si>
  <si>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</si>
  <si>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</si>
  <si>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</si>
  <si>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</si>
  <si>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</si>
  <si>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</si>
  <si>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</si>
  <si>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</si>
  <si>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</si>
  <si>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</si>
  <si>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</si>
  <si>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</si>
  <si>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</si>
  <si>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</si>
  <si>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</si>
  <si>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</si>
  <si>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</si>
  <si>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</si>
  <si>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</si>
  <si>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</si>
  <si>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</si>
  <si>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</si>
  <si>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</si>
  <si>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</si>
  <si>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</si>
  <si>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</si>
  <si>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</si>
  <si>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</si>
  <si>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</si>
  <si>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</si>
  <si>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</si>
  <si>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</si>
  <si>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</si>
  <si>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</si>
  <si>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</si>
  <si>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</si>
  <si>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</si>
  <si>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</si>
  <si>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</si>
  <si>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</si>
  <si>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</si>
  <si>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</si>
  <si>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</si>
  <si>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</si>
  <si>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</si>
  <si>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</si>
  <si>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</si>
  <si>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</si>
  <si>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</si>
  <si>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</si>
  <si>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</si>
  <si>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</si>
  <si>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</si>
  <si>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</si>
  <si>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</si>
  <si>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</si>
  <si>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</si>
  <si>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</si>
  <si>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</si>
  <si>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</si>
  <si>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</si>
  <si>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</si>
  <si>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</si>
  <si>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</si>
  <si>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</si>
  <si>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</si>
  <si>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</si>
  <si>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</si>
  <si>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</si>
  <si>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</si>
  <si>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</si>
  <si>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</si>
  <si>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</si>
  <si>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</si>
  <si>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</si>
  <si>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</si>
  <si>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</si>
  <si>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</si>
  <si>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</si>
  <si>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</si>
  <si>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</si>
  <si>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</si>
  <si>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</si>
  <si>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</si>
  <si>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</si>
  <si>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</si>
  <si>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</si>
  <si>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</si>
  <si>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</si>
  <si>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</si>
  <si>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</si>
  <si>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</si>
  <si>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</si>
  <si>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</si>
  <si>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</si>
  <si>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</si>
  <si>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</si>
  <si>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</si>
  <si>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</si>
  <si>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</si>
  <si>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</si>
  <si>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</si>
  <si>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</si>
  <si>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</si>
  <si>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</si>
  <si>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</si>
  <si>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</si>
  <si>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</si>
  <si>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</si>
  <si>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</si>
  <si>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</si>
  <si>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</si>
  <si>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</si>
  <si>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</si>
  <si>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</si>
  <si>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</si>
  <si>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</si>
  <si>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</si>
  <si>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</si>
  <si>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</si>
  <si>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</si>
  <si>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</si>
  <si>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</si>
  <si>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</si>
  <si>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</si>
  <si>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</si>
  <si>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</si>
  <si>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</si>
  <si>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</si>
  <si>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</si>
  <si>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</si>
  <si>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</si>
  <si>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</si>
  <si>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</si>
  <si>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</si>
  <si>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</si>
  <si>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</si>
  <si>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</si>
  <si>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</si>
  <si>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</si>
  <si>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</si>
  <si>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</si>
  <si>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</si>
  <si>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</si>
  <si>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</si>
  <si>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</si>
  <si>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</si>
  <si>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</si>
  <si>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</si>
  <si>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</si>
  <si>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</si>
  <si>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</si>
  <si>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</si>
  <si>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</si>
  <si>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</si>
  <si>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</si>
  <si>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</si>
  <si>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</si>
  <si>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</si>
  <si>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</si>
  <si>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</si>
  <si>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</si>
  <si>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</si>
  <si>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</si>
  <si>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</si>
  <si>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</si>
  <si>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</si>
  <si>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</si>
  <si>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</si>
  <si>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</si>
  <si>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</si>
  <si>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</si>
  <si>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</si>
  <si>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</si>
  <si>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</si>
  <si>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</si>
  <si>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</si>
  <si>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</si>
  <si>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</si>
  <si>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</si>
  <si>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</si>
  <si>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</si>
  <si>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</si>
  <si>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</si>
  <si>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</si>
  <si>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</si>
  <si>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</si>
  <si>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</si>
  <si>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</si>
  <si>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</si>
  <si>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</si>
  <si>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</si>
  <si>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</si>
  <si>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</si>
  <si>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</si>
  <si>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</si>
  <si>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</si>
  <si>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</si>
  <si>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</si>
  <si>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</si>
  <si>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</si>
  <si>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</si>
  <si>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</si>
  <si>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</si>
  <si>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</si>
  <si>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</si>
  <si>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</si>
  <si>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</si>
  <si>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</si>
  <si>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</si>
  <si>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</si>
  <si>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</si>
  <si>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</si>
  <si>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</si>
  <si>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</si>
  <si>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</si>
  <si>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</si>
  <si>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</si>
  <si>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</si>
  <si>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</si>
  <si>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</si>
  <si>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</si>
  <si>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</si>
  <si>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</si>
  <si>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</si>
  <si>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</si>
  <si>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</si>
  <si>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</si>
  <si>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</si>
  <si>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</si>
  <si>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</si>
  <si>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</si>
  <si>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</si>
  <si>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</si>
  <si>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</si>
  <si>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</si>
  <si>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</si>
  <si>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</si>
  <si>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</si>
  <si>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</si>
  <si>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</si>
  <si>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</si>
  <si>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</si>
  <si>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</si>
  <si>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</si>
  <si>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</si>
  <si>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</si>
  <si>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</si>
  <si>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</si>
  <si>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</si>
  <si>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</si>
  <si>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</si>
  <si>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</si>
  <si>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</si>
  <si>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</si>
  <si>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</si>
  <si>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</si>
  <si>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</si>
  <si>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</si>
  <si>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</si>
  <si>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</si>
  <si>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</si>
  <si>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</si>
  <si>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</si>
  <si>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</si>
  <si>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</si>
  <si>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</si>
  <si>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</si>
  <si>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</si>
  <si>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</si>
  <si>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</si>
  <si>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</si>
  <si>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</si>
  <si>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</si>
  <si>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</si>
  <si>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</si>
  <si>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</si>
  <si>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</si>
  <si>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</si>
  <si>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</si>
  <si>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</si>
  <si>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</si>
  <si>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</si>
  <si>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</si>
  <si>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</si>
  <si>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</si>
  <si>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</si>
  <si>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</si>
  <si>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</si>
  <si>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</si>
  <si>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</si>
  <si>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</si>
  <si>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</si>
  <si>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</si>
  <si>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</si>
  <si>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</si>
  <si>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</si>
  <si>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</si>
  <si>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</si>
  <si>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</si>
  <si>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</si>
  <si>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</si>
  <si>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</si>
  <si>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</si>
  <si>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</si>
  <si>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</si>
  <si>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</si>
  <si>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</si>
  <si>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</si>
  <si>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</si>
  <si>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</si>
  <si>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</si>
  <si>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</si>
  <si>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</si>
  <si>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</si>
  <si>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</si>
  <si>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</si>
  <si>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</si>
  <si>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</si>
  <si>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</si>
  <si>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</si>
  <si>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</si>
  <si>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</si>
  <si>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</si>
  <si>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</si>
  <si>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</si>
  <si>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</si>
  <si>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</si>
  <si>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</si>
  <si>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</si>
  <si>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</si>
  <si>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</si>
  <si>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</si>
  <si>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</si>
  <si>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</si>
  <si>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</si>
  <si>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</si>
  <si>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</si>
  <si>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</si>
  <si>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</si>
  <si>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</si>
  <si>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</si>
  <si>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</si>
  <si>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</si>
  <si>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</si>
  <si>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</si>
  <si>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</si>
  <si>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</si>
  <si>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</si>
  <si>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</si>
  <si>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</si>
  <si>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</si>
  <si>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</si>
  <si>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</si>
  <si>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</si>
  <si>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</si>
  <si>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</si>
  <si>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</si>
  <si>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</si>
  <si>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</si>
  <si>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</si>
  <si>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</si>
  <si>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</si>
  <si>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</si>
  <si>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</si>
  <si>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</si>
  <si>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</si>
  <si>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</si>
  <si>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</si>
  <si>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</si>
  <si>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</si>
  <si>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</si>
  <si>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</si>
  <si>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</si>
  <si>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</si>
  <si>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</si>
  <si>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</si>
  <si>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</si>
  <si>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</si>
  <si>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</si>
  <si>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</si>
  <si>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</si>
  <si>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</si>
  <si>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</si>
  <si>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</si>
  <si>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</si>
  <si>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</si>
  <si>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</si>
  <si>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</si>
  <si>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</si>
  <si>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</si>
  <si>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</si>
  <si>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</si>
  <si>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</si>
  <si>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</si>
  <si>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</si>
  <si>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</si>
  <si>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</si>
  <si>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</si>
  <si>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</si>
  <si>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</si>
  <si>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</si>
  <si>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</si>
  <si>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</si>
  <si>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</si>
  <si>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</si>
  <si>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</si>
  <si>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</si>
  <si>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</si>
  <si>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</si>
  <si>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</si>
  <si>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</si>
  <si>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</si>
  <si>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</si>
  <si>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</si>
  <si>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</si>
  <si>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</si>
  <si>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</si>
  <si>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</si>
  <si>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</si>
  <si>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</si>
  <si>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</si>
  <si>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</si>
  <si>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</si>
  <si>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</si>
  <si>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</si>
  <si>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</si>
  <si>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</si>
  <si>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</si>
  <si>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</si>
  <si>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</si>
  <si>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</si>
  <si>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</si>
  <si>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</si>
  <si>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</si>
  <si>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</si>
  <si>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</si>
  <si>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</si>
  <si>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</si>
  <si>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</si>
  <si>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</si>
  <si>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</si>
  <si>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</si>
  <si>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</si>
  <si>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</si>
  <si>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</si>
  <si>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</si>
  <si>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</si>
  <si>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</si>
  <si>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</si>
  <si>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</si>
  <si>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</si>
  <si>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</si>
  <si>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</si>
  <si>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</si>
  <si>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</si>
  <si>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</si>
  <si>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</si>
  <si>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</si>
  <si>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</si>
  <si>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</si>
  <si>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</si>
  <si>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</si>
  <si>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</si>
  <si>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</si>
  <si>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</si>
  <si>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</si>
  <si>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</si>
  <si>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</si>
  <si>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</si>
  <si>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</si>
  <si>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</si>
  <si>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</si>
  <si>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</si>
  <si>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</si>
  <si>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</si>
  <si>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</si>
  <si>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</si>
  <si>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</si>
  <si>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</si>
  <si>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</si>
  <si>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</si>
  <si>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</si>
  <si>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</si>
  <si>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</si>
  <si>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</si>
  <si>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</si>
  <si>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</si>
  <si>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</si>
  <si>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</si>
  <si>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</si>
  <si>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</si>
  <si>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</si>
  <si>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</si>
  <si>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</si>
  <si>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</si>
  <si>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</si>
  <si>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</si>
  <si>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</si>
  <si>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</si>
  <si>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</si>
  <si>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</si>
  <si>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</si>
  <si>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</si>
  <si>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</si>
  <si>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</si>
  <si>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</si>
  <si>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</si>
  <si>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</si>
  <si>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</si>
  <si>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</si>
  <si>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</si>
  <si>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</si>
  <si>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</si>
  <si>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</si>
  <si>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</si>
  <si>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</si>
  <si>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</si>
  <si>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</si>
  <si>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</si>
  <si>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</si>
  <si>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</si>
  <si>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</si>
  <si>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</si>
  <si>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</si>
  <si>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</si>
  <si>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</si>
  <si>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</si>
  <si>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</si>
  <si>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</si>
  <si>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</si>
  <si>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</si>
  <si>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</si>
  <si>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</si>
  <si>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</si>
  <si>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</si>
  <si>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</si>
  <si>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</si>
  <si>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</si>
  <si>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</si>
  <si>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</si>
  <si>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</si>
  <si>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</si>
  <si>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</si>
  <si>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</si>
  <si>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</si>
  <si>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</si>
  <si>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</si>
  <si>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</si>
  <si>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</si>
  <si>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</si>
  <si>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</si>
  <si>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</si>
  <si>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</si>
  <si>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</si>
  <si>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</si>
  <si>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</si>
  <si>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</si>
  <si>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</si>
  <si>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</si>
  <si>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</si>
  <si>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</si>
  <si>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</si>
  <si>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</si>
  <si>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</si>
  <si>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</si>
  <si>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</si>
  <si>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</si>
  <si>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</si>
  <si>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</si>
  <si>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</si>
  <si>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</si>
  <si>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</si>
  <si>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</si>
  <si>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</si>
  <si>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</si>
  <si>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</si>
  <si>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</si>
  <si>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</si>
  <si>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</si>
  <si>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</si>
  <si>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</si>
  <si>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</si>
  <si>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</si>
  <si>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</si>
  <si>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</si>
  <si>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</si>
  <si>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</si>
  <si>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</si>
  <si>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</si>
  <si>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</si>
  <si>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</si>
  <si>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</si>
  <si>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</si>
  <si>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</si>
  <si>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</si>
  <si>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</si>
  <si>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</si>
  <si>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</si>
  <si>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</si>
  <si>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</si>
  <si>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</si>
  <si>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</si>
  <si>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</si>
  <si>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</si>
  <si>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</si>
  <si>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</si>
  <si>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</si>
  <si>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</si>
  <si>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</si>
  <si>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</si>
  <si>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</si>
  <si>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</si>
  <si>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</si>
  <si>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</si>
  <si>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</si>
  <si>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</si>
  <si>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</si>
  <si>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</si>
  <si>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</si>
  <si>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</si>
  <si>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</si>
  <si>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</si>
  <si>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</si>
  <si>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</si>
  <si>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</si>
  <si>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</si>
  <si>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</si>
  <si>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</si>
  <si>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</si>
  <si>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</si>
  <si>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</si>
  <si>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</si>
  <si>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</si>
  <si>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</si>
  <si>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</si>
  <si>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</si>
  <si>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</si>
  <si>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</si>
  <si>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</si>
  <si>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</si>
  <si>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</si>
  <si>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</si>
  <si>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</si>
  <si>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</si>
  <si>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</si>
  <si>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</si>
  <si>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</si>
  <si>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</si>
  <si>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</si>
  <si>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</si>
  <si>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</si>
  <si>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</si>
  <si>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</si>
  <si>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</si>
  <si>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</si>
  <si>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</si>
  <si>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</si>
  <si>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</si>
  <si>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</si>
  <si>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</si>
  <si>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</si>
  <si>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</si>
  <si>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</si>
  <si>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</si>
  <si>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</si>
  <si>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</si>
  <si>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</si>
  <si>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</si>
  <si>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</si>
  <si>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</si>
  <si>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</si>
  <si>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</si>
  <si>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</si>
  <si>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</si>
  <si>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</si>
  <si>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</si>
  <si>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</si>
  <si>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</si>
  <si>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</si>
  <si>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</si>
  <si>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</si>
  <si>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</si>
  <si>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</si>
  <si>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</si>
  <si>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</si>
  <si>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</si>
  <si>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</si>
  <si>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</si>
  <si>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</si>
  <si>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</si>
  <si>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</si>
  <si>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</si>
  <si>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</si>
  <si>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</si>
  <si>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</si>
  <si>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</si>
  <si>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</si>
  <si>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</si>
  <si>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</si>
  <si>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</si>
  <si>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</si>
  <si>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</si>
  <si>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</si>
  <si>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</si>
  <si>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</si>
  <si>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</si>
  <si>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</si>
  <si>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</si>
  <si>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</si>
  <si>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</si>
  <si>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</si>
  <si>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</si>
  <si>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</si>
  <si>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</si>
  <si>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</si>
  <si>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</si>
  <si>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</si>
  <si>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</si>
  <si>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</si>
  <si>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</si>
  <si>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</si>
  <si>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</si>
  <si>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</si>
  <si>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</si>
  <si>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</si>
  <si>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</si>
  <si>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</si>
  <si>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</si>
  <si>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</si>
  <si>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</si>
  <si>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</si>
  <si>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</si>
  <si>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</si>
  <si>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</si>
  <si>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</si>
  <si>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</si>
  <si>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</si>
  <si>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</si>
  <si>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</si>
  <si>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</si>
  <si>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</si>
  <si>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</si>
  <si>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</si>
  <si>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</si>
  <si>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</si>
  <si>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</si>
  <si>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</si>
  <si>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</si>
  <si>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</si>
  <si>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</si>
  <si>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</si>
  <si>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</si>
  <si>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</si>
  <si>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</si>
  <si>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</si>
  <si>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</si>
  <si>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</si>
  <si>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</si>
  <si>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</si>
  <si>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</si>
  <si>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</si>
  <si>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</si>
  <si>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</si>
  <si>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</si>
  <si>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</si>
  <si>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</si>
  <si>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</si>
  <si>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</si>
  <si>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</si>
  <si>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</si>
  <si>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</si>
  <si>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</si>
  <si>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</si>
  <si>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</si>
  <si>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</si>
  <si>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</si>
  <si>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</si>
  <si>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</si>
  <si>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</si>
  <si>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</si>
  <si>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</si>
  <si>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</si>
  <si>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</si>
  <si>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</si>
  <si>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</si>
  <si>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</si>
  <si>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</si>
  <si>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</si>
  <si>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</si>
  <si>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</si>
  <si>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</si>
  <si>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</si>
  <si>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</si>
  <si>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</si>
  <si>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</si>
  <si>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</si>
  <si>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</si>
  <si>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</si>
  <si>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</si>
  <si>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</si>
  <si>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</si>
  <si>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</si>
  <si>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</si>
  <si>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</si>
  <si>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</si>
  <si>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</si>
  <si>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</si>
  <si>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</si>
  <si>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</si>
  <si>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</si>
  <si>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</si>
  <si>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</si>
  <si>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</si>
  <si>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</si>
  <si>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</si>
  <si>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</si>
  <si>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</si>
  <si>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</si>
  <si>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</si>
  <si>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</si>
  <si>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</si>
  <si>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</si>
  <si>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</si>
  <si>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</si>
  <si>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</si>
  <si>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</si>
  <si>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</si>
  <si>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</si>
  <si>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</si>
  <si>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</si>
  <si>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</si>
  <si>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</si>
  <si>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</si>
  <si>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</si>
  <si>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</si>
  <si>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</si>
  <si>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</si>
  <si>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</si>
  <si>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</si>
  <si>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</si>
  <si>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</si>
  <si>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</si>
  <si>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</si>
  <si>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</si>
  <si>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</si>
  <si>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</si>
  <si>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</si>
  <si>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</si>
  <si>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</si>
  <si>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</si>
  <si>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</si>
  <si>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</si>
  <si>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</si>
  <si>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</si>
  <si>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</si>
  <si>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</si>
  <si>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</si>
  <si>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</si>
  <si>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</si>
  <si>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</si>
  <si>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</si>
  <si>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</si>
  <si>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</si>
  <si>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</si>
  <si>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</si>
  <si>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</si>
  <si>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</si>
  <si>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</si>
  <si>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</si>
  <si>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</si>
  <si>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</si>
  <si>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</si>
  <si>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</si>
  <si>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</si>
  <si>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</si>
  <si>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</si>
  <si>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</si>
  <si>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</si>
  <si>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</si>
  <si>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</si>
  <si>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</si>
  <si>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</si>
  <si>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</si>
  <si>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</si>
  <si>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</si>
  <si>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</si>
  <si>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</si>
  <si>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</si>
  <si>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</si>
  <si>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</si>
  <si>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</si>
  <si>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</si>
  <si>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</si>
  <si>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</si>
  <si>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</si>
  <si>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</si>
  <si>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</si>
  <si>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</si>
  <si>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</si>
  <si>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</si>
  <si>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</si>
  <si>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</si>
  <si>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</si>
  <si>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</si>
  <si>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</si>
  <si>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</si>
  <si>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</si>
  <si>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</si>
  <si>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</si>
  <si>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</si>
  <si>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</si>
  <si>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</si>
  <si>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</si>
  <si>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</si>
  <si>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</si>
  <si>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</si>
  <si>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</si>
  <si>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</si>
  <si>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</si>
  <si>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</si>
  <si>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</si>
  <si>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</si>
  <si>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</si>
  <si>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</si>
  <si>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</si>
  <si>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</si>
  <si>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</si>
  <si>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</si>
  <si>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</si>
  <si>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</si>
  <si>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</si>
  <si>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</si>
  <si>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</si>
  <si>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</si>
  <si>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</si>
  <si>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</si>
  <si>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</si>
  <si>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</si>
  <si>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</si>
  <si>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</si>
  <si>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</si>
  <si>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</si>
  <si>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</si>
  <si>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</si>
  <si>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</si>
  <si>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</si>
  <si>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</si>
  <si>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</si>
  <si>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</si>
  <si>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</si>
  <si>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</si>
  <si>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</si>
  <si>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</si>
  <si>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</si>
  <si>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</si>
  <si>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</si>
  <si>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</si>
  <si>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</si>
  <si>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</si>
  <si>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</si>
  <si>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</si>
  <si>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</si>
  <si>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</si>
  <si>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</si>
  <si>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</si>
  <si>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</si>
  <si>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</si>
  <si>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</si>
  <si>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</si>
  <si>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</si>
  <si>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</si>
  <si>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</si>
  <si>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</si>
  <si>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</si>
  <si>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</si>
  <si>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</si>
  <si>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</si>
  <si>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</si>
  <si>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</si>
  <si>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</si>
  <si>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</si>
  <si>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</si>
  <si>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</si>
  <si>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</si>
  <si>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</si>
  <si>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</si>
  <si>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</si>
  <si>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</si>
  <si>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</si>
  <si>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</si>
  <si>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</si>
  <si>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</si>
  <si>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</si>
  <si>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</si>
  <si>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</si>
  <si>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</si>
  <si>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</si>
  <si>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</si>
  <si>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</si>
  <si>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</si>
  <si>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</si>
  <si>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</si>
  <si>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</si>
  <si>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</si>
  <si>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</si>
  <si>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</si>
  <si>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</si>
  <si>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</si>
  <si>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</si>
  <si>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</si>
  <si>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</si>
  <si>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</si>
  <si>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</si>
  <si>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</si>
  <si>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</si>
  <si>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</si>
  <si>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</si>
  <si>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</si>
  <si>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</si>
  <si>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</si>
  <si>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</si>
  <si>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</si>
  <si>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</si>
  <si>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</si>
  <si>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</si>
  <si>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</si>
  <si>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</si>
  <si>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</si>
  <si>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</si>
  <si>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</si>
  <si>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</si>
  <si>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</si>
  <si>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</si>
  <si>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</si>
  <si>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</si>
  <si>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</si>
  <si>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</si>
  <si>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</si>
  <si>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</si>
  <si>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</si>
  <si>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</si>
  <si>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</si>
  <si>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</si>
  <si>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</si>
  <si>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</si>
  <si>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</si>
  <si>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</si>
  <si>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</si>
  <si>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</si>
  <si>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</si>
  <si>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</si>
  <si>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</si>
  <si>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</si>
  <si>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</si>
  <si>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</si>
  <si>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</si>
  <si>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</si>
  <si>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</si>
  <si>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</si>
  <si>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</si>
  <si>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</si>
  <si>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</si>
  <si>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</si>
  <si>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</si>
  <si>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</si>
  <si>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</si>
  <si>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</si>
  <si>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</si>
  <si>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</si>
  <si>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</si>
  <si>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</si>
  <si>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</si>
  <si>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</si>
  <si>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</si>
  <si>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</si>
  <si>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</si>
  <si>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</si>
  <si>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</si>
  <si>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</si>
  <si>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</si>
  <si>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</si>
  <si>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</si>
  <si>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</si>
  <si>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</si>
  <si>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</si>
  <si>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</si>
  <si>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</si>
  <si>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</si>
  <si>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</si>
  <si>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</si>
  <si>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</si>
  <si>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</si>
  <si>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</si>
  <si>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</si>
  <si>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</si>
  <si>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</si>
  <si>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</si>
  <si>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</si>
  <si>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</si>
  <si>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</si>
  <si>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</si>
  <si>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</si>
  <si>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</si>
  <si>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</si>
  <si>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</si>
  <si>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</si>
  <si>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</si>
  <si>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</si>
  <si>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</si>
  <si>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</si>
  <si>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</si>
  <si>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</si>
  <si>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</si>
  <si>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</si>
  <si>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</si>
  <si>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</si>
  <si>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</si>
  <si>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</si>
  <si>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</si>
  <si>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</si>
  <si>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</si>
  <si>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</si>
  <si>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</si>
  <si>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</si>
  <si>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</si>
  <si>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</si>
  <si>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</si>
  <si>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</si>
  <si>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</si>
  <si>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</si>
  <si>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</si>
  <si>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</si>
  <si>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</si>
  <si>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</si>
  <si>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</si>
  <si>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</si>
  <si>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</si>
  <si>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</si>
  <si>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</si>
  <si>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</si>
  <si>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</si>
  <si>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</si>
  <si>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</si>
  <si>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</si>
  <si>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</si>
  <si>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</si>
  <si>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</si>
  <si>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</si>
  <si>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</si>
  <si>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</si>
  <si>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</si>
  <si>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</si>
  <si>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</si>
  <si>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</si>
  <si>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</si>
  <si>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</si>
  <si>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</si>
  <si>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</si>
  <si>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</si>
  <si>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</si>
  <si>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</si>
  <si>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</si>
  <si>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</si>
  <si>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</si>
  <si>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</si>
  <si>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</si>
  <si>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</si>
  <si>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</si>
  <si>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</si>
  <si>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</si>
  <si>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</si>
  <si>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</si>
  <si>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</si>
  <si>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</si>
  <si>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</si>
  <si>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</si>
  <si>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</si>
  <si>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</si>
  <si>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</si>
  <si>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</si>
  <si>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</si>
  <si>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</si>
  <si>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</si>
  <si>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</si>
  <si>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</si>
  <si>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</si>
  <si>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</si>
  <si>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</si>
  <si>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</si>
  <si>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</si>
  <si>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</si>
  <si>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</si>
  <si>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</si>
  <si>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</si>
  <si>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</si>
  <si>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</si>
  <si>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</si>
  <si>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</si>
  <si>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</si>
  <si>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</si>
  <si>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</si>
  <si>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</si>
  <si>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</si>
  <si>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</si>
  <si>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</si>
  <si>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</si>
  <si>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</si>
  <si>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</si>
  <si>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</si>
  <si>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</si>
  <si>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</si>
  <si>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</si>
  <si>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</si>
  <si>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</si>
  <si>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</si>
  <si>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</si>
  <si>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</si>
  <si>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</si>
  <si>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</si>
  <si>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</si>
  <si>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</si>
  <si>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</si>
  <si>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</si>
  <si>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</si>
  <si>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</si>
  <si>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</si>
  <si>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</si>
  <si>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</si>
  <si>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</si>
  <si>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</si>
  <si>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</si>
  <si>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</si>
  <si>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</si>
  <si>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</si>
  <si>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</si>
  <si>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</si>
  <si>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</si>
  <si>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</si>
  <si>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</si>
  <si>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</si>
  <si>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</si>
  <si>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</si>
  <si>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</si>
  <si>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</si>
  <si>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</si>
  <si>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</si>
  <si>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</si>
  <si>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</si>
  <si>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</si>
  <si>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</si>
  <si>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</si>
  <si>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</si>
  <si>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</si>
  <si>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</si>
  <si>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</si>
  <si>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</si>
  <si>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</si>
  <si>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</si>
  <si>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</si>
  <si>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</si>
  <si>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</si>
  <si>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</si>
  <si>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</si>
  <si>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</si>
  <si>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</si>
  <si>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</si>
  <si>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</si>
  <si>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</si>
  <si>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</si>
  <si>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</si>
  <si>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</si>
  <si>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</si>
  <si>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</si>
  <si>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</si>
  <si>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</si>
  <si>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</si>
  <si>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</si>
  <si>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</si>
  <si>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</si>
  <si>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</si>
  <si>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</si>
  <si>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</si>
  <si>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</si>
  <si>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</si>
  <si>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</si>
  <si>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</si>
  <si>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</si>
  <si>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</si>
  <si>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</si>
  <si>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</si>
  <si>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</si>
  <si>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</si>
  <si>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</si>
  <si>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</si>
  <si>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</si>
  <si>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</si>
  <si>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</si>
  <si>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</si>
  <si>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</si>
  <si>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</si>
  <si>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</si>
  <si>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</si>
  <si>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</si>
  <si>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</si>
  <si>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</si>
  <si>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</si>
  <si>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</si>
  <si>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</si>
  <si>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</si>
  <si>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</si>
  <si>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</si>
  <si>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</si>
  <si>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</si>
  <si>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</si>
  <si>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</si>
  <si>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</si>
  <si>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</si>
  <si>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</si>
  <si>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</si>
  <si>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</si>
  <si>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</si>
  <si>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</si>
  <si>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</si>
  <si>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</si>
  <si>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</si>
  <si>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</si>
  <si>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</si>
  <si>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</si>
  <si>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</si>
  <si>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</si>
  <si>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</si>
  <si>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</si>
  <si>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</si>
  <si>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</si>
  <si>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</si>
  <si>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</si>
  <si>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</si>
  <si>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</si>
  <si>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</si>
  <si>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</si>
  <si>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</si>
  <si>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</si>
  <si>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</si>
  <si>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</si>
  <si>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</si>
  <si>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</si>
  <si>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</si>
  <si>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</si>
  <si>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</si>
  <si>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</si>
  <si>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</si>
  <si>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</si>
  <si>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</si>
  <si>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</si>
  <si>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</si>
  <si>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</si>
  <si>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</si>
  <si>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</si>
  <si>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</si>
  <si>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</si>
  <si>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</si>
  <si>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</si>
  <si>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</si>
  <si>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</si>
  <si>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</si>
  <si>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</si>
  <si>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</si>
  <si>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</si>
  <si>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</si>
  <si>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</si>
  <si>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</si>
  <si>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</si>
  <si>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</si>
  <si>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</si>
  <si>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</si>
  <si>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</si>
  <si>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</si>
  <si>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</si>
  <si>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</si>
  <si>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</si>
  <si>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</si>
  <si>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</si>
  <si>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</si>
  <si>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</si>
  <si>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</si>
  <si>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</si>
  <si>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</si>
  <si>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</si>
  <si>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</si>
  <si>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</si>
  <si>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</si>
  <si>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</si>
  <si>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</si>
  <si>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</si>
  <si>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</si>
  <si>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</si>
  <si>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</si>
  <si>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</si>
  <si>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</si>
  <si>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</si>
  <si>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</si>
  <si>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</si>
  <si>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</si>
  <si>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</si>
  <si>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</si>
  <si>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</si>
  <si>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</si>
  <si>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</si>
  <si>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</si>
  <si>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</si>
  <si>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</si>
  <si>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</si>
  <si>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</si>
  <si>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</si>
  <si>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</si>
  <si>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</si>
  <si>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</si>
  <si>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</si>
  <si>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</si>
  <si>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</si>
  <si>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</si>
  <si>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</si>
  <si>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</si>
  <si>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</si>
  <si>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</si>
  <si>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</si>
  <si>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</si>
  <si>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</si>
  <si>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</si>
  <si>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</si>
  <si>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</si>
  <si>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</si>
  <si>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</si>
  <si>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</si>
  <si>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</si>
  <si>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</si>
  <si>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</si>
  <si>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</si>
  <si>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</si>
  <si>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</si>
  <si>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</si>
  <si>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</si>
  <si>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</si>
  <si>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</si>
  <si>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</si>
  <si>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</si>
  <si>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</si>
  <si>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</si>
  <si>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</si>
  <si>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</si>
  <si>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</si>
  <si>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</si>
  <si>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</si>
  <si>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</si>
  <si>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</si>
  <si>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</si>
  <si>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</si>
  <si>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</si>
  <si>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</si>
  <si>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</si>
  <si>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</si>
  <si>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</si>
  <si>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</si>
  <si>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</si>
  <si>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</si>
  <si>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</si>
  <si>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</si>
  <si>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</si>
  <si>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</si>
  <si>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</si>
  <si>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</si>
  <si>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</si>
  <si>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</si>
  <si>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</si>
  <si>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</si>
  <si>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</si>
  <si>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</si>
  <si>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</si>
  <si>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</si>
  <si>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</si>
  <si>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</si>
  <si>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</si>
  <si>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</si>
  <si>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</si>
  <si>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</si>
  <si>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</si>
  <si>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</si>
  <si>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</si>
  <si>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</si>
  <si>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</si>
  <si>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</si>
  <si>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</si>
  <si>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</si>
  <si>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</si>
  <si>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</si>
  <si>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</si>
  <si>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</si>
  <si>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</si>
  <si>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</si>
  <si>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</si>
  <si>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</si>
  <si>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</si>
  <si>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</si>
  <si>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</si>
  <si>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</si>
  <si>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</si>
  <si>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</si>
  <si>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</si>
  <si>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</si>
  <si>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</si>
  <si>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</si>
  <si>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</si>
  <si>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</si>
  <si>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</si>
  <si>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</si>
  <si>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</si>
  <si>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</si>
  <si>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</si>
  <si>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</si>
  <si>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</si>
  <si>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</si>
  <si>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</si>
  <si>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</si>
  <si>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</si>
  <si>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</si>
  <si>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</si>
  <si>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</si>
  <si>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</si>
  <si>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</si>
  <si>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</si>
  <si>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</si>
  <si>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</si>
  <si>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</si>
  <si>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</si>
  <si>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</si>
  <si>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</si>
  <si>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</si>
  <si>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</si>
  <si>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</si>
  <si>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</si>
  <si>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</si>
  <si>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</si>
  <si>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</si>
  <si>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</si>
  <si>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</si>
  <si>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</si>
  <si>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</si>
  <si>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</si>
  <si>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</si>
  <si>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</si>
  <si>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</si>
  <si>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</si>
  <si>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</si>
  <si>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</si>
  <si>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</si>
  <si>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</si>
  <si>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</si>
  <si>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</si>
  <si>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</si>
  <si>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</si>
  <si>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</si>
  <si>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</si>
  <si>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</si>
  <si>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</si>
  <si>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</si>
  <si>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</si>
  <si>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</si>
  <si>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</si>
  <si>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</si>
  <si>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</si>
  <si>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</si>
  <si>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</si>
  <si>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</si>
  <si>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</si>
  <si>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</si>
  <si>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</si>
  <si>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</si>
  <si>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</si>
  <si>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</si>
  <si>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</si>
  <si>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</si>
  <si>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</si>
  <si>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</si>
  <si>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</si>
  <si>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</si>
  <si>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</si>
  <si>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</si>
  <si>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</si>
  <si>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</si>
  <si>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</si>
  <si>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</si>
  <si>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</si>
  <si>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</si>
  <si>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</si>
  <si>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</si>
  <si>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</si>
  <si>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</si>
  <si>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</si>
  <si>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</si>
  <si>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</si>
  <si>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</si>
  <si>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</si>
  <si>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</si>
  <si>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</si>
  <si>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</si>
  <si>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</si>
  <si>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</si>
  <si>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</si>
  <si>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</si>
  <si>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</si>
  <si>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</si>
  <si>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</si>
  <si>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</si>
  <si>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</si>
  <si>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</si>
  <si>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</si>
  <si>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</si>
  <si>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</si>
  <si>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</si>
  <si>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</si>
  <si>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</si>
  <si>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</si>
  <si>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</si>
  <si>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</si>
  <si>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</si>
  <si>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</si>
  <si>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</si>
  <si>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</si>
  <si>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</si>
  <si>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</si>
  <si>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</si>
  <si>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</si>
  <si>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</si>
  <si>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</si>
  <si>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</si>
  <si>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</si>
  <si>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</si>
  <si>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</si>
  <si>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</si>
  <si>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</si>
  <si>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</si>
  <si>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</si>
  <si>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</si>
  <si>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</si>
  <si>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</si>
  <si>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A</t>
    <phoneticPr fontId="146" type="noConversion"/>
  </si>
  <si>
    <t>B</t>
    <phoneticPr fontId="146" type="noConversion"/>
  </si>
  <si>
    <t>C</t>
    <phoneticPr fontId="146"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</si>
  <si>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</si>
  <si>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</si>
  <si>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</si>
  <si>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</si>
  <si>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</si>
  <si>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</si>
  <si>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</si>
  <si>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</si>
  <si>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</si>
  <si>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</si>
  <si>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</si>
  <si>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</si>
  <si>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</si>
  <si>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</si>
  <si>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</si>
  <si>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</si>
  <si>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</si>
  <si>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</si>
  <si>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</si>
  <si>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</si>
  <si>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</si>
  <si>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</si>
  <si>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</si>
  <si>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</si>
  <si>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</si>
  <si>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</si>
  <si>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</si>
  <si>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12</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</si>
  <si>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</si>
  <si>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</si>
  <si>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</si>
  <si>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</si>
  <si>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估价对象</t>
  </si>
  <si>
    <t>未包含在土地购买价格中</t>
  </si>
  <si>
    <t>已包含在土地取得成本中</t>
  </si>
  <si>
    <t>无</t>
  </si>
  <si>
    <t>500-1000米</t>
  </si>
  <si>
    <t>售价</t>
  </si>
  <si>
    <t>南湖东园122楼南区1007（博泰国际）</t>
    <phoneticPr fontId="4" type="noConversion"/>
  </si>
  <si>
    <t>朝阳望京</t>
    <phoneticPr fontId="20" type="noConversion"/>
  </si>
  <si>
    <t>博泰国际</t>
    <phoneticPr fontId="4" type="noConversion"/>
  </si>
  <si>
    <t>正常</t>
  </si>
  <si>
    <t>挂牌</t>
    <phoneticPr fontId="20" type="noConversion"/>
  </si>
  <si>
    <t>住宅</t>
    <phoneticPr fontId="20" type="noConversion"/>
  </si>
  <si>
    <t>50-60（含）</t>
  </si>
  <si>
    <t>七通</t>
  </si>
  <si>
    <t>9/18</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</si>
  <si>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</si>
  <si>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</si>
  <si>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</si>
  <si>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</si>
  <si>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</si>
  <si>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</si>
  <si>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</si>
  <si>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</si>
  <si>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</si>
  <si>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南</t>
  </si>
  <si>
    <t>北</t>
  </si>
  <si>
    <t>北</t>
    <phoneticPr fontId="20" type="noConversion"/>
  </si>
  <si>
    <t>西北</t>
  </si>
  <si>
    <t>广顺北大街</t>
    <phoneticPr fontId="20" type="noConversion"/>
  </si>
  <si>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</si>
  <si>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</si>
  <si>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</si>
  <si>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</si>
  <si>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</si>
  <si>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</si>
  <si>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</si>
  <si>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</si>
  <si>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</si>
  <si>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</si>
  <si>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</si>
  <si>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</si>
  <si>
    <t>五通</t>
    <phoneticPr fontId="20" type="noConversion"/>
  </si>
  <si>
    <t>平层</t>
  </si>
  <si>
    <t>平层</t>
    <phoneticPr fontId="20" type="noConversion"/>
  </si>
  <si>
    <t>钢混</t>
  </si>
  <si>
    <t>普通装修</t>
  </si>
  <si>
    <t>物业公司</t>
  </si>
  <si>
    <t>物业公司</t>
    <phoneticPr fontId="20" type="noConversion"/>
  </si>
  <si>
    <r>
      <rPr>
        <sz val="11"/>
        <rFont val="宋体"/>
        <family val="3"/>
        <charset val="134"/>
      </rPr>
      <t>低楼层</t>
    </r>
    <r>
      <rPr>
        <sz val="11"/>
        <rFont val="Arial"/>
        <family val="2"/>
      </rPr>
      <t>/18</t>
    </r>
    <phoneticPr fontId="20" type="noConversion"/>
  </si>
  <si>
    <t>楼层</t>
    <phoneticPr fontId="20" type="noConversion"/>
  </si>
  <si>
    <t>高楼层/18</t>
    <phoneticPr fontId="20" type="noConversion"/>
  </si>
  <si>
    <t>塔楼</t>
  </si>
  <si>
    <t>简装</t>
  </si>
  <si>
    <t>非生产用房</t>
  </si>
  <si>
    <t>否</t>
  </si>
  <si>
    <t>押三</t>
  </si>
  <si>
    <t>估价对象1（结果表）</t>
  </si>
  <si>
    <t>收益法</t>
  </si>
  <si>
    <t>东南</t>
  </si>
  <si>
    <t>中楼层/25</t>
    <phoneticPr fontId="20" type="noConversion"/>
  </si>
  <si>
    <t>佳境天城</t>
    <phoneticPr fontId="4" type="noConversion"/>
  </si>
  <si>
    <r>
      <rPr>
        <sz val="11"/>
        <color indexed="8"/>
        <rFont val="宋体"/>
        <family val="3"/>
        <charset val="134"/>
      </rPr>
      <t>中楼层</t>
    </r>
    <r>
      <rPr>
        <sz val="11"/>
        <color indexed="8"/>
        <rFont val="Arial"/>
        <family val="2"/>
      </rPr>
      <t>/25</t>
    </r>
    <phoneticPr fontId="20" type="noConversion"/>
  </si>
  <si>
    <r>
      <rPr>
        <sz val="11"/>
        <color indexed="8"/>
        <rFont val="宋体"/>
        <family val="3"/>
        <charset val="134"/>
      </rPr>
      <t>低楼层</t>
    </r>
    <r>
      <rPr>
        <sz val="11"/>
        <color indexed="8"/>
        <rFont val="Arial"/>
        <family val="2"/>
      </rPr>
      <t>/18</t>
    </r>
    <phoneticPr fontId="20" type="noConversion"/>
  </si>
  <si>
    <r>
      <rPr>
        <sz val="11"/>
        <color indexed="8"/>
        <rFont val="宋体"/>
        <family val="3"/>
        <charset val="134"/>
      </rPr>
      <t>高楼层</t>
    </r>
    <r>
      <rPr>
        <sz val="11"/>
        <color indexed="8"/>
        <rFont val="Arial"/>
        <family val="2"/>
      </rPr>
      <t>/18</t>
    </r>
    <phoneticPr fontId="20" type="noConversion"/>
  </si>
  <si>
    <t>建成年代</t>
    <phoneticPr fontId="20" type="noConversion"/>
  </si>
  <si>
    <t>花家地街</t>
    <phoneticPr fontId="20" type="noConversion"/>
  </si>
  <si>
    <t>成本法</t>
  </si>
  <si>
    <t>五通一平</t>
  </si>
  <si>
    <t>缺少</t>
  </si>
  <si>
    <t>通热</t>
  </si>
  <si>
    <t>燃气</t>
  </si>
  <si>
    <t>按租金收入计税</t>
  </si>
  <si>
    <t>房号</t>
    <phoneticPr fontId="249" type="noConversion"/>
  </si>
  <si>
    <t>面积</t>
    <phoneticPr fontId="249" type="noConversion"/>
  </si>
  <si>
    <t>朝向</t>
    <phoneticPr fontId="249" type="noConversion"/>
  </si>
  <si>
    <t>结果</t>
    <phoneticPr fontId="249" type="noConversion"/>
  </si>
  <si>
    <t>南</t>
    <phoneticPr fontId="249" type="noConversion"/>
  </si>
  <si>
    <t>北</t>
    <phoneticPr fontId="249" type="noConversion"/>
  </si>
  <si>
    <t>东北</t>
    <phoneticPr fontId="249" type="noConversion"/>
  </si>
  <si>
    <t>东</t>
    <phoneticPr fontId="249" type="noConversion"/>
  </si>
  <si>
    <t>南</t>
    <phoneticPr fontId="249" type="noConversion"/>
  </si>
  <si>
    <t>西</t>
    <phoneticPr fontId="249" type="noConversion"/>
  </si>
  <si>
    <t>西北</t>
    <phoneticPr fontId="249" type="noConversion"/>
  </si>
  <si>
    <t>北</t>
    <phoneticPr fontId="249" type="noConversion"/>
  </si>
  <si>
    <t>结果表</t>
    <phoneticPr fontId="146" type="noConversion"/>
  </si>
  <si>
    <t>朝向</t>
    <phoneticPr fontId="146" type="noConversion"/>
  </si>
  <si>
    <t>南</t>
    <phoneticPr fontId="146" type="noConversion"/>
  </si>
  <si>
    <t>北</t>
    <phoneticPr fontId="146" type="noConversion"/>
  </si>
  <si>
    <t>东北</t>
    <phoneticPr fontId="146" type="noConversion"/>
  </si>
  <si>
    <t>东</t>
    <phoneticPr fontId="146" type="noConversion"/>
  </si>
  <si>
    <t>西</t>
    <phoneticPr fontId="146" type="noConversion"/>
  </si>
  <si>
    <t>西北</t>
    <phoneticPr fontId="146"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</si>
</sst>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sz val="9"/>
      <name val="宋体"/>
      <family val="2"/>
      <charset val="134"/>
      <scheme val="min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lignment horizontal="right" vertical="center"/>
    </xf>
    <xf numFmtId="0" fontId="93" fillId="0" borderId="0" xfId="0" applyFont="1" applyAlignment="1">
      <alignment horizontal="center" vertical="center"/>
    </xf>
    <xf numFmtId="0" fontId="0" fillId="0" borderId="0" xfId="0" applyAlignment="1">
      <alignment horizontal="center" vertical="center"/>
    </xf>
    <xf numFmtId="0" fontId="93" fillId="6" borderId="0" xfId="0" applyFont="1" applyFill="1" applyAlignment="1">
      <alignment horizontal="right" vertical="center"/>
    </xf>
    <xf numFmtId="0" fontId="93" fillId="6" borderId="0" xfId="0" applyFont="1" applyFill="1" applyAlignment="1">
      <alignment horizontal="center"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01" fillId="7" borderId="3" xfId="0" applyFont="1" applyFill="1" applyBorder="1" applyAlignment="1" applyProtection="1">
      <alignment horizontal="center" vertical="center" wrapText="1"/>
      <protection locked="0"/>
    </xf>
    <xf numFmtId="0" fontId="101" fillId="7" borderId="17"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0" fillId="0" borderId="1" xfId="0" applyBorder="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93" fillId="0" borderId="65" xfId="0" applyFont="1" applyBorder="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523875</xdr:colOff>
      <xdr:row>0</xdr:row>
      <xdr:rowOff>0</xdr:rowOff>
    </xdr:from>
    <xdr:to>
      <xdr:col>18</xdr:col>
      <xdr:colOff>323850</xdr:colOff>
      <xdr:row>29</xdr:row>
      <xdr:rowOff>47625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696075" y="0"/>
          <a:ext cx="5972175" cy="5019675"/>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9</xdr:col>
      <xdr:colOff>142875</xdr:colOff>
      <xdr:row>37</xdr:row>
      <xdr:rowOff>161925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6315075" cy="6505575"/>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19050</xdr:rowOff>
    </xdr:from>
    <xdr:to>
      <xdr:col>10</xdr:col>
      <xdr:colOff>161925</xdr:colOff>
      <xdr:row>70</xdr:row>
      <xdr:rowOff>132582</xdr:rowOff>
    </xdr:to>
    <xdr:pic>
      <xdr:nvPicPr>
        <xdr:cNvPr id="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705600"/>
          <a:ext cx="7019925" cy="5428482"/>
        </a:xfrm>
        <a:prstGeom prst="rect">
          <a:avLst/>
        </a:prstGeom>
        <a:noFill/>
        <a:ln w="1">
          <a:noFill/>
          <a:miter lim="800000"/>
          <a:headEnd/>
          <a:tailEnd type="none" w="med" len="med"/>
        </a:ln>
        <a:effectLst/>
      </xdr:spPr>
    </xdr:pic>
    <xdr:clientData/>
  </xdr:twoCellAnchor>
  <xdr:twoCellAnchor editAs="oneCell">
    <xdr:from>
      <xdr:col>9</xdr:col>
      <xdr:colOff>288887</xdr:colOff>
      <xdr:row>29</xdr:row>
      <xdr:rowOff>108252</xdr:rowOff>
    </xdr:from>
    <xdr:to>
      <xdr:col>18</xdr:col>
      <xdr:colOff>266700</xdr:colOff>
      <xdr:row>38</xdr:row>
      <xdr:rowOff>114300</xdr:rowOff>
    </xdr:to>
    <xdr:pic>
      <xdr:nvPicPr>
        <xdr:cNvPr id="2"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6461087" y="5080302"/>
          <a:ext cx="6150013" cy="1549098"/>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561975</xdr:colOff>
      <xdr:row>35</xdr:row>
      <xdr:rowOff>38100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676775" cy="6038850"/>
        </a:xfrm>
        <a:prstGeom prst="rect">
          <a:avLst/>
        </a:prstGeom>
        <a:noFill/>
        <a:ln w="1">
          <a:noFill/>
          <a:miter lim="800000"/>
          <a:headEnd/>
          <a:tailEnd type="none" w="med" len="med"/>
        </a:ln>
        <a:effectLst/>
      </xdr:spPr>
    </xdr:pic>
    <xdr:clientData/>
  </xdr:twoCellAnchor>
  <xdr:twoCellAnchor editAs="oneCell">
    <xdr:from>
      <xdr:col>8</xdr:col>
      <xdr:colOff>161925</xdr:colOff>
      <xdr:row>1</xdr:row>
      <xdr:rowOff>38100</xdr:rowOff>
    </xdr:from>
    <xdr:to>
      <xdr:col>14</xdr:col>
      <xdr:colOff>628650</xdr:colOff>
      <xdr:row>33</xdr:row>
      <xdr:rowOff>76200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648325" y="209550"/>
          <a:ext cx="4581525" cy="5524500"/>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01&#27979;&#316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02&#27979;&#316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03&#27979;&#3163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06&#27979;&#3163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08&#27979;&#3163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09&#27979;&#3163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10&#27979;&#3163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5253;&#21578;/&#27861;&#38498;/&#21335;&#28246;&#19996;&#22253;9&#22871;&#25151;/1001-F02/1011&#27979;&#3163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收益法"/>
      <sheetName val="成本法"/>
      <sheetName val="假设开发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36259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收益法"/>
      <sheetName val="成本法"/>
      <sheetName val="假设开发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31989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收益法"/>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36203</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基准地价修正"/>
      <sheetName val="比较法-住宅"/>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32570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基准地价修正"/>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31989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收益法"/>
      <sheetName val="成本法"/>
      <sheetName val="假设开发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36147</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收益法"/>
      <sheetName val="成本法"/>
      <sheetName val="假设开发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31989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收益法"/>
      <sheetName val="成本法"/>
      <sheetName val="假设开发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出售案例"/>
      <sheetName val="出租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36259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北京市房地产市场价值预评估</v>
      </c>
    </row>
    <row r="3" spans="1:2" s="1700" customFormat="1">
      <c r="A3" s="1701" t="s">
        <v>1106</v>
      </c>
      <c r="B3" s="1686">
        <f>'预评函-封皮'!B12</f>
        <v>0</v>
      </c>
    </row>
    <row r="4" spans="1:2" s="1700" customFormat="1">
      <c r="A4" s="1701" t="s">
        <v>1107</v>
      </c>
      <c r="B4" s="1686" t="str">
        <f ca="1">'预评函-封皮'!B18</f>
        <v>叶凌（注册号:1119970111）、杨红英（注册号:1120070085)</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估价对象为北京市房地产，为所有。根据《不动产权证书》[]，估价对象建筑面积为1平方米，（分摊）出让国有建设用地使用权面积为平方米。估价对象用途为。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2019年2月20日（评估专业人员实地查勘之日）</v>
      </c>
    </row>
    <row r="10" spans="1:2">
      <c r="A10" s="1701" t="s">
        <v>1113</v>
      </c>
      <c r="B10" s="1688" t="str">
        <f>'预评函-1'!A13</f>
        <v>本次估价的“房地产价值”是指在正常市场情况下，在价值时点2019年2月20日，估价对象规划用途为，假定未设立法定优先受偿款下的房地产市场价值。</v>
      </c>
    </row>
    <row r="11" spans="1:2">
      <c r="A11" s="1701" t="s">
        <v>1114</v>
      </c>
      <c r="B11" s="1688"/>
    </row>
    <row r="12" spans="1:2">
      <c r="A12" s="1701" t="s">
        <v>1115</v>
      </c>
      <c r="B12" s="1688" t="str">
        <f>'预评函-1'!A14</f>
        <v>——</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v>
      </c>
    </row>
    <row r="15" spans="1:2" s="1698" customFormat="1" ht="15.75" thickBot="1">
      <c r="A15" s="1702" t="s">
        <v>1118</v>
      </c>
      <c r="B15" s="1689" t="str">
        <f>'预评函-1'!A18</f>
        <v>本次评估采用的主估价方法为成本法和收益法。</v>
      </c>
    </row>
    <row r="16" spans="1:2" ht="15.75" thickTop="1">
      <c r="A16" s="1699" t="s">
        <v>1119</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1</v>
      </c>
    </row>
    <row r="19" spans="1:2">
      <c r="A19" s="1701" t="s">
        <v>1122</v>
      </c>
      <c r="B19" s="1688">
        <f ca="1">'预评函-2（1）'!D7</f>
        <v>32570</v>
      </c>
    </row>
    <row r="20" spans="1:2">
      <c r="A20" s="1701" t="s">
        <v>1160</v>
      </c>
      <c r="B20" s="1688" t="str">
        <f>'预评函-2（1）'!C7</f>
        <v>总价（元）</v>
      </c>
    </row>
    <row r="21" spans="1:2">
      <c r="A21" s="1701" t="s">
        <v>1123</v>
      </c>
      <c r="B21" s="1688">
        <f ca="1">'预评函-2（1）'!D9</f>
        <v>32570</v>
      </c>
    </row>
    <row r="22" spans="1:2">
      <c r="A22" s="1701" t="s">
        <v>1124</v>
      </c>
      <c r="B22" s="1688" t="str">
        <f ca="1">'预评函-2（1）'!D8</f>
        <v>叁万贰仟伍佰柒拾元整</v>
      </c>
    </row>
    <row r="23" spans="1:2">
      <c r="A23" s="1701" t="s">
        <v>1161</v>
      </c>
      <c r="B23" s="1688">
        <f>'预评函-2（1）'!D10</f>
        <v>0</v>
      </c>
    </row>
    <row r="24" spans="1:2">
      <c r="A24" s="1701" t="s">
        <v>1162</v>
      </c>
      <c r="B24" s="1688" t="str">
        <f>'预评函-2（1）'!C10</f>
        <v>总额（元）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32570</v>
      </c>
    </row>
    <row r="30" spans="1:2">
      <c r="A30" s="1701" t="s">
        <v>1130</v>
      </c>
      <c r="B30" s="1688" t="str">
        <f ca="1">'预评函-2（1）'!D16</f>
        <v>叁万贰仟伍佰柒拾元整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28499</v>
      </c>
    </row>
    <row r="38" spans="1:2">
      <c r="A38" s="1701" t="s">
        <v>1138</v>
      </c>
      <c r="B38" s="1688">
        <f ca="1">'预评函-2（2）'!E4</f>
        <v>28499</v>
      </c>
    </row>
    <row r="39" spans="1:2">
      <c r="A39" s="1701" t="s">
        <v>1139</v>
      </c>
      <c r="B39" s="1688" t="str">
        <f ca="1">'预评函-2（2）'!D5</f>
        <v>贰万捌仟肆佰玖拾玖元整</v>
      </c>
    </row>
    <row r="40" spans="1:2">
      <c r="A40" s="1701" t="s">
        <v>1140</v>
      </c>
      <c r="B40" s="1688">
        <f ca="1">'预评函-2（2）'!F4</f>
        <v>4071</v>
      </c>
    </row>
    <row r="41" spans="1:2">
      <c r="A41" s="1701" t="s">
        <v>1141</v>
      </c>
      <c r="B41" s="1688">
        <f ca="1">'预评函-2（2）'!G4</f>
        <v>4071</v>
      </c>
    </row>
    <row r="42" spans="1:2" s="1698" customFormat="1" ht="15.75" thickBot="1">
      <c r="A42" s="1702" t="s">
        <v>1142</v>
      </c>
      <c r="B42" s="1690" t="str">
        <f ca="1">'预评函-2（2）'!F5</f>
        <v>肆仟零柒拾壹元整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叶凌</v>
      </c>
    </row>
    <row r="53" spans="1:2">
      <c r="A53" s="1701" t="s">
        <v>1152</v>
      </c>
      <c r="B53" s="1688">
        <f ca="1">'预评函-3'!B4</f>
        <v>1119970111</v>
      </c>
    </row>
    <row r="54" spans="1:2">
      <c r="A54" s="1701" t="s">
        <v>1153</v>
      </c>
      <c r="B54" s="1692" t="str">
        <f>'预评函-3'!A5</f>
        <v>杨红英</v>
      </c>
    </row>
    <row r="55" spans="1:2" s="1698" customFormat="1" ht="15.75" thickBot="1">
      <c r="A55" s="1702" t="s">
        <v>1154</v>
      </c>
      <c r="B55" s="1690">
        <f ca="1">'预评函-3'!B5</f>
        <v>1120070085</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1253</v>
      </c>
      <c r="B62" s="1688">
        <f ca="1">'预评函-2（1）'!D38</f>
        <v>32570</v>
      </c>
    </row>
    <row r="63" spans="1:2" s="1700" customFormat="1" ht="28.5">
      <c r="A63" s="1704" t="s">
        <v>1254</v>
      </c>
      <c r="B63" s="1688" t="str">
        <f>'预评函-2（1）'!D41</f>
        <v>——</v>
      </c>
    </row>
    <row r="64" spans="1:2">
      <c r="A64" s="1704" t="s">
        <v>1177</v>
      </c>
      <c r="B64" s="1688" t="str">
        <f>'预评函-2（2）'!A6</f>
        <v>——</v>
      </c>
    </row>
    <row r="65" spans="1:2">
      <c r="A65" s="1704" t="s">
        <v>1178</v>
      </c>
      <c r="B65" s="1688" t="str">
        <f>'预评函-2（2）'!A8</f>
        <v>——</v>
      </c>
    </row>
    <row r="66" spans="1:2">
      <c r="A66" s="1704" t="s">
        <v>1179</v>
      </c>
      <c r="B66" s="1688" t="str">
        <f>'预评函-2（2）'!A10</f>
        <v>——</v>
      </c>
    </row>
    <row r="67" spans="1:2" s="1698" customFormat="1" ht="15.75" thickBot="1">
      <c r="A67" s="1705" t="s">
        <v>1180</v>
      </c>
      <c r="B67" s="1689" t="str">
        <f>'预评函-2（2）'!A12</f>
        <v>——</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北京市房地产市场价值预评估</v>
      </c>
      <c r="C1" s="1062"/>
      <c r="D1" s="1994"/>
      <c r="E1" s="1062"/>
      <c r="F1" s="1995" t="s">
        <v>1541</v>
      </c>
      <c r="G1" s="1681"/>
      <c r="I1" s="1019" t="str">
        <f>IF(B6="北京市","北京市",C6)&amp;IF(E12="房屋所有权证",B28,E28)&amp;"房地产"</f>
        <v>北京市房地产</v>
      </c>
    </row>
    <row r="2" spans="1:10" ht="13.5" thickTop="1">
      <c r="A2" s="1996" t="s">
        <v>1542</v>
      </c>
      <c r="B2" s="1087">
        <v>43516</v>
      </c>
      <c r="C2" s="1997" t="s">
        <v>1543</v>
      </c>
      <c r="D2" s="1087">
        <v>43516</v>
      </c>
      <c r="E2" s="1063"/>
      <c r="F2" s="1063"/>
      <c r="G2" s="1682"/>
      <c r="H2" s="1019"/>
    </row>
    <row r="3" spans="1:10" ht="13.5" thickBot="1">
      <c r="A3" s="1998" t="s">
        <v>1544</v>
      </c>
      <c r="B3" s="1999" t="s">
        <v>2823</v>
      </c>
      <c r="C3" s="1064">
        <f ca="1">SUMIF(注册房地产估价师,B3,估价师及机构信息!B3:B24)</f>
        <v>1119970111</v>
      </c>
      <c r="D3" s="1999" t="s">
        <v>2824</v>
      </c>
      <c r="E3" s="1065">
        <f ca="1">SUMIF(注册房地产估价师,D3,估价师及机构信息!B3:B24)</f>
        <v>1120070085</v>
      </c>
      <c r="F3" s="1066"/>
      <c r="G3" s="1683"/>
      <c r="H3" s="1019"/>
    </row>
    <row r="4" spans="1:10" ht="13.5" customHeight="1" thickTop="1">
      <c r="A4" s="2000" t="s">
        <v>1545</v>
      </c>
      <c r="B4" s="2001"/>
      <c r="C4" s="2002" t="s">
        <v>1546</v>
      </c>
      <c r="D4" s="2003" t="s">
        <v>2827</v>
      </c>
      <c r="E4" s="1063"/>
      <c r="F4" s="1063"/>
      <c r="G4" s="1682"/>
    </row>
    <row r="5" spans="1:10">
      <c r="A5" s="2004" t="s">
        <v>1547</v>
      </c>
      <c r="B5" s="2005"/>
      <c r="C5" s="2006" t="s">
        <v>1548</v>
      </c>
      <c r="D5" s="2007" t="s">
        <v>2828</v>
      </c>
      <c r="E5" s="2008" t="s">
        <v>1549</v>
      </c>
      <c r="F5" s="2009"/>
      <c r="G5" s="2010"/>
      <c r="I5" s="1019" t="str">
        <f>IF(C16="否","截至估价时点，估价对象抵押权未见登记。","截至价值时点，估价对象已设定抵押。")</f>
        <v>截至价值时点，估价对象已设定抵押。</v>
      </c>
    </row>
    <row r="6" spans="1:10">
      <c r="A6" s="2011" t="s">
        <v>1550</v>
      </c>
      <c r="B6" s="2012" t="s">
        <v>2825</v>
      </c>
      <c r="C6" s="2013"/>
      <c r="D6" s="2014" t="s">
        <v>1551</v>
      </c>
      <c r="E6" s="1021"/>
      <c r="F6" s="1020"/>
      <c r="G6" s="1073"/>
      <c r="I6" s="1069" t="str">
        <f>IF(COUNTIF(B5,"*上海银行*"),"上海银行","")</f>
        <v/>
      </c>
    </row>
    <row r="7" spans="1:10" ht="13.5" thickBot="1">
      <c r="A7" s="1998" t="s">
        <v>1552</v>
      </c>
      <c r="B7" s="2015" t="s">
        <v>2826</v>
      </c>
      <c r="C7" s="2016" t="str">
        <f>IF(B7="自然人","姓名","名称")</f>
        <v>姓名</v>
      </c>
      <c r="D7" s="2017"/>
      <c r="E7" s="1067"/>
      <c r="F7" s="1066"/>
      <c r="G7" s="1683"/>
    </row>
    <row r="8" spans="1:10" ht="13.5" thickTop="1">
      <c r="A8" s="2840" t="s">
        <v>1553</v>
      </c>
      <c r="B8" s="2018" t="s">
        <v>1554</v>
      </c>
      <c r="C8" s="2852"/>
      <c r="D8" s="2853"/>
      <c r="E8" s="2019" t="s">
        <v>1555</v>
      </c>
      <c r="F8" s="2020" t="s">
        <v>1556</v>
      </c>
      <c r="G8" s="690">
        <f>C6</f>
        <v>0</v>
      </c>
    </row>
    <row r="9" spans="1:10">
      <c r="A9" s="2840"/>
      <c r="B9" s="344" t="s">
        <v>1557</v>
      </c>
      <c r="C9" s="2005"/>
      <c r="D9" s="2021"/>
      <c r="E9" s="1009" t="s">
        <v>1558</v>
      </c>
      <c r="F9" s="995" t="s">
        <v>87</v>
      </c>
      <c r="G9" s="1011"/>
    </row>
    <row r="10" spans="1:10" ht="13.5" thickBot="1">
      <c r="A10" s="2840"/>
      <c r="B10" s="344" t="s">
        <v>1559</v>
      </c>
      <c r="C10" s="2854"/>
      <c r="D10" s="2855"/>
      <c r="E10" s="2022" t="s">
        <v>1560</v>
      </c>
      <c r="F10" s="1012" t="s">
        <v>332</v>
      </c>
      <c r="G10" s="1013"/>
    </row>
    <row r="11" spans="1:10" ht="13.5" thickBot="1">
      <c r="A11" s="2840"/>
      <c r="B11" s="2023" t="s">
        <v>1561</v>
      </c>
      <c r="C11" s="2856"/>
      <c r="D11" s="2857"/>
      <c r="E11" s="1021"/>
      <c r="F11" s="1020"/>
      <c r="G11" s="1073"/>
    </row>
    <row r="12" spans="1:10" ht="24.75" thickBot="1">
      <c r="A12" s="2843" t="s">
        <v>1562</v>
      </c>
      <c r="B12" s="2024" t="s">
        <v>1563</v>
      </c>
      <c r="C12" s="1015">
        <v>1</v>
      </c>
      <c r="D12" s="2024" t="s">
        <v>1564</v>
      </c>
      <c r="E12" s="2025" t="s">
        <v>1565</v>
      </c>
      <c r="F12" s="2026" t="s">
        <v>1566</v>
      </c>
      <c r="G12" s="1073"/>
    </row>
    <row r="13" spans="1:10" ht="21" customHeight="1" thickBot="1">
      <c r="A13" s="2844"/>
      <c r="B13" s="2027" t="s">
        <v>1567</v>
      </c>
      <c r="C13" s="1016"/>
      <c r="D13" s="2027" t="s">
        <v>1568</v>
      </c>
      <c r="E13" s="2028" t="s">
        <v>1565</v>
      </c>
      <c r="F13" s="1020"/>
      <c r="G13" s="1073"/>
      <c r="I13" s="2830" t="s">
        <v>1569</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1570</v>
      </c>
      <c r="C14" s="2032"/>
      <c r="D14" s="1020"/>
      <c r="E14" s="1020"/>
      <c r="F14" s="1020"/>
      <c r="G14" s="1073"/>
      <c r="I14" s="2830"/>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1571</v>
      </c>
      <c r="C15" s="1068">
        <v>2.5</v>
      </c>
      <c r="D15" s="1066"/>
      <c r="E15" s="1066"/>
      <c r="F15" s="1066"/>
      <c r="G15" s="1683"/>
      <c r="I15" s="2830"/>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1572</v>
      </c>
      <c r="B16" s="2035" t="s">
        <v>1573</v>
      </c>
      <c r="C16" s="2036"/>
      <c r="D16" s="2037" t="s">
        <v>1574</v>
      </c>
      <c r="E16" s="2038"/>
      <c r="F16" s="2039" t="str">
        <f>IF(AND(C16="是",E16="否"),"是否提供他项权证或相关说明","")</f>
        <v/>
      </c>
      <c r="G16" s="2038"/>
      <c r="I16" s="1070"/>
      <c r="J16" s="1019"/>
    </row>
    <row r="17" spans="1:15" ht="13.5" customHeight="1">
      <c r="A17" s="2040" t="s">
        <v>1575</v>
      </c>
      <c r="B17" s="2858" t="s">
        <v>1576</v>
      </c>
      <c r="C17" s="2859"/>
      <c r="D17" s="2860" t="s">
        <v>1577</v>
      </c>
      <c r="E17" s="2861"/>
      <c r="F17" s="2041" t="s">
        <v>1578</v>
      </c>
      <c r="G17" s="2042"/>
      <c r="J17" s="1019"/>
    </row>
    <row r="18" spans="1:15" ht="24">
      <c r="A18" s="2040"/>
      <c r="B18" s="2043" t="s">
        <v>1579</v>
      </c>
      <c r="C18" s="2010" t="s">
        <v>1580</v>
      </c>
      <c r="D18" s="2044" t="s">
        <v>1581</v>
      </c>
      <c r="E18" s="2045" t="s">
        <v>1582</v>
      </c>
      <c r="F18" s="2046"/>
      <c r="G18" s="1867"/>
      <c r="H18" s="1019"/>
      <c r="J18" s="1019"/>
    </row>
    <row r="19" spans="1:15" ht="21.75" customHeight="1" thickBot="1">
      <c r="A19" s="2040"/>
      <c r="B19" s="2047"/>
      <c r="C19" s="2028"/>
      <c r="D19" s="2048"/>
      <c r="E19" s="1020"/>
      <c r="F19" s="1020"/>
      <c r="G19" s="1867"/>
    </row>
    <row r="20" spans="1:15">
      <c r="A20" s="2049" t="s">
        <v>1583</v>
      </c>
      <c r="B20" s="2050" t="s">
        <v>1584</v>
      </c>
      <c r="C20" s="2051"/>
      <c r="D20" s="2052" t="s">
        <v>1584</v>
      </c>
      <c r="E20" s="2051"/>
      <c r="F20" s="1020"/>
      <c r="G20" s="1867"/>
    </row>
    <row r="21" spans="1:15">
      <c r="A21" s="2053"/>
      <c r="B21" s="2054" t="s">
        <v>1585</v>
      </c>
      <c r="C21" s="2055"/>
      <c r="D21" s="2040" t="s">
        <v>1585</v>
      </c>
      <c r="E21" s="2056"/>
      <c r="F21" s="1020"/>
      <c r="G21" s="1867"/>
    </row>
    <row r="22" spans="1:15">
      <c r="A22" s="2053"/>
      <c r="B22" s="2057" t="s">
        <v>1586</v>
      </c>
      <c r="C22" s="2058"/>
      <c r="D22" s="2057" t="s">
        <v>1586</v>
      </c>
      <c r="E22" s="2056"/>
      <c r="F22" s="1020"/>
      <c r="G22" s="1867"/>
    </row>
    <row r="23" spans="1:15" s="1865" customFormat="1" ht="21" thickBot="1">
      <c r="A23" s="2059"/>
      <c r="B23" s="2060" t="s">
        <v>1587</v>
      </c>
      <c r="C23" s="2061"/>
      <c r="D23" s="2060" t="s">
        <v>1588</v>
      </c>
      <c r="E23" s="2062"/>
      <c r="F23" s="1020"/>
      <c r="G23" s="1867"/>
      <c r="H23" s="2063"/>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4" t="s">
        <v>1590</v>
      </c>
      <c r="C25" s="994"/>
      <c r="D25" s="1014"/>
      <c r="E25" s="1017" t="s">
        <v>1591</v>
      </c>
      <c r="F25" s="994"/>
      <c r="G25" s="2065" t="s">
        <v>1592</v>
      </c>
      <c r="L25" s="1081"/>
      <c r="M25" s="1081"/>
      <c r="O25" s="1082"/>
    </row>
    <row r="26" spans="1:15" s="1080" customFormat="1" ht="13.5" thickBot="1">
      <c r="A26" s="994"/>
      <c r="B26" s="1088"/>
      <c r="C26" s="994"/>
      <c r="D26" s="1014"/>
      <c r="E26" s="1088"/>
      <c r="F26" s="994"/>
      <c r="G26" s="1684"/>
      <c r="L26" s="1081"/>
      <c r="M26" s="1081"/>
      <c r="O26" s="1082"/>
    </row>
    <row r="27" spans="1:15">
      <c r="A27" s="1006" t="s">
        <v>1593</v>
      </c>
      <c r="B27" s="1003"/>
      <c r="C27" s="2846" t="s">
        <v>1593</v>
      </c>
      <c r="D27" s="2847"/>
      <c r="E27" s="1003"/>
      <c r="F27" s="1010" t="s">
        <v>1593</v>
      </c>
      <c r="G27" s="1003"/>
      <c r="I27" s="1070"/>
      <c r="K27" s="1070"/>
    </row>
    <row r="28" spans="1:15">
      <c r="A28" s="1007" t="s">
        <v>1594</v>
      </c>
      <c r="B28" s="977"/>
      <c r="C28" s="2848" t="s">
        <v>1595</v>
      </c>
      <c r="D28" s="2849"/>
      <c r="E28" s="977"/>
      <c r="F28" s="1892" t="s">
        <v>1595</v>
      </c>
      <c r="G28" s="977"/>
      <c r="I28" s="1070"/>
      <c r="K28" s="1070"/>
    </row>
    <row r="29" spans="1:15">
      <c r="A29" s="1007" t="s">
        <v>1596</v>
      </c>
      <c r="B29" s="977"/>
      <c r="C29" s="2848" t="s">
        <v>1596</v>
      </c>
      <c r="D29" s="2849"/>
      <c r="E29" s="977"/>
      <c r="F29" s="1892" t="s">
        <v>1597</v>
      </c>
      <c r="G29" s="977"/>
      <c r="I29" s="1070"/>
      <c r="K29" s="1070"/>
    </row>
    <row r="30" spans="1:15">
      <c r="A30" s="1007" t="s">
        <v>1598</v>
      </c>
      <c r="B30" s="977"/>
      <c r="C30" s="2837" t="s">
        <v>1599</v>
      </c>
      <c r="D30" s="2066"/>
      <c r="E30" s="1022" t="str">
        <f>E31&amp;" "&amp;E32&amp;" "&amp;E33&amp;" "&amp;E34</f>
        <v xml:space="preserve">   </v>
      </c>
      <c r="F30" s="1892" t="s">
        <v>1600</v>
      </c>
      <c r="G30" s="977"/>
    </row>
    <row r="31" spans="1:15">
      <c r="A31" s="1007" t="s">
        <v>1601</v>
      </c>
      <c r="B31" s="977"/>
      <c r="C31" s="2838"/>
      <c r="D31" s="1891" t="s">
        <v>1602</v>
      </c>
      <c r="E31" s="977"/>
      <c r="F31" s="1892" t="s">
        <v>1603</v>
      </c>
      <c r="G31" s="977"/>
    </row>
    <row r="32" spans="1:15" ht="24.75" thickBot="1">
      <c r="A32" s="1008" t="s">
        <v>1604</v>
      </c>
      <c r="B32" s="1004"/>
      <c r="C32" s="2838"/>
      <c r="D32" s="1891" t="s">
        <v>1605</v>
      </c>
      <c r="E32" s="977"/>
      <c r="F32" s="1892" t="s">
        <v>1606</v>
      </c>
      <c r="G32" s="977"/>
    </row>
    <row r="33" spans="1:7">
      <c r="A33" s="1006" t="s">
        <v>1607</v>
      </c>
      <c r="B33" s="1003"/>
      <c r="C33" s="2838"/>
      <c r="D33" s="1891" t="s">
        <v>1608</v>
      </c>
      <c r="E33" s="977"/>
      <c r="F33" s="1892" t="s">
        <v>1609</v>
      </c>
      <c r="G33" s="977"/>
    </row>
    <row r="34" spans="1:7" ht="13.5" thickBot="1">
      <c r="A34" s="1007" t="s">
        <v>1610</v>
      </c>
      <c r="B34" s="977"/>
      <c r="C34" s="2839"/>
      <c r="D34" s="1891" t="s">
        <v>1611</v>
      </c>
      <c r="E34" s="977"/>
      <c r="F34" s="1893" t="s">
        <v>1612</v>
      </c>
      <c r="G34" s="1005"/>
    </row>
    <row r="35" spans="1:7">
      <c r="A35" s="1007" t="s">
        <v>1563</v>
      </c>
      <c r="B35" s="977"/>
      <c r="C35" s="2848" t="s">
        <v>1613</v>
      </c>
      <c r="D35" s="2849"/>
      <c r="E35" s="977"/>
      <c r="F35" s="1018" t="s">
        <v>1614</v>
      </c>
      <c r="G35" s="1003"/>
    </row>
    <row r="36" spans="1:7" ht="13.5" thickBot="1">
      <c r="A36" s="1007" t="s">
        <v>1615</v>
      </c>
      <c r="B36" s="977"/>
      <c r="C36" s="2850" t="s">
        <v>1616</v>
      </c>
      <c r="D36" s="2851"/>
      <c r="E36" s="1004"/>
      <c r="F36" s="1889" t="s">
        <v>1617</v>
      </c>
      <c r="G36" s="977"/>
    </row>
    <row r="37" spans="1:7" ht="13.5" thickBot="1">
      <c r="A37" s="1007" t="s">
        <v>1618</v>
      </c>
      <c r="B37" s="977"/>
      <c r="C37" s="2835" t="s">
        <v>1619</v>
      </c>
      <c r="D37" s="2067" t="s">
        <v>1603</v>
      </c>
      <c r="E37" s="1003"/>
      <c r="F37" s="1893" t="s">
        <v>1620</v>
      </c>
      <c r="G37" s="1004"/>
    </row>
    <row r="38" spans="1:7">
      <c r="A38" s="1007" t="s">
        <v>1621</v>
      </c>
      <c r="B38" s="977"/>
      <c r="C38" s="2841"/>
      <c r="D38" s="1891" t="s">
        <v>1610</v>
      </c>
      <c r="E38" s="977"/>
      <c r="F38" s="1010" t="s">
        <v>1622</v>
      </c>
      <c r="G38" s="1003"/>
    </row>
    <row r="39" spans="1:7">
      <c r="A39" s="1007" t="s">
        <v>1623</v>
      </c>
      <c r="B39" s="977"/>
      <c r="C39" s="2841" t="s">
        <v>1624</v>
      </c>
      <c r="D39" s="1891" t="s">
        <v>1563</v>
      </c>
      <c r="E39" s="977"/>
      <c r="F39" s="1892" t="s">
        <v>1625</v>
      </c>
      <c r="G39" s="977"/>
    </row>
    <row r="40" spans="1:7" ht="24.75" customHeight="1" thickBot="1">
      <c r="A40" s="1008" t="s">
        <v>1626</v>
      </c>
      <c r="B40" s="1004"/>
      <c r="C40" s="2842"/>
      <c r="D40" s="1894" t="s">
        <v>1567</v>
      </c>
      <c r="E40" s="1004"/>
      <c r="F40" s="1893" t="s">
        <v>1627</v>
      </c>
      <c r="G40" s="1004"/>
    </row>
    <row r="41" spans="1:7">
      <c r="A41" s="1009" t="s">
        <v>1628</v>
      </c>
      <c r="B41" s="1059"/>
      <c r="C41" s="2831" t="s">
        <v>1628</v>
      </c>
      <c r="D41" s="2832"/>
      <c r="E41" s="1059"/>
      <c r="F41" s="1010" t="s">
        <v>1629</v>
      </c>
      <c r="G41" s="1059"/>
    </row>
    <row r="42" spans="1:7">
      <c r="A42" s="1056" t="s">
        <v>1630</v>
      </c>
      <c r="B42" s="1060"/>
      <c r="C42" s="2068"/>
      <c r="D42" s="2069"/>
      <c r="E42" s="1060"/>
      <c r="F42" s="1058"/>
      <c r="G42" s="1060"/>
    </row>
    <row r="43" spans="1:7">
      <c r="A43" s="94" t="s">
        <v>1584</v>
      </c>
      <c r="B43" s="1057"/>
      <c r="C43" s="2068"/>
      <c r="D43" s="2070" t="s">
        <v>1584</v>
      </c>
      <c r="E43" s="1057"/>
      <c r="F43" s="94" t="s">
        <v>1584</v>
      </c>
      <c r="G43" s="1057"/>
    </row>
    <row r="44" spans="1:7">
      <c r="A44" s="94" t="s">
        <v>1585</v>
      </c>
      <c r="B44" s="1057"/>
      <c r="C44" s="2068"/>
      <c r="D44" s="2054" t="s">
        <v>1585</v>
      </c>
      <c r="E44" s="1057"/>
      <c r="F44" s="94" t="s">
        <v>1585</v>
      </c>
      <c r="G44" s="1057"/>
    </row>
    <row r="45" spans="1:7">
      <c r="A45" s="94" t="s">
        <v>1586</v>
      </c>
      <c r="B45" s="1057"/>
      <c r="C45" s="2068"/>
      <c r="D45" s="2054" t="s">
        <v>1586</v>
      </c>
      <c r="E45" s="1057"/>
      <c r="F45" s="94" t="s">
        <v>1586</v>
      </c>
      <c r="G45" s="1057"/>
    </row>
    <row r="46" spans="1:7">
      <c r="A46" s="94" t="s">
        <v>1587</v>
      </c>
      <c r="B46" s="1057"/>
      <c r="C46" s="2068"/>
      <c r="D46" s="2054" t="s">
        <v>1587</v>
      </c>
      <c r="E46" s="1057"/>
      <c r="F46" s="94" t="s">
        <v>1587</v>
      </c>
      <c r="G46" s="1057"/>
    </row>
    <row r="47" spans="1:7">
      <c r="A47" s="1056"/>
      <c r="B47" s="1057"/>
      <c r="C47" s="2068"/>
      <c r="D47" s="2069"/>
      <c r="E47" s="1057"/>
      <c r="F47" s="1058"/>
      <c r="G47" s="1057"/>
    </row>
    <row r="48" spans="1:7" ht="13.5" thickBot="1">
      <c r="A48" s="1008" t="s">
        <v>1631</v>
      </c>
      <c r="B48" s="1004"/>
      <c r="C48" s="2833" t="s">
        <v>1631</v>
      </c>
      <c r="D48" s="2834"/>
      <c r="E48" s="1054"/>
      <c r="F48" s="1893" t="s">
        <v>1632</v>
      </c>
      <c r="G48" s="1004"/>
    </row>
    <row r="49" spans="1:15">
      <c r="A49" s="1007" t="s">
        <v>1633</v>
      </c>
      <c r="B49" s="1053"/>
      <c r="C49" s="2835" t="s">
        <v>1634</v>
      </c>
      <c r="D49" s="2836"/>
      <c r="E49" s="1055"/>
      <c r="F49" s="1083"/>
      <c r="G49" s="1084"/>
    </row>
    <row r="50" spans="1:15" ht="13.5" thickBot="1">
      <c r="A50" s="1007" t="s">
        <v>1635</v>
      </c>
      <c r="B50" s="1053"/>
      <c r="C50" s="2842" t="s">
        <v>1636</v>
      </c>
      <c r="D50" s="2845"/>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2" t="s">
        <v>0</v>
      </c>
      <c r="B1" s="2862" t="s">
        <v>2</v>
      </c>
      <c r="C1" s="2862" t="s">
        <v>3</v>
      </c>
      <c r="D1" s="2863" t="s">
        <v>67</v>
      </c>
      <c r="E1" s="2863" t="s">
        <v>68</v>
      </c>
      <c r="F1" s="2863"/>
      <c r="G1" s="2863"/>
      <c r="H1" s="2863"/>
      <c r="I1" s="2863"/>
      <c r="J1" s="2863"/>
      <c r="K1" s="2863"/>
      <c r="L1" s="2863"/>
      <c r="M1" s="2863"/>
    </row>
    <row r="2" spans="1:13" ht="27" customHeight="1">
      <c r="A2" s="2862"/>
      <c r="B2" s="2862"/>
      <c r="C2" s="2862"/>
      <c r="D2" s="2863"/>
      <c r="E2" s="2863" t="s">
        <v>51</v>
      </c>
      <c r="F2" s="2863" t="s">
        <v>52</v>
      </c>
      <c r="G2" s="2863"/>
      <c r="H2" s="2863"/>
      <c r="I2" s="2863"/>
      <c r="J2" s="2863" t="s">
        <v>53</v>
      </c>
      <c r="K2" s="2863"/>
      <c r="L2" s="2863"/>
      <c r="M2" s="2863"/>
    </row>
    <row r="3" spans="1:13" ht="28.5">
      <c r="A3" s="2862"/>
      <c r="B3" s="2862"/>
      <c r="C3" s="2862"/>
      <c r="D3" s="2863"/>
      <c r="E3" s="28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3" t="s">
        <v>69</v>
      </c>
      <c r="B9" s="2863"/>
      <c r="C9" s="28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0" sqref="E20:E26"/>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6"/>
      <c r="C1" s="1236"/>
      <c r="D1" s="1852"/>
      <c r="E1" s="1852"/>
      <c r="AE1" s="1236"/>
      <c r="AF1" s="1236"/>
      <c r="AG1" s="1236"/>
      <c r="AH1" s="1236"/>
      <c r="AI1" s="1236"/>
      <c r="AJ1" s="1236"/>
      <c r="AK1" s="1236"/>
      <c r="AL1" s="1236"/>
      <c r="AM1" s="1236"/>
      <c r="AN1" s="1236"/>
      <c r="AO1" s="1236"/>
    </row>
    <row r="2" spans="1:41" s="2076" customFormat="1" ht="15.75" thickBot="1">
      <c r="A2" s="2073" t="s">
        <v>1639</v>
      </c>
      <c r="B2" s="1208">
        <f>项目基本情况!D2</f>
        <v>43516</v>
      </c>
      <c r="C2" s="1854"/>
      <c r="D2" s="2864" t="s">
        <v>1640</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1641</v>
      </c>
      <c r="B3" s="2077" t="s">
        <v>2829</v>
      </c>
      <c r="C3" s="1854"/>
      <c r="D3" s="2865"/>
      <c r="E3" s="1187" t="s">
        <v>1642</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1643</v>
      </c>
      <c r="B4" s="2077" t="s">
        <v>2830</v>
      </c>
      <c r="C4" s="1854"/>
      <c r="D4" s="2865"/>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1644</v>
      </c>
      <c r="B5" s="1317">
        <f>项目基本情况!C12</f>
        <v>1</v>
      </c>
      <c r="C5" s="1854"/>
      <c r="D5" s="2079" t="s">
        <v>1645</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1646</v>
      </c>
      <c r="B6" s="1318">
        <f>项目基本情况!C13</f>
        <v>0</v>
      </c>
      <c r="C6" s="1854"/>
      <c r="D6" s="2079" t="s">
        <v>1647</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1648</v>
      </c>
      <c r="B10" s="2084" t="s">
        <v>2831</v>
      </c>
      <c r="C10" s="1854"/>
      <c r="D10" s="2073" t="s">
        <v>1649</v>
      </c>
      <c r="E10" s="2085"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1652</v>
      </c>
      <c r="B11" s="989">
        <v>70</v>
      </c>
      <c r="C11" s="1854"/>
      <c r="D11" s="2087" t="s">
        <v>1653</v>
      </c>
      <c r="E11" s="34">
        <v>160</v>
      </c>
      <c r="F11" s="2759" t="s">
        <v>2851</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c r="C12" s="1854"/>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0">
        <f>IF(B12="",B11-(YEAR($B$2)-B26+B23),ROUNDDOWN(MIN((B12-$B$2)/365,B11),2))</f>
        <v>56</v>
      </c>
      <c r="C13" s="2094"/>
      <c r="D13" s="2095" t="s">
        <v>1657</v>
      </c>
      <c r="E13" s="39">
        <f>成本法!C9</f>
        <v>160</v>
      </c>
      <c r="F13" s="1848" t="s">
        <v>1658</v>
      </c>
      <c r="G13" s="1854"/>
      <c r="H13" s="2866" t="s">
        <v>2833</v>
      </c>
      <c r="I13" s="2867"/>
      <c r="J13" s="2739"/>
      <c r="K13" s="2740"/>
      <c r="L13" s="2740"/>
      <c r="M13" s="2741"/>
      <c r="N13" s="2741"/>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1659</v>
      </c>
      <c r="B14" s="991">
        <f>IF(ISERROR(ROUND(POWER(1+B15,B11-B13)*(POWER(1+B15,B13)-1)/(POWER(1+B15,B11)-1),3)),0,ROUND(POWER(1+B15,B11-B13)*(POWER(1+B15,B13)-1)/(POWER(1+B15,B11)-1),3))</f>
        <v>0.95899999999999996</v>
      </c>
      <c r="C14" s="1854"/>
      <c r="D14" s="2096" t="s">
        <v>1660</v>
      </c>
      <c r="E14" s="709"/>
      <c r="F14" s="1847"/>
      <c r="G14" s="1854"/>
      <c r="H14" s="2742" t="s">
        <v>2834</v>
      </c>
      <c r="I14" s="2743">
        <v>0</v>
      </c>
      <c r="J14" s="2739"/>
      <c r="K14" s="2744"/>
      <c r="L14" s="2744"/>
      <c r="M14" s="2741"/>
      <c r="N14" s="2741"/>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1661</v>
      </c>
      <c r="B15" s="30">
        <v>4.4999999999999998E-2</v>
      </c>
      <c r="C15" s="1854"/>
      <c r="D15" s="2092" t="s">
        <v>1662</v>
      </c>
      <c r="E15" s="38">
        <f>E14-E16</f>
        <v>0</v>
      </c>
      <c r="F15" s="1849"/>
      <c r="G15" s="1854"/>
      <c r="H15" s="2742" t="s">
        <v>2835</v>
      </c>
      <c r="I15" s="2745" t="s">
        <v>2850</v>
      </c>
      <c r="J15" s="2739"/>
      <c r="K15" s="2744"/>
      <c r="L15" s="2746"/>
      <c r="M15" s="2741"/>
      <c r="N15" s="2741"/>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1663</v>
      </c>
      <c r="B16" s="30">
        <v>0.05</v>
      </c>
      <c r="C16" s="1854"/>
      <c r="D16" s="2097" t="s">
        <v>1664</v>
      </c>
      <c r="E16" s="710"/>
      <c r="F16" s="1850"/>
      <c r="G16" s="1854"/>
      <c r="H16" s="2742" t="s">
        <v>2836</v>
      </c>
      <c r="I16" s="2745" t="s">
        <v>2837</v>
      </c>
      <c r="J16" s="2739"/>
      <c r="K16" s="2744"/>
      <c r="L16" s="2744"/>
      <c r="M16" s="2741"/>
      <c r="N16" s="2741"/>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6">
        <v>0.08</v>
      </c>
      <c r="C17" s="1854"/>
      <c r="D17" s="2083" t="s">
        <v>1666</v>
      </c>
      <c r="E17" s="984">
        <v>2550</v>
      </c>
      <c r="F17" s="1236"/>
      <c r="G17" s="1854"/>
      <c r="H17" s="2742" t="s">
        <v>2838</v>
      </c>
      <c r="I17" s="2747">
        <f>ROUND(1-(1-I14)*I15/I16,2)</f>
        <v>0.8</v>
      </c>
      <c r="J17" s="2739"/>
      <c r="K17" s="2744"/>
      <c r="L17" s="2744"/>
      <c r="M17" s="2741"/>
      <c r="N17" s="2741"/>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2550</v>
      </c>
      <c r="F18" s="1319">
        <f>ROUND(E5*E17*IF(B25=0,1,E20),0)</f>
        <v>0</v>
      </c>
      <c r="G18" s="1854"/>
      <c r="H18" s="2748" t="s">
        <v>2839</v>
      </c>
      <c r="I18" s="2749">
        <v>0.5</v>
      </c>
      <c r="J18" s="2739"/>
      <c r="K18" s="2744"/>
      <c r="L18" s="2744"/>
      <c r="M18" s="2741"/>
      <c r="N18" s="2741"/>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5" t="str">
        <f>IF(B25=0,"——",ROUND(B5*E17*(1-E20),0))</f>
        <v>——</v>
      </c>
      <c r="F19" s="1319" t="str">
        <f>IF(B25=0,"——",ROUND(E5*E17*(1-E20),0))</f>
        <v>——</v>
      </c>
      <c r="G19" s="1854"/>
      <c r="H19" s="2868" t="s">
        <v>2840</v>
      </c>
      <c r="I19" s="2869"/>
      <c r="J19" s="2869"/>
      <c r="K19" s="2869"/>
      <c r="L19" s="2870"/>
      <c r="M19" s="2741"/>
      <c r="N19" s="2741"/>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6">
        <f>N22</f>
        <v>0.8</v>
      </c>
      <c r="F20" s="1236"/>
      <c r="G20" s="1854"/>
      <c r="H20" s="2750" t="s">
        <v>2841</v>
      </c>
      <c r="I20" s="2751" t="s">
        <v>2842</v>
      </c>
      <c r="J20" s="2751" t="s">
        <v>2843</v>
      </c>
      <c r="K20" s="2751" t="s">
        <v>2844</v>
      </c>
      <c r="L20" s="2751" t="s">
        <v>2845</v>
      </c>
      <c r="M20" s="2741"/>
      <c r="N20" s="2741"/>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v>
      </c>
      <c r="C21" s="1854"/>
      <c r="D21" s="2092" t="s">
        <v>1670</v>
      </c>
      <c r="E21" s="711">
        <v>0.03</v>
      </c>
      <c r="F21" s="1851" t="s">
        <v>1671</v>
      </c>
      <c r="G21" s="1854"/>
      <c r="H21" s="2750" t="s">
        <v>2846</v>
      </c>
      <c r="I21" s="2751">
        <v>100</v>
      </c>
      <c r="J21" s="2752" t="s">
        <v>2847</v>
      </c>
      <c r="K21" s="2751">
        <v>80</v>
      </c>
      <c r="L21" s="2753">
        <v>0.3</v>
      </c>
      <c r="M21" s="2741"/>
      <c r="N21" s="2741"/>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3">
        <v>2</v>
      </c>
      <c r="C22" s="1854"/>
      <c r="D22" s="2092" t="s">
        <v>1673</v>
      </c>
      <c r="E22" s="40">
        <v>0.04</v>
      </c>
      <c r="F22" s="1851" t="s">
        <v>1674</v>
      </c>
      <c r="G22" s="1854"/>
      <c r="H22" s="2750" t="s">
        <v>2848</v>
      </c>
      <c r="I22" s="2751">
        <v>100</v>
      </c>
      <c r="J22" s="2752" t="s">
        <v>2847</v>
      </c>
      <c r="K22" s="2751">
        <v>80</v>
      </c>
      <c r="L22" s="2753">
        <v>0.5</v>
      </c>
      <c r="M22" s="2741"/>
      <c r="N22" s="2754">
        <f>ROUND(I17*I18+K24*I24,2)</f>
        <v>0.8</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v>
      </c>
      <c r="C23" s="1854"/>
      <c r="D23" s="2092" t="s">
        <v>1676</v>
      </c>
      <c r="E23" s="37">
        <v>200</v>
      </c>
      <c r="F23" s="1851" t="s">
        <v>1677</v>
      </c>
      <c r="G23" s="1854"/>
      <c r="H23" s="2750" t="s">
        <v>2849</v>
      </c>
      <c r="I23" s="2751">
        <v>100</v>
      </c>
      <c r="J23" s="2752" t="s">
        <v>2847</v>
      </c>
      <c r="K23" s="2751">
        <v>80</v>
      </c>
      <c r="L23" s="2753">
        <f>1-L21-L22</f>
        <v>0.19999999999999996</v>
      </c>
      <c r="M23" s="2741"/>
      <c r="N23" s="2741"/>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v>
      </c>
      <c r="C24" s="1854"/>
      <c r="D24" s="2097" t="s">
        <v>1679</v>
      </c>
      <c r="E24" s="1817">
        <v>1.4999999999999999E-2</v>
      </c>
      <c r="F24" s="1851" t="s">
        <v>1680</v>
      </c>
      <c r="G24" s="1854"/>
      <c r="H24" s="2755" t="s">
        <v>2839</v>
      </c>
      <c r="I24" s="2756">
        <f>1-I18</f>
        <v>0.5</v>
      </c>
      <c r="J24" s="2751" t="s">
        <v>2838</v>
      </c>
      <c r="K24" s="2757">
        <f>ROUND((K21*L21+K22*L22+K23*L23)/100,2)</f>
        <v>0.8</v>
      </c>
      <c r="L24" s="2758"/>
      <c r="M24" s="2741"/>
      <c r="N24" s="2741"/>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2">
        <f>B21-B22</f>
        <v>0</v>
      </c>
      <c r="C25" s="1236"/>
      <c r="D25" s="2087" t="s">
        <v>1682</v>
      </c>
      <c r="E25" s="711">
        <v>0.02</v>
      </c>
      <c r="F25" s="1851" t="s">
        <v>1683</v>
      </c>
      <c r="I25" s="1852"/>
      <c r="AE25" s="1236"/>
      <c r="AF25" s="1236"/>
      <c r="AG25" s="1236"/>
      <c r="AH25" s="1236"/>
      <c r="AI25" s="1236"/>
      <c r="AJ25" s="1236"/>
      <c r="AK25" s="1236"/>
      <c r="AL25" s="1236"/>
      <c r="AM25" s="1236"/>
      <c r="AN25" s="1236"/>
      <c r="AO25" s="1236"/>
    </row>
    <row r="26" spans="1:41" ht="15.75" thickBot="1">
      <c r="A26" s="2106" t="s">
        <v>1684</v>
      </c>
      <c r="B26" s="1093">
        <v>2007</v>
      </c>
      <c r="C26" s="1854"/>
      <c r="D26" s="2092" t="s">
        <v>1685</v>
      </c>
      <c r="E26" s="40">
        <v>0.02</v>
      </c>
      <c r="F26" s="1851" t="s">
        <v>1683</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1686</v>
      </c>
      <c r="E27" s="352">
        <f ca="1">存贷款利率!G1</f>
        <v>4.7500000000000001E-2</v>
      </c>
      <c r="F27" s="1851" t="s">
        <v>1687</v>
      </c>
      <c r="G27" s="2075"/>
      <c r="H27" s="2075"/>
      <c r="K27" s="1854"/>
      <c r="N27" s="1854"/>
      <c r="AE27" s="1236"/>
      <c r="AF27" s="1236"/>
      <c r="AG27" s="1236"/>
      <c r="AH27" s="1236"/>
      <c r="AI27" s="1236"/>
      <c r="AJ27" s="1236"/>
      <c r="AK27" s="1236"/>
      <c r="AL27" s="1236"/>
      <c r="AM27" s="1236"/>
      <c r="AN27" s="1236"/>
      <c r="AO27" s="1236"/>
    </row>
    <row r="28" spans="1:41" ht="15" thickBot="1">
      <c r="A28" s="2107" t="s">
        <v>1688</v>
      </c>
      <c r="B28" s="2108" t="s">
        <v>2832</v>
      </c>
      <c r="C28" s="1236"/>
      <c r="D28" s="2109" t="s">
        <v>1689</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3.3</v>
      </c>
      <c r="C29" s="1236"/>
      <c r="D29" s="2096" t="s">
        <v>1690</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1691</v>
      </c>
      <c r="B30" s="1418">
        <f ca="1">存贷款利率!I1</f>
        <v>1.4999999999999999E-2</v>
      </c>
      <c r="C30" s="1236"/>
      <c r="D30" s="2110" t="s">
        <v>1692</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1693</v>
      </c>
      <c r="B31" s="30">
        <v>0.02</v>
      </c>
      <c r="C31" s="1236"/>
      <c r="D31" s="2110" t="s">
        <v>1694</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1695</v>
      </c>
      <c r="B32" s="30">
        <v>0.08</v>
      </c>
      <c r="C32" s="1236"/>
      <c r="D32" s="2111" t="s">
        <v>1696</v>
      </c>
      <c r="E32" s="43">
        <v>7.0000000000000007E-2</v>
      </c>
      <c r="F32" s="1846" t="s">
        <v>1697</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1698</v>
      </c>
      <c r="B33" s="1379">
        <f>收益法!J54</f>
        <v>56</v>
      </c>
      <c r="C33" s="1236"/>
      <c r="D33" s="2111" t="s">
        <v>1699</v>
      </c>
      <c r="E33" s="41">
        <v>0.03</v>
      </c>
      <c r="F33" s="1845" t="s">
        <v>1700</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1701</v>
      </c>
      <c r="E34" s="41">
        <v>0.02</v>
      </c>
      <c r="F34" s="1845" t="s">
        <v>1702</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1703</v>
      </c>
      <c r="B35" s="993"/>
      <c r="C35" s="1236"/>
      <c r="D35" s="2115" t="s">
        <v>1704</v>
      </c>
      <c r="E35" s="44">
        <v>0</v>
      </c>
      <c r="F35" s="1853" t="s">
        <v>1705</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1706</v>
      </c>
      <c r="E36" s="45">
        <v>0.03</v>
      </c>
      <c r="F36" s="1849" t="s">
        <v>1707</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1708</v>
      </c>
      <c r="E37" s="41">
        <v>5.0000000000000001E-4</v>
      </c>
      <c r="F37" s="1849" t="s">
        <v>1709</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1710</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1711</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1712</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1713</v>
      </c>
      <c r="B41" s="999">
        <f>项目基本情况!C12</f>
        <v>1</v>
      </c>
      <c r="C41" s="1236"/>
      <c r="D41" s="2092" t="s">
        <v>1714</v>
      </c>
      <c r="E41" s="2120" t="s">
        <v>87</v>
      </c>
      <c r="F41" s="1847" t="s">
        <v>1715</v>
      </c>
      <c r="G41" s="2121" t="s">
        <v>1716</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1717</v>
      </c>
      <c r="B42" s="992">
        <v>365</v>
      </c>
      <c r="C42" s="1236"/>
      <c r="D42" s="2122" t="s">
        <v>1718</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1719</v>
      </c>
      <c r="B43" s="29"/>
      <c r="C43" s="1236"/>
      <c r="D43" s="2122" t="s">
        <v>1720</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1721</v>
      </c>
      <c r="B44" s="1000">
        <v>1.4999999999999999E-2</v>
      </c>
      <c r="C44" s="1236" t="s">
        <v>967</v>
      </c>
      <c r="D44" s="2122" t="s">
        <v>1722</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1723</v>
      </c>
      <c r="B45" s="1001">
        <v>1.5E-3</v>
      </c>
      <c r="C45" s="1236" t="s">
        <v>968</v>
      </c>
      <c r="D45" s="2122" t="s">
        <v>1724</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1725</v>
      </c>
      <c r="B46" s="1002">
        <v>0.01</v>
      </c>
      <c r="C46" s="1236" t="s">
        <v>969</v>
      </c>
      <c r="D46" s="2122"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1726</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1730</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71" t="s">
        <v>1731</v>
      </c>
      <c r="B1" s="2872"/>
      <c r="C1" s="2872"/>
      <c r="D1" s="2872"/>
      <c r="E1" s="2872"/>
      <c r="F1" s="2872"/>
      <c r="G1" s="2872"/>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143" t="s">
        <v>1736</v>
      </c>
      <c r="D3" s="2144"/>
      <c r="E3" s="411" t="s">
        <v>1734</v>
      </c>
      <c r="F3" s="2145" t="s">
        <v>1737</v>
      </c>
      <c r="G3" s="2146" t="s">
        <v>1738</v>
      </c>
      <c r="H3" s="2140"/>
      <c r="I3" s="2140"/>
      <c r="J3" s="2140"/>
      <c r="K3" s="2140"/>
      <c r="L3" s="2140"/>
      <c r="M3" s="2140"/>
      <c r="N3" s="2140"/>
      <c r="O3" s="2140"/>
      <c r="P3" s="2140"/>
      <c r="Q3" s="2140"/>
      <c r="R3" s="2140"/>
    </row>
    <row r="4" spans="1:29" ht="41.25">
      <c r="A4" s="411"/>
      <c r="B4" s="1885" t="s">
        <v>1739</v>
      </c>
      <c r="C4" s="2147" t="s">
        <v>1740</v>
      </c>
      <c r="D4" s="2144"/>
      <c r="E4" s="2148"/>
      <c r="F4" s="2149" t="s">
        <v>1741</v>
      </c>
      <c r="G4" s="2150" t="s">
        <v>1742</v>
      </c>
      <c r="H4" s="2140"/>
      <c r="I4" s="2140"/>
      <c r="J4" s="2140"/>
      <c r="K4" s="2140"/>
      <c r="L4" s="2140"/>
      <c r="M4" s="2140"/>
      <c r="N4" s="2140"/>
      <c r="O4" s="2140"/>
      <c r="P4" s="2140"/>
      <c r="Q4" s="2140"/>
      <c r="R4" s="2140"/>
    </row>
    <row r="5" spans="1:29" ht="41.25">
      <c r="A5" s="411"/>
      <c r="B5" s="1885" t="s">
        <v>1743</v>
      </c>
      <c r="C5" s="2147" t="s">
        <v>1744</v>
      </c>
      <c r="D5" s="2144"/>
      <c r="E5" s="2148"/>
      <c r="F5" s="1885" t="s">
        <v>1745</v>
      </c>
      <c r="G5" s="2150" t="s">
        <v>1746</v>
      </c>
      <c r="H5" s="2140"/>
      <c r="I5" s="2140"/>
      <c r="J5" s="2140"/>
      <c r="K5" s="2140"/>
      <c r="L5" s="2140"/>
      <c r="M5" s="2140"/>
      <c r="N5" s="2140"/>
      <c r="O5" s="2140"/>
      <c r="P5" s="2140"/>
      <c r="Q5" s="2140"/>
      <c r="R5" s="2140"/>
    </row>
    <row r="6" spans="1:29" ht="54">
      <c r="A6" s="411"/>
      <c r="B6" s="1885" t="s">
        <v>1747</v>
      </c>
      <c r="C6" s="2150" t="s">
        <v>1742</v>
      </c>
      <c r="D6" s="2144"/>
      <c r="E6" s="2148"/>
      <c r="F6" s="1885" t="s">
        <v>1748</v>
      </c>
      <c r="G6" s="2150" t="s">
        <v>1749</v>
      </c>
      <c r="H6" s="2140"/>
      <c r="I6" s="2140"/>
      <c r="J6" s="2140"/>
      <c r="K6" s="2140"/>
      <c r="L6" s="2140"/>
      <c r="M6" s="2140"/>
      <c r="N6" s="2140"/>
      <c r="O6" s="2140"/>
      <c r="P6" s="2140"/>
      <c r="Q6" s="2140"/>
      <c r="R6" s="2140"/>
    </row>
    <row r="7" spans="1:29" ht="41.25" thickBot="1">
      <c r="A7" s="411"/>
      <c r="B7" s="1885" t="s">
        <v>1745</v>
      </c>
      <c r="C7" s="2150" t="s">
        <v>1746</v>
      </c>
      <c r="D7" s="2151"/>
      <c r="E7" s="2152"/>
      <c r="F7" s="2153" t="s">
        <v>1750</v>
      </c>
      <c r="G7" s="2154" t="s">
        <v>1751</v>
      </c>
      <c r="H7" s="2140"/>
      <c r="I7" s="2140"/>
      <c r="J7" s="2140"/>
      <c r="K7" s="2140"/>
      <c r="L7" s="2140"/>
      <c r="M7" s="2140"/>
      <c r="N7" s="2140"/>
      <c r="O7" s="2140"/>
      <c r="P7" s="2140"/>
      <c r="Q7" s="2140"/>
      <c r="R7" s="2140"/>
    </row>
    <row r="8" spans="1:29" ht="27">
      <c r="A8" s="411"/>
      <c r="B8" s="1885" t="s">
        <v>1748</v>
      </c>
      <c r="C8" s="2150" t="s">
        <v>1749</v>
      </c>
      <c r="D8" s="2151"/>
      <c r="E8" s="2151"/>
      <c r="F8" s="1245"/>
      <c r="G8" s="1245"/>
      <c r="H8" s="2140"/>
      <c r="I8" s="2140"/>
      <c r="J8" s="2140"/>
      <c r="K8" s="2140"/>
      <c r="L8" s="2140"/>
      <c r="M8" s="2140"/>
      <c r="N8" s="2140"/>
      <c r="O8" s="2140"/>
      <c r="P8" s="2140"/>
      <c r="Q8" s="2140"/>
      <c r="R8" s="2140"/>
    </row>
    <row r="9" spans="1:29" ht="27">
      <c r="A9" s="411"/>
      <c r="B9" s="1885" t="s">
        <v>1752</v>
      </c>
      <c r="C9" s="2147" t="s">
        <v>1753</v>
      </c>
      <c r="D9" s="2144"/>
      <c r="E9" s="2151"/>
      <c r="F9" s="1245"/>
      <c r="G9" s="1245"/>
      <c r="H9" s="2140"/>
      <c r="I9" s="2140"/>
      <c r="J9" s="2140"/>
      <c r="K9" s="2140"/>
      <c r="L9" s="2140"/>
      <c r="M9" s="2140"/>
      <c r="N9" s="2140"/>
      <c r="O9" s="2140"/>
      <c r="P9" s="2140"/>
      <c r="Q9" s="2140"/>
      <c r="R9" s="2140"/>
    </row>
    <row r="10" spans="1:29" s="35" customFormat="1" ht="15.75" thickBot="1">
      <c r="A10" s="2155"/>
      <c r="B10" s="2156" t="s">
        <v>1754</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1755</v>
      </c>
      <c r="B13" s="2162"/>
      <c r="C13" s="2162"/>
      <c r="D13" s="2137"/>
      <c r="E13" s="2162"/>
      <c r="F13" s="2162"/>
      <c r="G13" s="2162"/>
    </row>
    <row r="14" spans="1:29" ht="15.75" thickBot="1">
      <c r="A14" s="2172"/>
      <c r="B14" s="2173"/>
      <c r="C14" s="2174" t="s">
        <v>1756</v>
      </c>
      <c r="D14" s="2144"/>
      <c r="E14" s="2175"/>
      <c r="F14" s="2175"/>
      <c r="G14" s="2136" t="s">
        <v>1757</v>
      </c>
    </row>
    <row r="15" spans="1:29" ht="57">
      <c r="A15" s="25" t="s">
        <v>1758</v>
      </c>
      <c r="B15" s="2176" t="s">
        <v>1735</v>
      </c>
      <c r="C15" s="2177" t="str">
        <f>C3</f>
        <v>估价对象周边居住用地比例、居住小区规模和社区发展完善程度，综合评价居住社区成熟度一般</v>
      </c>
      <c r="D15" s="2144"/>
      <c r="E15" s="2178" t="s">
        <v>1759</v>
      </c>
      <c r="F15" s="2176" t="s">
        <v>1760</v>
      </c>
      <c r="G15" s="51" t="str">
        <f>G3</f>
        <v>估价对象位于XX开发区，园区建设成熟度XX，产业集聚程度XX</v>
      </c>
    </row>
    <row r="16" spans="1:29" ht="42.75">
      <c r="A16" s="629"/>
      <c r="B16" s="1492" t="s">
        <v>1739</v>
      </c>
      <c r="C16" s="2179" t="str">
        <f>C4</f>
        <v>估价对象位于XX商圈，周边商业氛围成熟，人流量大，商业繁华度好</v>
      </c>
      <c r="D16" s="2144"/>
      <c r="E16" s="2180"/>
      <c r="F16" s="2181" t="s">
        <v>1741</v>
      </c>
      <c r="G16" s="52" t="str">
        <f>G4</f>
        <v>估价对象周边道路状况、公共交通通达情况、停车便捷程度，综合评价交通便捷度较好</v>
      </c>
    </row>
    <row r="17" spans="1:18" ht="42.75">
      <c r="A17" s="629"/>
      <c r="B17" s="1492" t="s">
        <v>1743</v>
      </c>
      <c r="C17" s="2179" t="str">
        <f>C5</f>
        <v>估价对象位于XX商圈，周边办公楼项目较多，入驻率高，办公集聚程度较好</v>
      </c>
      <c r="D17" s="2151"/>
      <c r="E17" s="2180"/>
      <c r="F17" s="2181" t="s">
        <v>1761</v>
      </c>
      <c r="G17" s="2182"/>
    </row>
    <row r="18" spans="1:18" ht="57">
      <c r="A18" s="629"/>
      <c r="B18" s="2181" t="s">
        <v>1747</v>
      </c>
      <c r="C18" s="52" t="str">
        <f>C6</f>
        <v>估价对象周边道路状况、公共交通通达情况、停车便捷程度，综合评价交通便捷度较好</v>
      </c>
      <c r="D18" s="2151"/>
      <c r="E18" s="2180"/>
      <c r="F18" s="2181" t="s">
        <v>1750</v>
      </c>
      <c r="G18" s="52" t="str">
        <f>G7</f>
        <v>该园区内是否有污染型企业，绿化情况，卫生条件，整体环境状况判断</v>
      </c>
    </row>
    <row r="19" spans="1:18" ht="28.5">
      <c r="A19" s="629"/>
      <c r="B19" s="2181" t="s">
        <v>1762</v>
      </c>
      <c r="C19" s="2182"/>
      <c r="D19" s="2144"/>
      <c r="E19" s="2180"/>
      <c r="F19" s="1885" t="s">
        <v>1745</v>
      </c>
      <c r="G19" s="52" t="str">
        <f>G5</f>
        <v>估价对象所在区域公共配套设施齐备情况</v>
      </c>
    </row>
    <row r="20" spans="1:18" ht="28.5">
      <c r="A20" s="629"/>
      <c r="B20" s="2181" t="s">
        <v>1763</v>
      </c>
      <c r="C20" s="2179" t="str">
        <f>C9</f>
        <v>区域自然环境：；人文环境；综合评价环境状况一般</v>
      </c>
      <c r="D20" s="2151"/>
      <c r="E20" s="2180"/>
      <c r="F20" s="1885" t="s">
        <v>1764</v>
      </c>
      <c r="G20" s="52" t="str">
        <f>G6</f>
        <v>估价对象所在区域基础设施水平</v>
      </c>
    </row>
    <row r="21" spans="1:18" ht="28.5">
      <c r="A21" s="629"/>
      <c r="B21" s="1885" t="s">
        <v>1745</v>
      </c>
      <c r="C21" s="52" t="str">
        <f>C7</f>
        <v>估价对象所在区域公共配套设施齐备情况</v>
      </c>
      <c r="D21" s="2144"/>
      <c r="E21" s="2180"/>
      <c r="F21" s="2181" t="s">
        <v>1765</v>
      </c>
      <c r="G21" s="2183"/>
    </row>
    <row r="22" spans="1:18" ht="28.5">
      <c r="A22" s="629"/>
      <c r="B22" s="1885" t="s">
        <v>1748</v>
      </c>
      <c r="C22" s="52" t="str">
        <f>C8</f>
        <v>估价对象所在区域基础设施水平</v>
      </c>
      <c r="D22" s="2144"/>
      <c r="E22" s="2180"/>
      <c r="F22" s="2181" t="s">
        <v>1754</v>
      </c>
      <c r="G22" s="2184"/>
    </row>
    <row r="23" spans="1:18" s="2140" customFormat="1" ht="15.75" thickBot="1">
      <c r="A23" s="629"/>
      <c r="B23" s="2181" t="s">
        <v>1765</v>
      </c>
      <c r="C23" s="2183"/>
      <c r="D23" s="2169"/>
      <c r="E23" s="2185"/>
      <c r="F23" s="2186" t="s">
        <v>1766</v>
      </c>
      <c r="G23" s="2187"/>
      <c r="H23" s="2169"/>
      <c r="I23" s="2170"/>
      <c r="J23" s="2169"/>
      <c r="K23" s="2169"/>
      <c r="L23" s="2170"/>
      <c r="M23" s="2169"/>
      <c r="N23" s="2169"/>
      <c r="O23" s="2170"/>
      <c r="P23" s="2169"/>
      <c r="Q23" s="2169"/>
      <c r="R23" s="2171"/>
    </row>
    <row r="24" spans="1:18" s="2140" customFormat="1" ht="15.75" thickBot="1">
      <c r="A24" s="2188"/>
      <c r="B24" s="2186" t="s">
        <v>1767</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B22" sqref="B22:C22"/>
    </sheetView>
  </sheetViews>
  <sheetFormatPr defaultColWidth="14.625" defaultRowHeight="13.5"/>
  <cols>
    <col min="1" max="1" width="24.375" customWidth="1"/>
  </cols>
  <sheetData>
    <row r="1" spans="1:9" ht="16.5">
      <c r="A1" s="1829" t="s">
        <v>1222</v>
      </c>
      <c r="B1" s="1829">
        <f>SUM(B14:B23)</f>
        <v>1</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43516</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3.2570000000000001</v>
      </c>
      <c r="C5" s="1829">
        <f ca="1">ROUND(B5*10000/$B$1,0)</f>
        <v>32570</v>
      </c>
      <c r="D5" s="1829" t="e">
        <f ca="1">ROUND(B5*10000/$B$2,0)</f>
        <v>#DIV/0!</v>
      </c>
      <c r="E5" s="1830"/>
      <c r="F5" s="1834"/>
      <c r="G5" s="1834"/>
    </row>
    <row r="6" spans="1:9" ht="16.5">
      <c r="A6" s="1829" t="s">
        <v>1230</v>
      </c>
      <c r="B6" s="1829">
        <f ca="1">SUM(G14:G23)</f>
        <v>3.2570000000000001</v>
      </c>
      <c r="C6" s="1829">
        <f t="shared" ref="C6:C8" ca="1" si="0">ROUND(B6*10000/$B$1,0)</f>
        <v>32570</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2911</v>
      </c>
      <c r="B14" s="1833">
        <f>项目基本情况!C12</f>
        <v>1</v>
      </c>
      <c r="C14" s="1833">
        <f>项目基本情况!C13</f>
        <v>0</v>
      </c>
      <c r="D14" s="1833">
        <f ca="1">IF('数据-取费表'!B3="万元",IF(A14="估价对象1（结果表）",结果表!H121,'结果表 (1修多)'!H124),IF(A14="估价对象1（结果表）",结果表!H121,'结果表 (1修多)'!H124)/10000)</f>
        <v>3.2570000000000001</v>
      </c>
      <c r="E14" s="1833">
        <f ca="1">ROUND(D14*10000/B14,0)</f>
        <v>32570</v>
      </c>
      <c r="F14" s="1833" t="e">
        <f ca="1">ROUND(D14*10000/C14,0)</f>
        <v>#DIV/0!</v>
      </c>
      <c r="G14" s="1833">
        <f ca="1">IF('数据-取费表'!B3="万元",IF(A14="估价对象1（结果表）",结果表!D125,'结果表 (1修多)'!D128),IF(A14="估价对象1（结果表）",结果表!D125,'结果表 (1修多)'!D128)/10000)</f>
        <v>3.2570000000000001</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G25" sqref="G25"/>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1768</v>
      </c>
      <c r="B1" s="2195"/>
      <c r="C1" s="2195"/>
      <c r="D1" s="2195"/>
      <c r="E1" s="2195"/>
      <c r="F1" s="2195"/>
      <c r="G1" s="2195"/>
      <c r="H1" s="2195"/>
      <c r="I1" s="2195"/>
    </row>
    <row r="2" spans="1:12" ht="21.75" customHeight="1">
      <c r="A2" s="2937" t="str">
        <f>项目基本情况!B1</f>
        <v>北京市房地产市场价值预评估</v>
      </c>
      <c r="B2" s="2937"/>
      <c r="C2" s="2937"/>
      <c r="D2" s="2937"/>
      <c r="E2" s="2937"/>
      <c r="F2" s="2937"/>
      <c r="G2" s="2937"/>
      <c r="H2" s="2937"/>
      <c r="I2" s="2937"/>
    </row>
    <row r="3" spans="1:12" ht="12.75">
      <c r="A3" s="2940" t="s">
        <v>1769</v>
      </c>
      <c r="B3" s="2941"/>
      <c r="C3" s="2941"/>
      <c r="D3" s="2941"/>
      <c r="E3" s="2941"/>
      <c r="F3" s="2941"/>
      <c r="G3" s="2941"/>
      <c r="H3" s="2941"/>
      <c r="I3" s="2941"/>
    </row>
    <row r="4" spans="1:12" ht="14.25">
      <c r="A4" s="2197" t="s">
        <v>1770</v>
      </c>
      <c r="B4" s="2198" t="s">
        <v>1771</v>
      </c>
      <c r="C4" s="2199" t="s">
        <v>2921</v>
      </c>
      <c r="D4" s="2199" t="s">
        <v>2912</v>
      </c>
      <c r="E4" s="2921" t="s">
        <v>1772</v>
      </c>
      <c r="F4" s="2922"/>
      <c r="G4" s="2922"/>
      <c r="H4" s="2922"/>
      <c r="I4" s="2932"/>
      <c r="K4" s="1844" t="str">
        <f>IF(ISNUMBER(FIND("比较法",结果表!C4)),"比较法",IF(ISNUMBER(FIND("成本法",结果表!C4)),"成本法",IF(ISNUMBER(FIND("假设开发法",结果表!C4)),"假设开发法",IF(ISNUMBER(FIND("收益法",结果表!C4)),"收益法","基准地价系数修正法"))))</f>
        <v>成本法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14" t="s">
        <v>1773</v>
      </c>
      <c r="B5" s="2876">
        <v>25</v>
      </c>
      <c r="C5" s="2925">
        <v>3</v>
      </c>
      <c r="D5" s="2939">
        <f>10-C5</f>
        <v>7</v>
      </c>
      <c r="E5" s="56" t="s">
        <v>1774</v>
      </c>
      <c r="F5" s="2200"/>
      <c r="G5" s="2200"/>
      <c r="H5" s="2200"/>
      <c r="I5" s="2201"/>
    </row>
    <row r="6" spans="1:12" ht="12.75">
      <c r="A6" s="2914"/>
      <c r="B6" s="2876"/>
      <c r="C6" s="2942"/>
      <c r="D6" s="2939"/>
      <c r="E6" s="56" t="s">
        <v>1775</v>
      </c>
      <c r="F6" s="2200"/>
      <c r="G6" s="2200"/>
      <c r="H6" s="2200"/>
      <c r="I6" s="2201"/>
    </row>
    <row r="7" spans="1:12" ht="12.75">
      <c r="A7" s="2914"/>
      <c r="B7" s="2876"/>
      <c r="C7" s="2926"/>
      <c r="D7" s="2939"/>
      <c r="E7" s="56" t="s">
        <v>1776</v>
      </c>
      <c r="F7" s="2200"/>
      <c r="G7" s="2200"/>
      <c r="H7" s="2200"/>
      <c r="I7" s="2201"/>
    </row>
    <row r="8" spans="1:12" ht="12.75">
      <c r="A8" s="2914" t="s">
        <v>1777</v>
      </c>
      <c r="B8" s="2876">
        <v>15</v>
      </c>
      <c r="C8" s="2925"/>
      <c r="D8" s="2939"/>
      <c r="E8" s="56" t="s">
        <v>1778</v>
      </c>
      <c r="F8" s="2200"/>
      <c r="G8" s="2200"/>
      <c r="H8" s="2200"/>
      <c r="I8" s="2201"/>
    </row>
    <row r="9" spans="1:12" ht="12.75">
      <c r="A9" s="2914"/>
      <c r="B9" s="2876"/>
      <c r="C9" s="2926"/>
      <c r="D9" s="2939"/>
      <c r="E9" s="56" t="s">
        <v>1779</v>
      </c>
      <c r="F9" s="2200"/>
      <c r="G9" s="2200"/>
      <c r="H9" s="2200"/>
      <c r="I9" s="2201"/>
    </row>
    <row r="10" spans="1:12" ht="12.75">
      <c r="A10" s="2914" t="s">
        <v>1780</v>
      </c>
      <c r="B10" s="2876">
        <v>15</v>
      </c>
      <c r="C10" s="2925"/>
      <c r="D10" s="2939"/>
      <c r="E10" s="56" t="s">
        <v>1781</v>
      </c>
      <c r="F10" s="2200"/>
      <c r="G10" s="2200"/>
      <c r="H10" s="2200"/>
      <c r="I10" s="2201"/>
    </row>
    <row r="11" spans="1:12" ht="12.75">
      <c r="A11" s="2914"/>
      <c r="B11" s="2876"/>
      <c r="C11" s="2926"/>
      <c r="D11" s="2939"/>
      <c r="E11" s="56" t="s">
        <v>1782</v>
      </c>
      <c r="F11" s="2200"/>
      <c r="G11" s="2200"/>
      <c r="H11" s="2200"/>
      <c r="I11" s="2201"/>
    </row>
    <row r="12" spans="1:12" ht="12.75">
      <c r="A12" s="2914" t="s">
        <v>1783</v>
      </c>
      <c r="B12" s="2876">
        <v>15</v>
      </c>
      <c r="C12" s="2925"/>
      <c r="D12" s="2939"/>
      <c r="E12" s="56" t="s">
        <v>1784</v>
      </c>
      <c r="F12" s="2200"/>
      <c r="G12" s="2200"/>
      <c r="H12" s="2200"/>
      <c r="I12" s="2201"/>
    </row>
    <row r="13" spans="1:12" ht="12.75">
      <c r="A13" s="2914"/>
      <c r="B13" s="2876"/>
      <c r="C13" s="2926"/>
      <c r="D13" s="2939"/>
      <c r="E13" s="56" t="s">
        <v>1785</v>
      </c>
      <c r="F13" s="2200"/>
      <c r="G13" s="2200"/>
      <c r="H13" s="2200"/>
      <c r="I13" s="2201"/>
    </row>
    <row r="14" spans="1:12" ht="12.75">
      <c r="A14" s="2914" t="s">
        <v>1786</v>
      </c>
      <c r="B14" s="2876">
        <v>30</v>
      </c>
      <c r="C14" s="2925"/>
      <c r="D14" s="2939"/>
      <c r="E14" s="56" t="s">
        <v>1787</v>
      </c>
      <c r="F14" s="2200"/>
      <c r="G14" s="2200"/>
      <c r="H14" s="2200"/>
      <c r="I14" s="2201"/>
    </row>
    <row r="15" spans="1:12" ht="12.75">
      <c r="A15" s="2914"/>
      <c r="B15" s="2876"/>
      <c r="C15" s="2942"/>
      <c r="D15" s="2939"/>
      <c r="E15" s="56" t="s">
        <v>1788</v>
      </c>
      <c r="F15" s="2200"/>
      <c r="G15" s="2200"/>
      <c r="H15" s="2200"/>
      <c r="I15" s="2201"/>
    </row>
    <row r="16" spans="1:12" ht="12.75">
      <c r="A16" s="2914"/>
      <c r="B16" s="2876"/>
      <c r="C16" s="2926"/>
      <c r="D16" s="2939"/>
      <c r="E16" s="56" t="s">
        <v>1789</v>
      </c>
      <c r="F16" s="2200"/>
      <c r="G16" s="2200"/>
      <c r="H16" s="2200"/>
      <c r="I16" s="2201"/>
    </row>
    <row r="17" spans="1:35" ht="15">
      <c r="A17" s="2202" t="s">
        <v>1790</v>
      </c>
      <c r="B17" s="2203"/>
      <c r="C17" s="57">
        <f>SUM(C5:C16)</f>
        <v>3</v>
      </c>
      <c r="D17" s="57">
        <f>SUM(D5:D16)</f>
        <v>7</v>
      </c>
      <c r="E17" s="2195"/>
      <c r="F17" s="2195"/>
      <c r="G17" s="2195"/>
      <c r="H17" s="2195"/>
      <c r="I17" s="2195"/>
    </row>
    <row r="18" spans="1:35" ht="15.75" thickBot="1">
      <c r="A18" s="2204" t="s">
        <v>1791</v>
      </c>
      <c r="B18" s="2205"/>
      <c r="C18" s="58">
        <f>ROUND(C17/SUM(C17:D17),2)</f>
        <v>0.3</v>
      </c>
      <c r="D18" s="58">
        <f>1-C18</f>
        <v>0.7</v>
      </c>
      <c r="E18" s="2195"/>
      <c r="F18" s="2195"/>
      <c r="G18" s="2195"/>
      <c r="H18" s="2195"/>
      <c r="I18" s="2195"/>
    </row>
    <row r="19" spans="1:35" ht="15">
      <c r="A19" s="2206" t="s">
        <v>1792</v>
      </c>
      <c r="B19" s="2207" t="s">
        <v>1793</v>
      </c>
      <c r="C19" s="59">
        <f ca="1">SUMIF(INDIRECT("'"&amp;C4&amp;"'"&amp;"!A:A"),结果表!B19,INDIRECT("'"&amp;C4&amp;"'"&amp;"!B:B"))</f>
        <v>47439</v>
      </c>
      <c r="D19" s="60">
        <f ca="1">SUMIF(INDIRECT("'"&amp;D4&amp;"'"&amp;"!A:A"),结果表!B19,INDIRECT("'"&amp;D4&amp;"'"&amp;"!B:B"))</f>
        <v>26197</v>
      </c>
      <c r="E19" s="2206" t="s">
        <v>1794</v>
      </c>
      <c r="F19" s="2207" t="s">
        <v>1793</v>
      </c>
      <c r="G19" s="61">
        <f ca="1">ROUND(C19*$C$18+D19*$D$18,0)</f>
        <v>32570</v>
      </c>
      <c r="H19" s="2208" t="str">
        <f>'数据-取费表'!B3</f>
        <v>元</v>
      </c>
      <c r="I19" s="2195"/>
    </row>
    <row r="20" spans="1:35" ht="15">
      <c r="A20" s="2209"/>
      <c r="B20" s="2210" t="s">
        <v>1795</v>
      </c>
      <c r="C20" s="62">
        <f ca="1">SUMIF(INDIRECT("'"&amp;C4&amp;"'"&amp;"!A:A"),结果表!B20,INDIRECT("'"&amp;C4&amp;"'"&amp;"!B:B"))</f>
        <v>47439</v>
      </c>
      <c r="D20" s="63">
        <f ca="1">SUMIF(INDIRECT("'"&amp;D4&amp;"'"&amp;"!A:A"),结果表!B20,INDIRECT("'"&amp;D4&amp;"'"&amp;"!B:B"))</f>
        <v>26197</v>
      </c>
      <c r="E20" s="2209"/>
      <c r="F20" s="2210" t="s">
        <v>1795</v>
      </c>
      <c r="G20" s="64">
        <f ca="1">ROUND(C20*$C$18+D20*$D$18,0)</f>
        <v>32570</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f ca="1">IF(C19&lt;D19,D19/C19-1,C19/D19-1)</f>
        <v>0.81085620490895893</v>
      </c>
      <c r="E22" s="2195"/>
      <c r="F22" s="2195"/>
      <c r="G22" s="2195"/>
      <c r="H22" s="2195"/>
      <c r="I22" s="2195"/>
    </row>
    <row r="23" spans="1:35" ht="13.5" thickBot="1">
      <c r="A23" s="2195"/>
      <c r="B23" s="2195"/>
      <c r="C23" s="2195"/>
      <c r="D23" s="2195"/>
      <c r="E23" s="2195"/>
      <c r="F23" s="2195"/>
      <c r="G23" s="2195"/>
      <c r="H23" s="2195"/>
      <c r="I23" s="2195"/>
    </row>
    <row r="24" spans="1:35" ht="21.75" customHeight="1">
      <c r="A24" s="2945" t="s">
        <v>1798</v>
      </c>
      <c r="B24" s="2207" t="s">
        <v>1793</v>
      </c>
      <c r="C24" s="61">
        <f>D30</f>
        <v>0</v>
      </c>
      <c r="D24" s="993"/>
      <c r="E24" s="2195"/>
      <c r="F24" s="2195"/>
      <c r="G24" s="2195"/>
      <c r="H24" s="2195"/>
      <c r="I24" s="2195"/>
    </row>
    <row r="25" spans="1:35" ht="21.75" customHeight="1">
      <c r="A25" s="2946"/>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1803</v>
      </c>
      <c r="B30" s="67"/>
      <c r="C30" s="67"/>
      <c r="D30" s="67"/>
      <c r="E30" s="2710" t="s">
        <v>2800</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3" t="s">
        <v>1804</v>
      </c>
      <c r="B32" s="2224" t="str">
        <f>'数据-取费表'!B4</f>
        <v>楼面单价</v>
      </c>
      <c r="C32" s="1144">
        <f ca="1">IF(B32="总价",G19-C24,G20-C25)</f>
        <v>32570</v>
      </c>
      <c r="D32" s="2195" t="str">
        <f>IF(B32="楼面单价","元/平方米",H19)</f>
        <v>元/平方米</v>
      </c>
      <c r="E32" s="2195"/>
      <c r="F32" s="2195"/>
      <c r="G32" s="2195"/>
      <c r="H32" s="2195"/>
      <c r="I32" s="2195"/>
    </row>
    <row r="33" spans="1:16" ht="15">
      <c r="A33" s="2225" t="s">
        <v>1805</v>
      </c>
      <c r="B33" s="2226"/>
      <c r="C33" s="2227"/>
      <c r="D33" s="2228"/>
      <c r="E33" s="2229" t="s">
        <v>1806</v>
      </c>
      <c r="F33" s="2230" t="str">
        <f>IF(B32="楼面单价","取值（单价）","取值（总价）")</f>
        <v>取值（单价）</v>
      </c>
      <c r="G33" s="2195"/>
      <c r="H33" s="2195"/>
      <c r="I33" s="2195"/>
    </row>
    <row r="34" spans="1:16" ht="15">
      <c r="A34" s="2231"/>
      <c r="B34" s="2232" t="s">
        <v>1807</v>
      </c>
      <c r="C34" s="72">
        <f ca="1">IF(D33="自定义",F34,C32-C35)</f>
        <v>28499</v>
      </c>
      <c r="D34" s="1090">
        <f ca="1">IF(D33="自定义",ROUND(C34/C32,3),1-D35)</f>
        <v>0.875</v>
      </c>
      <c r="E34" s="2233" t="s">
        <v>1808</v>
      </c>
      <c r="F34" s="1827">
        <v>2000</v>
      </c>
      <c r="G34" s="2195"/>
      <c r="H34" s="2195"/>
      <c r="I34" s="2195"/>
    </row>
    <row r="35" spans="1:16" ht="15.75" thickBot="1">
      <c r="A35" s="2234"/>
      <c r="B35" s="2235" t="s">
        <v>1809</v>
      </c>
      <c r="C35" s="73">
        <f ca="1">IF(D33="自定义",F35,ROUND(C32*D35,0))</f>
        <v>4071</v>
      </c>
      <c r="D35" s="1089">
        <f ca="1">IF(D33="自定义",ROUND(C35/C32,3),IF(D33="成本法成本比率",成本法!C56,IF(D33="收益法收益比率",收益法!J38,收益法!J41)))</f>
        <v>0.125</v>
      </c>
      <c r="E35" s="2236" t="s">
        <v>1810</v>
      </c>
      <c r="F35" s="79">
        <v>4460</v>
      </c>
      <c r="G35" s="2195"/>
      <c r="H35" s="2195"/>
      <c r="I35" s="2195"/>
    </row>
    <row r="36" spans="1:16" ht="15.75" thickBot="1">
      <c r="A36" s="2927" t="s">
        <v>1811</v>
      </c>
      <c r="B36" s="2237" t="s">
        <v>1812</v>
      </c>
      <c r="C36" s="69">
        <v>0</v>
      </c>
      <c r="D36" s="2238"/>
      <c r="E36" s="2239"/>
      <c r="F36" s="2239"/>
      <c r="G36" s="2195"/>
      <c r="H36" s="2195"/>
      <c r="I36" s="2195"/>
    </row>
    <row r="37" spans="1:16" ht="15.75" thickBot="1">
      <c r="A37" s="2928"/>
      <c r="B37" s="2240" t="s">
        <v>1813</v>
      </c>
      <c r="C37" s="71">
        <v>0</v>
      </c>
      <c r="D37" s="2205"/>
      <c r="E37" s="2205"/>
      <c r="F37" s="2239"/>
      <c r="G37" s="2205"/>
      <c r="H37" s="2205"/>
      <c r="I37" s="2205"/>
    </row>
    <row r="38" spans="1:16" ht="15.75" thickBot="1">
      <c r="A38" s="2929"/>
      <c r="B38" s="2241" t="s">
        <v>1814</v>
      </c>
      <c r="C38" s="712">
        <v>0</v>
      </c>
      <c r="D38" s="2242" t="s">
        <v>1815</v>
      </c>
      <c r="E38" s="2205"/>
      <c r="F38" s="2239"/>
      <c r="G38" s="2205"/>
      <c r="H38" s="2205"/>
      <c r="I38" s="2205"/>
    </row>
    <row r="39" spans="1:16" ht="15">
      <c r="A39" s="2209" t="s">
        <v>1816</v>
      </c>
      <c r="B39" s="2243" t="s">
        <v>1800</v>
      </c>
      <c r="C39" s="2244" t="s">
        <v>1801</v>
      </c>
      <c r="D39" s="2244" t="s">
        <v>1817</v>
      </c>
      <c r="E39" s="2245" t="s">
        <v>1802</v>
      </c>
      <c r="F39" s="2239"/>
      <c r="G39" s="2205"/>
      <c r="H39" s="2205"/>
      <c r="I39" s="2205"/>
    </row>
    <row r="40" spans="1:16" ht="14.25">
      <c r="A40" s="2246" t="s">
        <v>1818</v>
      </c>
      <c r="B40" s="74"/>
      <c r="C40" s="75"/>
      <c r="D40" s="75"/>
      <c r="E40" s="76"/>
      <c r="F40" s="2239"/>
      <c r="G40" s="2205"/>
      <c r="H40" s="2205"/>
      <c r="I40" s="2205"/>
    </row>
    <row r="41" spans="1:16" ht="14.25">
      <c r="A41" s="2246" t="s">
        <v>1819</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1820</v>
      </c>
      <c r="B44" s="2252"/>
      <c r="C44" s="2252"/>
      <c r="D44" s="2253"/>
      <c r="E44" s="2253"/>
      <c r="F44" s="2254"/>
      <c r="G44" s="2254"/>
      <c r="H44" s="2254"/>
      <c r="I44" s="2254"/>
      <c r="J44" s="2255" t="s">
        <v>1821</v>
      </c>
      <c r="K44" s="2256"/>
      <c r="L44" s="2256"/>
      <c r="M44" s="2256"/>
      <c r="N44" s="2256"/>
      <c r="O44" s="2256"/>
      <c r="P44" s="1844"/>
    </row>
    <row r="45" spans="1:16" ht="14.25" customHeight="1" thickBot="1">
      <c r="A45" s="2933" t="s">
        <v>1822</v>
      </c>
      <c r="B45" s="2934"/>
      <c r="C45" s="2935"/>
      <c r="D45" s="80">
        <f ca="1">ROUND(I102*F45,0)</f>
        <v>32570</v>
      </c>
      <c r="E45" s="81" t="s">
        <v>1823</v>
      </c>
      <c r="F45" s="82">
        <v>1</v>
      </c>
      <c r="G45" s="83" t="s">
        <v>1824</v>
      </c>
      <c r="H45" s="2195"/>
      <c r="I45" s="2195"/>
      <c r="J45" s="2995" t="s">
        <v>1825</v>
      </c>
      <c r="K45" s="2995"/>
      <c r="L45" s="2995"/>
      <c r="M45" s="2995"/>
      <c r="N45" s="2995"/>
      <c r="O45" s="2995"/>
      <c r="P45" s="1844"/>
    </row>
    <row r="46" spans="1:16" ht="14.25" customHeight="1">
      <c r="A46" s="2918" t="s">
        <v>1826</v>
      </c>
      <c r="B46" s="2919"/>
      <c r="C46" s="2919"/>
      <c r="D46" s="2919"/>
      <c r="E46" s="2919"/>
      <c r="F46" s="2919"/>
      <c r="G46" s="2920"/>
      <c r="H46" s="2257"/>
      <c r="I46" s="1143"/>
      <c r="J46" s="1881">
        <v>1</v>
      </c>
      <c r="K46" s="2995" t="s">
        <v>1827</v>
      </c>
      <c r="L46" s="2995"/>
      <c r="M46" s="2996" t="str">
        <f>项目基本情况!B1</f>
        <v>北京市房地产市场价值预评估</v>
      </c>
      <c r="N46" s="2996"/>
      <c r="O46" s="2996"/>
      <c r="P46" s="1844"/>
    </row>
    <row r="47" spans="1:16" ht="12" customHeight="1">
      <c r="A47" s="85" t="s">
        <v>1828</v>
      </c>
      <c r="B47" s="86"/>
      <c r="C47" s="87"/>
      <c r="D47" s="88" t="s">
        <v>1829</v>
      </c>
      <c r="E47" s="14" t="s">
        <v>1830</v>
      </c>
      <c r="F47" s="89" t="s">
        <v>1831</v>
      </c>
      <c r="G47" s="90" t="s">
        <v>1832</v>
      </c>
      <c r="H47" s="2257"/>
      <c r="I47" s="1143"/>
      <c r="J47" s="1881">
        <v>2</v>
      </c>
      <c r="K47" s="2995" t="s">
        <v>1833</v>
      </c>
      <c r="L47" s="2995"/>
      <c r="M47" s="2997">
        <f>'数据-取费表'!B2</f>
        <v>43516</v>
      </c>
      <c r="N47" s="2997"/>
      <c r="O47" s="2997"/>
      <c r="P47" s="1844"/>
    </row>
    <row r="48" spans="1:16" ht="25.5">
      <c r="A48" s="2930" t="s">
        <v>1834</v>
      </c>
      <c r="B48" s="2931"/>
      <c r="C48" s="2931"/>
      <c r="D48" s="56">
        <f ca="1">IF(H48="情况1",0,IF(H48="情况2",D52,IF(H48="情况3",D53,IF(H48="情况4",D54))))</f>
        <v>1737</v>
      </c>
      <c r="E48" s="1891" t="str">
        <f>IF(H48="情况4","(销售额-原购置价)×税（费）率","销售额×税（费）率")</f>
        <v>销售额×税（费）率</v>
      </c>
      <c r="F48" s="91">
        <f>IF(H48="情况1","免征",'数据-取费表'!E29)</f>
        <v>5.6000000000000001E-2</v>
      </c>
      <c r="G48" s="2258" t="s">
        <v>1835</v>
      </c>
      <c r="H48" s="2259" t="s">
        <v>1836</v>
      </c>
      <c r="I48" s="2257"/>
      <c r="J48" s="1881">
        <v>3</v>
      </c>
      <c r="K48" s="2995" t="s">
        <v>1837</v>
      </c>
      <c r="L48" s="2995"/>
      <c r="M48" s="2996">
        <f ca="1">I102</f>
        <v>32570</v>
      </c>
      <c r="N48" s="2996"/>
      <c r="O48" s="2996"/>
      <c r="P48" s="1844"/>
    </row>
    <row r="49" spans="1:16" ht="25.5" customHeight="1">
      <c r="A49" s="92" t="s">
        <v>1838</v>
      </c>
      <c r="B49" s="2923" t="s">
        <v>1839</v>
      </c>
      <c r="C49" s="2923"/>
      <c r="D49" s="93">
        <v>0</v>
      </c>
      <c r="E49" s="13" t="s">
        <v>1840</v>
      </c>
      <c r="F49" s="18" t="s">
        <v>48</v>
      </c>
      <c r="G49" s="2988"/>
      <c r="H49" s="2195"/>
      <c r="I49" s="2260"/>
      <c r="J49" s="1881">
        <v>4</v>
      </c>
      <c r="K49" s="2995" t="str">
        <f>IF(项目基本情况!F5="房地产抵押价值","房地产抵押价值","抵押担保权已注销时的房地产抵押价值")</f>
        <v>抵押担保权已注销时的房地产抵押价值</v>
      </c>
      <c r="L49" s="2995"/>
      <c r="M49" s="2996" t="str">
        <f>IF(项目基本情况!F5="房地产抵押价值",I110,I112)</f>
        <v>——</v>
      </c>
      <c r="N49" s="2996"/>
      <c r="O49" s="2996"/>
      <c r="P49" s="1844"/>
    </row>
    <row r="50" spans="1:16" ht="25.5" customHeight="1">
      <c r="A50" s="94"/>
      <c r="B50" s="2923" t="s">
        <v>1841</v>
      </c>
      <c r="C50" s="2923"/>
      <c r="D50" s="95"/>
      <c r="E50" s="21"/>
      <c r="F50" s="96"/>
      <c r="G50" s="2989"/>
      <c r="H50" s="2195"/>
      <c r="I50" s="2260"/>
      <c r="J50" s="2995" t="s">
        <v>1842</v>
      </c>
      <c r="K50" s="2995"/>
      <c r="L50" s="2995"/>
      <c r="M50" s="2995"/>
      <c r="N50" s="2995"/>
      <c r="O50" s="2995"/>
      <c r="P50" s="1844"/>
    </row>
    <row r="51" spans="1:16" ht="12" customHeight="1">
      <c r="A51" s="97"/>
      <c r="B51" s="2923" t="s">
        <v>1843</v>
      </c>
      <c r="C51" s="2923"/>
      <c r="D51" s="98"/>
      <c r="E51" s="20"/>
      <c r="F51" s="96"/>
      <c r="G51" s="2990"/>
      <c r="H51" s="2195"/>
      <c r="I51" s="2260"/>
      <c r="J51" s="2261" t="s">
        <v>1844</v>
      </c>
      <c r="K51" s="2995" t="s">
        <v>1845</v>
      </c>
      <c r="L51" s="2995"/>
      <c r="M51" s="2261" t="s">
        <v>1846</v>
      </c>
      <c r="N51" s="2261" t="s">
        <v>1847</v>
      </c>
      <c r="O51" s="2261" t="s">
        <v>1848</v>
      </c>
      <c r="P51" s="1844"/>
    </row>
    <row r="52" spans="1:16" ht="24" customHeight="1">
      <c r="A52" s="99" t="s">
        <v>1849</v>
      </c>
      <c r="B52" s="2923" t="s">
        <v>1850</v>
      </c>
      <c r="C52" s="2923"/>
      <c r="D52" s="98">
        <f ca="1">ROUND(D45*'数据-取费表'!E29/(1+'数据-取费表'!F30),0)</f>
        <v>1737</v>
      </c>
      <c r="E52" s="10" t="s">
        <v>1851</v>
      </c>
      <c r="F52" s="100">
        <f>'数据-取费表'!E29</f>
        <v>5.6000000000000001E-2</v>
      </c>
      <c r="G52" s="2262"/>
      <c r="H52" s="2195"/>
      <c r="I52" s="2260"/>
      <c r="J52" s="1881">
        <v>1</v>
      </c>
      <c r="K52" s="2955" t="s">
        <v>1852</v>
      </c>
      <c r="L52" s="2955"/>
      <c r="M52" s="778">
        <f ca="1">D48</f>
        <v>1737</v>
      </c>
      <c r="N52" s="1881" t="str">
        <f>E48</f>
        <v>销售额×税（费）率</v>
      </c>
      <c r="O52" s="779">
        <f>F48</f>
        <v>5.6000000000000001E-2</v>
      </c>
      <c r="P52" s="1844"/>
    </row>
    <row r="53" spans="1:16" ht="12" customHeight="1">
      <c r="A53" s="99" t="s">
        <v>1853</v>
      </c>
      <c r="B53" s="2924" t="s">
        <v>1854</v>
      </c>
      <c r="C53" s="2849"/>
      <c r="D53" s="98">
        <f ca="1">ROUND(D45*'数据-取费表'!E29/(1+'数据-取费表'!F30),0)</f>
        <v>1737</v>
      </c>
      <c r="E53" s="10" t="s">
        <v>1851</v>
      </c>
      <c r="F53" s="100">
        <f>'数据-取费表'!E29</f>
        <v>5.6000000000000001E-2</v>
      </c>
      <c r="G53" s="2262"/>
      <c r="H53" s="2195"/>
      <c r="I53" s="2260"/>
      <c r="J53" s="1881">
        <v>2</v>
      </c>
      <c r="K53" s="2955" t="s">
        <v>1855</v>
      </c>
      <c r="L53" s="2955"/>
      <c r="M53" s="778">
        <f t="shared" ref="M53:O54" ca="1" si="1">D55</f>
        <v>16</v>
      </c>
      <c r="N53" s="1881" t="str">
        <f t="shared" si="1"/>
        <v>销售额×税（费）率</v>
      </c>
      <c r="O53" s="779">
        <f t="shared" si="1"/>
        <v>5.0000000000000001E-4</v>
      </c>
      <c r="P53" s="1844"/>
    </row>
    <row r="54" spans="1:16" ht="12" customHeight="1">
      <c r="A54" s="99" t="s">
        <v>1856</v>
      </c>
      <c r="B54" s="2924" t="s">
        <v>1857</v>
      </c>
      <c r="C54" s="2849"/>
      <c r="D54" s="98">
        <f ca="1">C68</f>
        <v>1737</v>
      </c>
      <c r="E54" s="20" t="s">
        <v>1858</v>
      </c>
      <c r="F54" s="100">
        <f>'数据-取费表'!E29</f>
        <v>5.6000000000000001E-2</v>
      </c>
      <c r="G54" s="2262"/>
      <c r="H54" s="2263"/>
      <c r="I54" s="2260"/>
      <c r="J54" s="1881">
        <v>3</v>
      </c>
      <c r="K54" s="2955" t="s">
        <v>1859</v>
      </c>
      <c r="L54" s="2955"/>
      <c r="M54" s="778">
        <f t="shared" ca="1" si="1"/>
        <v>18435</v>
      </c>
      <c r="N54" s="1881" t="str">
        <f t="shared" si="1"/>
        <v>增值额×税（费）率</v>
      </c>
      <c r="O54" s="780" t="str">
        <f t="shared" si="1"/>
        <v>——</v>
      </c>
      <c r="P54" s="1844"/>
    </row>
    <row r="55" spans="1:16" ht="24" customHeight="1">
      <c r="A55" s="2841" t="s">
        <v>1860</v>
      </c>
      <c r="B55" s="2931"/>
      <c r="C55" s="2931"/>
      <c r="D55" s="101">
        <f ca="1">IF(H55="个人住宅",0,ROUND(D45*I55,0))</f>
        <v>16</v>
      </c>
      <c r="E55" s="10" t="s">
        <v>1861</v>
      </c>
      <c r="F55" s="100">
        <f>IF(H55="正常",I55,"免征")</f>
        <v>5.0000000000000001E-4</v>
      </c>
      <c r="G55" s="2262"/>
      <c r="H55" s="2259" t="s">
        <v>1862</v>
      </c>
      <c r="I55" s="102">
        <f>'数据-取费表'!E37</f>
        <v>5.0000000000000001E-4</v>
      </c>
      <c r="J55" s="1881">
        <f>IF(H59="非个人房产","",4)</f>
        <v>4</v>
      </c>
      <c r="K55" s="2955" t="str">
        <f>IF(H59="非个人房产","——","个人所得税")</f>
        <v>个人所得税</v>
      </c>
      <c r="L55" s="2955"/>
      <c r="M55" s="781">
        <f ca="1">D59</f>
        <v>326</v>
      </c>
      <c r="N55" s="1884" t="str">
        <f>E59</f>
        <v>销售额×税（费）率</v>
      </c>
      <c r="O55" s="782">
        <f>F59</f>
        <v>0.01</v>
      </c>
      <c r="P55" s="1844"/>
    </row>
    <row r="56" spans="1:16" ht="24.75">
      <c r="A56" s="2841" t="s">
        <v>1863</v>
      </c>
      <c r="B56" s="2931"/>
      <c r="C56" s="2931"/>
      <c r="D56" s="101">
        <f ca="1">IF(H56="个人住宅",D57,D58)</f>
        <v>18435</v>
      </c>
      <c r="E56" s="10" t="s">
        <v>1864</v>
      </c>
      <c r="F56" s="100" t="str">
        <f>IF(H56="正常",F58,"免征")</f>
        <v>——</v>
      </c>
      <c r="G56" s="2264" t="s">
        <v>1865</v>
      </c>
      <c r="H56" s="2265" t="s">
        <v>1862</v>
      </c>
      <c r="I56" s="1021"/>
      <c r="J56" s="1881" t="str">
        <f>IF(项目基本情况!I6="上海银行",IF(J55="",4,J55+1),"")</f>
        <v/>
      </c>
      <c r="K56" s="2973" t="str">
        <f>IF(项目基本情况!I6="上海银行","其他处置费用","")</f>
        <v/>
      </c>
      <c r="L56" s="2974"/>
      <c r="M56" s="778" t="str">
        <f>IF(项目基本情况!I6="上海银行",M69,"")</f>
        <v/>
      </c>
      <c r="N56" s="2986" t="str">
        <f>IF(项目基本情况!I6="上海银行","包含处置中涉及的律师、诉讼、拍卖、评估等费用","")</f>
        <v/>
      </c>
      <c r="O56" s="2987"/>
      <c r="P56" s="1844"/>
    </row>
    <row r="57" spans="1:16" ht="12.75">
      <c r="A57" s="99" t="s">
        <v>1838</v>
      </c>
      <c r="B57" s="2921" t="s">
        <v>1866</v>
      </c>
      <c r="C57" s="2932"/>
      <c r="D57" s="103">
        <v>0</v>
      </c>
      <c r="E57" s="13" t="s">
        <v>1840</v>
      </c>
      <c r="F57" s="70"/>
      <c r="G57" s="2262"/>
      <c r="H57" s="1021"/>
      <c r="I57" s="1021"/>
      <c r="J57" s="2955">
        <f>IF(AND(J55="",J56=""),4,IF(项目基本情况!I6="上海银行",J56+1,J55+1))</f>
        <v>5</v>
      </c>
      <c r="K57" s="2955" t="s">
        <v>1867</v>
      </c>
      <c r="L57" s="2266" t="s">
        <v>1868</v>
      </c>
      <c r="M57" s="783"/>
      <c r="N57" s="784">
        <f ca="1">SUMIF(M52:M56,"&lt;9e307")</f>
        <v>20514</v>
      </c>
      <c r="O57" s="2267"/>
      <c r="P57" s="1840" t="e">
        <f ca="1">N57/M49</f>
        <v>#VALUE!</v>
      </c>
    </row>
    <row r="58" spans="1:16" ht="24.75">
      <c r="A58" s="99" t="s">
        <v>1849</v>
      </c>
      <c r="B58" s="2921" t="s">
        <v>1869</v>
      </c>
      <c r="C58" s="2922"/>
      <c r="D58" s="101">
        <f ca="1">IF(H58="转让取得",C81,C97)</f>
        <v>18435</v>
      </c>
      <c r="E58" s="10" t="s">
        <v>1864</v>
      </c>
      <c r="F58" s="14" t="s">
        <v>48</v>
      </c>
      <c r="G58" s="2262"/>
      <c r="H58" s="2265" t="s">
        <v>1870</v>
      </c>
      <c r="I58" s="1021"/>
      <c r="J58" s="2955"/>
      <c r="K58" s="2955"/>
      <c r="L58" s="2266" t="s">
        <v>1871</v>
      </c>
      <c r="M58" s="785"/>
      <c r="N58" s="2268" t="str">
        <f ca="1">IF(H19="元",NUMBERSTRING(INT(N57),2)&amp;"元整",NUMBERSTRING(INT(N57*10000),2)&amp;"元整")</f>
        <v>贰万零伍佰壹拾肆元整</v>
      </c>
      <c r="O58" s="2269"/>
      <c r="P58" s="1844"/>
    </row>
    <row r="59" spans="1:16" ht="26.25" thickBot="1">
      <c r="A59" s="2842" t="s">
        <v>1872</v>
      </c>
      <c r="B59" s="2845"/>
      <c r="C59" s="2845"/>
      <c r="D59" s="104">
        <f ca="1">IF(H59="非个人房产","——",IF(H59="个人住宅",0,ROUND(D45*I59,0)))</f>
        <v>326</v>
      </c>
      <c r="E59" s="105" t="str">
        <f>IF(H59="非个人房产","——","销售额×税（费）率")</f>
        <v>销售额×税（费）率</v>
      </c>
      <c r="F59" s="106">
        <f>IF(H59="非个人房产","——",IF(H59="个人住宅","免征",I59))</f>
        <v>0.01</v>
      </c>
      <c r="G59" s="2270" t="s">
        <v>1865</v>
      </c>
      <c r="H59" s="2265" t="s">
        <v>1873</v>
      </c>
      <c r="I59" s="107">
        <v>0.01</v>
      </c>
      <c r="J59" s="2953">
        <f>J57+1</f>
        <v>6</v>
      </c>
      <c r="K59" s="2955" t="s">
        <v>1874</v>
      </c>
      <c r="L59" s="1881" t="s">
        <v>1868</v>
      </c>
      <c r="M59" s="786"/>
      <c r="N59" s="787" t="e">
        <f ca="1">M49-N57</f>
        <v>#VALUE!</v>
      </c>
      <c r="O59" s="2271"/>
      <c r="P59" s="1844"/>
    </row>
    <row r="60" spans="1:16" ht="12" customHeight="1">
      <c r="A60" s="2066"/>
      <c r="B60" s="2195"/>
      <c r="C60" s="2195"/>
      <c r="D60" s="2195"/>
      <c r="E60" s="1021"/>
      <c r="F60" s="1021"/>
      <c r="G60" s="1021"/>
      <c r="H60" s="2248"/>
      <c r="I60" s="2195"/>
      <c r="J60" s="2954"/>
      <c r="K60" s="2955"/>
      <c r="L60" s="2266" t="s">
        <v>1871</v>
      </c>
      <c r="M60" s="785"/>
      <c r="N60" s="2268" t="e">
        <f ca="1">IF(H19="元",NUMBERSTRING(INT(N59),2)&amp;"元整",NUMBERSTRING(INT(N59*10000),2)&amp;"元整")</f>
        <v>#VALUE!</v>
      </c>
      <c r="O60" s="2269"/>
      <c r="P60" s="1844"/>
    </row>
    <row r="61" spans="1:16" ht="13.5" thickBot="1">
      <c r="A61" s="2936" t="s">
        <v>1875</v>
      </c>
      <c r="B61" s="2936"/>
      <c r="C61" s="2936"/>
      <c r="D61" s="2936"/>
      <c r="E61" s="2936"/>
      <c r="F61" s="1021"/>
      <c r="G61" s="1021"/>
      <c r="H61" s="2248"/>
      <c r="I61" s="2195"/>
      <c r="J61" s="1881">
        <f>J59+1</f>
        <v>7</v>
      </c>
      <c r="K61" s="2955" t="s">
        <v>1876</v>
      </c>
      <c r="L61" s="2955"/>
      <c r="M61" s="788"/>
      <c r="N61" s="789" t="e">
        <f ca="1">IF(H19="元",ROUND(N59/项目基本情况!C12,0),ROUND(N59*10000/项目基本情况!C12,0))</f>
        <v>#VALUE!</v>
      </c>
      <c r="O61" s="2272"/>
      <c r="P61" s="1844"/>
    </row>
    <row r="62" spans="1:16" ht="12.75">
      <c r="A62" s="2943" t="s">
        <v>1877</v>
      </c>
      <c r="B62" s="2944"/>
      <c r="C62" s="1883"/>
      <c r="D62" s="1883" t="s">
        <v>1878</v>
      </c>
      <c r="E62" s="108" t="s">
        <v>1879</v>
      </c>
      <c r="F62" s="1021"/>
      <c r="G62" s="1021"/>
      <c r="H62" s="2248"/>
      <c r="I62" s="2195"/>
      <c r="J62" s="1844"/>
      <c r="K62" s="1844"/>
      <c r="L62" s="1844"/>
      <c r="M62" s="1844"/>
      <c r="N62" s="1844"/>
      <c r="O62" s="1844"/>
      <c r="P62" s="1844"/>
    </row>
    <row r="63" spans="1:16" ht="12.75">
      <c r="A63" s="109">
        <v>1</v>
      </c>
      <c r="B63" s="110" t="s">
        <v>1880</v>
      </c>
      <c r="C63" s="111">
        <f ca="1">ROUND((C64+C65)/(1+'数据-取费表'!F30),0)</f>
        <v>31019</v>
      </c>
      <c r="D63" s="112"/>
      <c r="E63" s="113"/>
      <c r="F63" s="1021"/>
      <c r="G63" s="1021"/>
      <c r="H63" s="2248"/>
      <c r="I63" s="2195"/>
      <c r="J63" s="2975" t="s">
        <v>1881</v>
      </c>
      <c r="K63" s="2273"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32570</v>
      </c>
      <c r="D64" s="117" t="s">
        <v>41</v>
      </c>
      <c r="E64" s="118"/>
      <c r="F64" s="1021"/>
      <c r="G64" s="1021"/>
      <c r="H64" s="2248"/>
      <c r="I64" s="2195"/>
      <c r="J64" s="2975"/>
      <c r="K64" s="2273"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1"/>
      <c r="G65" s="1021"/>
      <c r="H65" s="2248"/>
      <c r="I65" s="2195"/>
      <c r="J65" s="2975"/>
      <c r="K65" s="2273"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1"/>
      <c r="G66" s="1021"/>
      <c r="H66" s="2248"/>
      <c r="I66" s="2195"/>
      <c r="J66" s="2975"/>
      <c r="K66" s="2273" t="s">
        <v>1890</v>
      </c>
      <c r="L66" s="1843" t="e">
        <f>M49*0.5%</f>
        <v>#VALUE!</v>
      </c>
      <c r="M66" s="14" t="e">
        <f>IF(L66&gt;0.5,0.5,ROUND(L66,0))</f>
        <v>#VALUE!</v>
      </c>
      <c r="N66" s="1844" t="s">
        <v>1891</v>
      </c>
      <c r="O66" s="1844"/>
      <c r="P66" s="1844"/>
    </row>
    <row r="67" spans="1:35" ht="12.75">
      <c r="A67" s="120" t="s">
        <v>42</v>
      </c>
      <c r="B67" s="121" t="s">
        <v>1892</v>
      </c>
      <c r="C67" s="124">
        <f ca="1">C63-C66</f>
        <v>31019</v>
      </c>
      <c r="D67" s="117" t="s">
        <v>41</v>
      </c>
      <c r="E67" s="118"/>
      <c r="F67" s="1021"/>
      <c r="G67" s="1021"/>
      <c r="H67" s="2248"/>
      <c r="I67" s="2195"/>
      <c r="J67" s="2975"/>
      <c r="K67" s="2273"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1737</v>
      </c>
      <c r="D68" s="128">
        <f>'数据-取费表'!E29</f>
        <v>5.6000000000000001E-2</v>
      </c>
      <c r="E68" s="129"/>
      <c r="F68" s="1021"/>
      <c r="G68" s="1021"/>
      <c r="H68" s="2248"/>
      <c r="I68" s="2195"/>
      <c r="J68" s="2975"/>
      <c r="K68" s="2273" t="s">
        <v>1895</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1"/>
      <c r="G69" s="1021"/>
      <c r="H69" s="2248"/>
      <c r="I69" s="2195"/>
      <c r="J69" s="2975"/>
      <c r="K69" s="2273" t="s">
        <v>1896</v>
      </c>
      <c r="L69" s="2279"/>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1" customFormat="1" ht="15" thickBot="1">
      <c r="A70" s="2947" t="s">
        <v>1897</v>
      </c>
      <c r="B70" s="2948"/>
      <c r="C70" s="2948"/>
      <c r="D70" s="2948"/>
      <c r="E70" s="2948"/>
      <c r="F70" s="2948"/>
      <c r="G70" s="2948"/>
      <c r="H70" s="2948"/>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943" t="s">
        <v>1877</v>
      </c>
      <c r="B71" s="2944"/>
      <c r="C71" s="1883"/>
      <c r="D71" s="1883" t="s">
        <v>1878</v>
      </c>
      <c r="E71" s="130" t="s">
        <v>1879</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1898</v>
      </c>
      <c r="C72" s="124">
        <f ca="1">ROUND(D45/(1+'数据-取费表'!F30),0)</f>
        <v>31019</v>
      </c>
      <c r="D72" s="117" t="s">
        <v>41</v>
      </c>
      <c r="E72" s="12" t="s">
        <v>1899</v>
      </c>
      <c r="F72" s="1887"/>
      <c r="G72" s="1887"/>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1900</v>
      </c>
      <c r="C73" s="124">
        <f ca="1">C74+C78</f>
        <v>186</v>
      </c>
      <c r="D73" s="117" t="s">
        <v>41</v>
      </c>
      <c r="E73" s="1886"/>
      <c r="F73" s="1887"/>
      <c r="G73" s="1887"/>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1901</v>
      </c>
      <c r="C74" s="117">
        <f>ROUND(IF(G77="2016年5月1日后购买",C75/(1+'数据-取费表'!F30)+C76+C77,C75+C76+C77),0)</f>
        <v>0</v>
      </c>
      <c r="D74" s="117" t="s">
        <v>41</v>
      </c>
      <c r="E74" s="1886"/>
      <c r="F74" s="1887"/>
      <c r="G74" s="1887"/>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1902</v>
      </c>
      <c r="C75" s="137"/>
      <c r="D75" s="117" t="s">
        <v>41</v>
      </c>
      <c r="E75" s="138" t="s">
        <v>1903</v>
      </c>
      <c r="F75" s="2284" t="s">
        <v>1904</v>
      </c>
      <c r="G75" s="138" t="s">
        <v>1905</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1906</v>
      </c>
      <c r="C76" s="117">
        <f>IF(F75="购房发票",ROUND(C75*H75*D76,0),0)</f>
        <v>0</v>
      </c>
      <c r="D76" s="141">
        <v>0.05</v>
      </c>
      <c r="E76" s="2924" t="s">
        <v>1907</v>
      </c>
      <c r="F76" s="2923"/>
      <c r="G76" s="2923"/>
      <c r="H76" s="2938"/>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5" t="s">
        <v>1910</v>
      </c>
      <c r="H77" s="1888"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1911</v>
      </c>
      <c r="C78" s="144">
        <f ca="1">ROUND(D45*D78/(1+'数据-取费表'!F30),0)</f>
        <v>186</v>
      </c>
      <c r="D78" s="145">
        <f>'数据-取费表'!E31</f>
        <v>6.000000000000001E-3</v>
      </c>
      <c r="E78" s="2915" t="s">
        <v>1912</v>
      </c>
      <c r="F78" s="2916"/>
      <c r="G78" s="2916"/>
      <c r="H78" s="2917"/>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1913</v>
      </c>
      <c r="C79" s="124">
        <f ca="1">C72-C73</f>
        <v>30833</v>
      </c>
      <c r="D79" s="117" t="s">
        <v>41</v>
      </c>
      <c r="E79" s="1886"/>
      <c r="F79" s="1887"/>
      <c r="G79" s="1887"/>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1914</v>
      </c>
      <c r="C80" s="147">
        <f ca="1">IF(C79&lt;=0,0,C79/C73)</f>
        <v>165.76881720430109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1915</v>
      </c>
      <c r="C81" s="149">
        <f ca="1">ROUND(IF(C79&lt;=0,0,IF(C80&gt;=200%,C79*60%-C73*35%,IF(C80&gt;=100%,C79*50%-C73*15%,IF(C80&gt;=50%,C79*40%-C73*5%,IF(C80&lt;50%,C79*30%,0))))),0)</f>
        <v>18435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947" t="s">
        <v>1916</v>
      </c>
      <c r="B83" s="2948"/>
      <c r="C83" s="2948"/>
      <c r="D83" s="2948"/>
      <c r="E83" s="2948"/>
      <c r="F83" s="2948"/>
      <c r="G83" s="2948"/>
      <c r="H83" s="2948"/>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943" t="s">
        <v>1877</v>
      </c>
      <c r="B84" s="2944"/>
      <c r="C84" s="1883"/>
      <c r="D84" s="1883" t="s">
        <v>1878</v>
      </c>
      <c r="E84" s="130" t="s">
        <v>1879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1898</v>
      </c>
      <c r="C85" s="124">
        <f ca="1">ROUND(D45/(1+'数据-取费表'!F30),0)</f>
        <v>31019</v>
      </c>
      <c r="D85" s="117" t="s">
        <v>41</v>
      </c>
      <c r="E85" s="1886" t="s">
        <v>1899</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1900</v>
      </c>
      <c r="C86" s="124">
        <f ca="1">IF(H88="仅含出让金",C87+C90+C91+C92+C93+C94,C87+C91+C92+C93+C94)</f>
        <v>186</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1917</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1918</v>
      </c>
      <c r="C88" s="157"/>
      <c r="D88" s="145"/>
      <c r="E88" s="158" t="s">
        <v>1919</v>
      </c>
      <c r="F88" s="1880"/>
      <c r="G88" s="159" t="s">
        <v>1920</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1908</v>
      </c>
      <c r="C89" s="144">
        <f>ROUND(C88*D89,0)</f>
        <v>0</v>
      </c>
      <c r="D89" s="145">
        <f>'数据-取费表'!E36+'数据-取费表'!E37</f>
        <v>3.0499999999999999E-2</v>
      </c>
      <c r="E89" s="158" t="s">
        <v>1921</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1922</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1923</v>
      </c>
      <c r="C91" s="144">
        <f>IF(H91="——",成本法!C33,I91)</f>
        <v>0</v>
      </c>
      <c r="D91" s="145"/>
      <c r="E91" s="2915" t="s">
        <v>1924</v>
      </c>
      <c r="F91" s="2916"/>
      <c r="G91" s="2916"/>
      <c r="H91" s="2288" t="s">
        <v>1925</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1926</v>
      </c>
      <c r="C92" s="144">
        <f>ROUND((C87+C90+C91)*D92,0)</f>
        <v>0</v>
      </c>
      <c r="D92" s="145">
        <v>0.1</v>
      </c>
      <c r="E92" s="2915" t="s">
        <v>1927</v>
      </c>
      <c r="F92" s="2916"/>
      <c r="G92" s="2916"/>
      <c r="H92" s="2917"/>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1911</v>
      </c>
      <c r="C93" s="144">
        <f ca="1">ROUND(D45*D93/(1+'数据-取费表'!F30),0)</f>
        <v>186</v>
      </c>
      <c r="D93" s="145">
        <f>'数据-取费表'!E31</f>
        <v>6.000000000000001E-3</v>
      </c>
      <c r="E93" s="2915" t="s">
        <v>1912</v>
      </c>
      <c r="F93" s="2916"/>
      <c r="G93" s="2916"/>
      <c r="H93" s="2917"/>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1928</v>
      </c>
      <c r="C94" s="144">
        <f>ROUND((C87+C90+C91)*D94,0)</f>
        <v>0</v>
      </c>
      <c r="D94" s="145">
        <v>0.2</v>
      </c>
      <c r="E94" s="2915" t="s">
        <v>1929</v>
      </c>
      <c r="F94" s="2916"/>
      <c r="G94" s="2916"/>
      <c r="H94" s="2917"/>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1913</v>
      </c>
      <c r="C95" s="124">
        <f ca="1">ROUND(C85-C86,0)</f>
        <v>30833</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1914</v>
      </c>
      <c r="C96" s="147">
        <f ca="1">IF(C95&lt;=0,0,C95/C86)</f>
        <v>165.76881720430109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1915</v>
      </c>
      <c r="C97" s="149">
        <f ca="1">ROUND(IF(C95&lt;=0,0,IF(C96&gt;=200%,C95*60%-C86*35%,IF(C96&gt;=100%,C95*50%-C86*15%,IF(C96&gt;=50%,C95*40%-C86*5%,IF(C96&lt;50%,C95*30%,0))))),0)</f>
        <v>18435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1930</v>
      </c>
      <c r="B98" s="2195"/>
      <c r="C98" s="2195"/>
      <c r="D98" s="2195"/>
      <c r="E98" s="1021"/>
      <c r="F98" s="1021"/>
      <c r="G98" s="1021"/>
      <c r="H98" s="2248"/>
      <c r="I98" s="2195"/>
    </row>
    <row r="99" spans="1:35" ht="15.75">
      <c r="A99" s="2970" t="s">
        <v>1931</v>
      </c>
      <c r="B99" s="2971"/>
      <c r="C99" s="2971"/>
      <c r="D99" s="2972"/>
      <c r="E99" s="2195"/>
      <c r="F99" s="2981" t="s">
        <v>1932</v>
      </c>
      <c r="G99" s="2982"/>
      <c r="H99" s="2982"/>
      <c r="I99" s="2983"/>
    </row>
    <row r="100" spans="1:35" ht="15.75">
      <c r="A100" s="2984" t="s">
        <v>1933</v>
      </c>
      <c r="B100" s="2985"/>
      <c r="C100" s="720" t="str">
        <f>C4</f>
        <v>成本法</v>
      </c>
      <c r="D100" s="721" t="str">
        <f>D4</f>
        <v>收益法</v>
      </c>
      <c r="E100" s="2195"/>
      <c r="F100" s="2880" t="s">
        <v>1934</v>
      </c>
      <c r="G100" s="2881"/>
      <c r="H100" s="2880" t="s">
        <v>1935</v>
      </c>
      <c r="I100" s="2879"/>
    </row>
    <row r="101" spans="1:35" ht="15.75">
      <c r="A101" s="2962" t="s">
        <v>1936</v>
      </c>
      <c r="B101" s="2290" t="str">
        <f>IF(H19="元","总价（元）","总价（万元）")</f>
        <v>总价（元）</v>
      </c>
      <c r="C101" s="720">
        <f ca="1">C19</f>
        <v>47439</v>
      </c>
      <c r="D101" s="721">
        <f ca="1">D19</f>
        <v>26197</v>
      </c>
      <c r="E101" s="2195"/>
      <c r="F101" s="2880" t="str">
        <f>项目基本情况!I1</f>
        <v>北京市房地产</v>
      </c>
      <c r="G101" s="2881"/>
      <c r="H101" s="2878">
        <f>项目基本情况!C12</f>
        <v>1</v>
      </c>
      <c r="I101" s="2879"/>
    </row>
    <row r="102" spans="1:35" ht="15.75">
      <c r="A102" s="2962"/>
      <c r="B102" s="2290" t="s">
        <v>1937</v>
      </c>
      <c r="C102" s="722">
        <f ca="1">C20</f>
        <v>47439</v>
      </c>
      <c r="D102" s="723">
        <f ca="1">D20</f>
        <v>26197</v>
      </c>
      <c r="E102" s="2195"/>
      <c r="F102" s="2907" t="s">
        <v>1938</v>
      </c>
      <c r="G102" s="2908"/>
      <c r="H102" s="2291" t="str">
        <f>C106</f>
        <v>总价（元）</v>
      </c>
      <c r="I102" s="1861">
        <f ca="1">H121</f>
        <v>32570</v>
      </c>
    </row>
    <row r="103" spans="1:35" ht="15">
      <c r="A103" s="2962" t="s">
        <v>1939</v>
      </c>
      <c r="B103" s="2292" t="str">
        <f>B101</f>
        <v>总价（元）</v>
      </c>
      <c r="C103" s="724">
        <f ca="1">H121</f>
        <v>32570</v>
      </c>
      <c r="D103" s="725"/>
      <c r="E103" s="2195"/>
      <c r="F103" s="2907"/>
      <c r="G103" s="2908"/>
      <c r="H103" s="2291" t="s">
        <v>1937</v>
      </c>
      <c r="I103" s="1049">
        <f ca="1">I121</f>
        <v>32570</v>
      </c>
    </row>
    <row r="104" spans="1:35" ht="16.5" thickBot="1">
      <c r="A104" s="2963"/>
      <c r="B104" s="2293" t="s">
        <v>1937</v>
      </c>
      <c r="C104" s="726">
        <f ca="1">I121</f>
        <v>32570</v>
      </c>
      <c r="D104" s="727"/>
      <c r="E104" s="2195"/>
      <c r="F104" s="2979"/>
      <c r="G104" s="2980"/>
      <c r="H104" s="2964"/>
      <c r="I104" s="2965"/>
    </row>
    <row r="105" spans="1:35" ht="15.75">
      <c r="A105" s="2970" t="s">
        <v>1940</v>
      </c>
      <c r="B105" s="2971"/>
      <c r="C105" s="2971"/>
      <c r="D105" s="2972"/>
      <c r="E105" s="2195"/>
      <c r="F105" s="2968" t="s">
        <v>1941</v>
      </c>
      <c r="G105" s="2969"/>
      <c r="H105" s="2294" t="str">
        <f>C108</f>
        <v>总额（元）</v>
      </c>
      <c r="I105" s="1861">
        <f>SUMIF(I106:I108,"&lt;9E307")</f>
        <v>0</v>
      </c>
    </row>
    <row r="106" spans="1:35" ht="15">
      <c r="A106" s="2894" t="s">
        <v>1942</v>
      </c>
      <c r="B106" s="2895"/>
      <c r="C106" s="2291" t="str">
        <f>B101</f>
        <v>总价（元）</v>
      </c>
      <c r="D106" s="1050">
        <f ca="1">H121</f>
        <v>32570</v>
      </c>
      <c r="E106" s="2195"/>
      <c r="F106" s="2896" t="s">
        <v>1943</v>
      </c>
      <c r="G106" s="2897"/>
      <c r="H106" s="2294" t="str">
        <f>C109</f>
        <v>总额（元）</v>
      </c>
      <c r="I106" s="1049">
        <f>IF(D36="同一抵押权人同一抵押物续贷",C36&amp;"（未扣减，详见特别提示）",C36)</f>
        <v>0</v>
      </c>
      <c r="K106" s="2205" t="str">
        <f>IF(D123=0,"本次评估不存在"&amp;A123&amp;"。","本次评估"&amp;A123&amp;"为"&amp;D123&amp;"元人民币。")</f>
        <v>本次评估不存在——。</v>
      </c>
    </row>
    <row r="107" spans="1:35" ht="15">
      <c r="A107" s="2894"/>
      <c r="B107" s="2895"/>
      <c r="C107" s="2291" t="s">
        <v>1937</v>
      </c>
      <c r="D107" s="1051">
        <f ca="1">I121</f>
        <v>32570</v>
      </c>
      <c r="E107" s="2195"/>
      <c r="F107" s="2896" t="s">
        <v>1944</v>
      </c>
      <c r="G107" s="2897"/>
      <c r="H107" s="2294" t="str">
        <f>C110</f>
        <v>总额（元）</v>
      </c>
      <c r="I107" s="1049">
        <f>C37</f>
        <v>0</v>
      </c>
      <c r="K107" s="2295"/>
    </row>
    <row r="108" spans="1:35" ht="15">
      <c r="A108" s="2901" t="s">
        <v>1945</v>
      </c>
      <c r="B108" s="2902"/>
      <c r="C108" s="2294" t="str">
        <f>IF(H19="元","总额（元）","总额（万元）")</f>
        <v>总额（元）</v>
      </c>
      <c r="D108" s="1050">
        <f>IF(D36="正常操作",I106+I107+I108,I107+I108)</f>
        <v>0</v>
      </c>
      <c r="E108" s="2195"/>
      <c r="F108" s="2896" t="s">
        <v>1946</v>
      </c>
      <c r="G108" s="2897"/>
      <c r="H108" s="2294" t="str">
        <f>C111</f>
        <v>总额（元）</v>
      </c>
      <c r="I108" s="1049">
        <f>C38</f>
        <v>0</v>
      </c>
    </row>
    <row r="109" spans="1:35" ht="15.75">
      <c r="A109" s="2896" t="s">
        <v>1943</v>
      </c>
      <c r="B109" s="2897"/>
      <c r="C109" s="2294" t="str">
        <f>C108</f>
        <v>总额（元）</v>
      </c>
      <c r="D109" s="637">
        <f>IF(D36="同一抵押权人同一抵押物续贷",C36&amp;"（未扣减，详见特别提示）",C36)</f>
        <v>0</v>
      </c>
      <c r="E109" s="2195"/>
      <c r="F109" s="2979"/>
      <c r="G109" s="2980"/>
      <c r="H109" s="2966"/>
      <c r="I109" s="2967"/>
    </row>
    <row r="110" spans="1:35" ht="28.5" customHeight="1">
      <c r="A110" s="2896" t="s">
        <v>1944</v>
      </c>
      <c r="B110" s="2897"/>
      <c r="C110" s="2294" t="str">
        <f>C108</f>
        <v>总额（元）</v>
      </c>
      <c r="D110" s="637">
        <f>C37</f>
        <v>0</v>
      </c>
      <c r="E110" s="2195"/>
      <c r="F110" s="2882" t="str">
        <f>IF(项目基本情况!F5="已注销","——","3.房地产抵押价值")</f>
        <v>3.房地产抵押价值</v>
      </c>
      <c r="G110" s="2883"/>
      <c r="H110" s="2296" t="str">
        <f>C112</f>
        <v>总价（元）</v>
      </c>
      <c r="I110" s="1862">
        <f ca="1">IF(F110="——","——",I102-I105)</f>
        <v>32570</v>
      </c>
    </row>
    <row r="111" spans="1:35" ht="15">
      <c r="A111" s="2896" t="s">
        <v>1946</v>
      </c>
      <c r="B111" s="2897"/>
      <c r="C111" s="2294" t="str">
        <f>C108</f>
        <v>总额（元）</v>
      </c>
      <c r="D111" s="637">
        <f>C38</f>
        <v>0</v>
      </c>
      <c r="E111" s="2195"/>
      <c r="F111" s="2998"/>
      <c r="G111" s="2999"/>
      <c r="H111" s="2291" t="s">
        <v>1937</v>
      </c>
      <c r="I111" s="2297">
        <f ca="1">D113</f>
        <v>32570</v>
      </c>
    </row>
    <row r="112" spans="1:35" ht="26.25" customHeight="1">
      <c r="A112" s="2894" t="str">
        <f>IF(项目基本情况!F5="已注销","——","3.房地产抵押价值")</f>
        <v>3.房地产抵押价值</v>
      </c>
      <c r="B112" s="2895"/>
      <c r="C112" s="2291" t="str">
        <f>B101</f>
        <v>总价（元）</v>
      </c>
      <c r="D112" s="1050">
        <f ca="1">IF(A112="——","——",D106-D108)</f>
        <v>32570</v>
      </c>
      <c r="E112" s="2195"/>
      <c r="F112" s="2882" t="str">
        <f>IF(项目基本情况!F5="已注销及未注销","4.抵押担保权已注销时的房地产抵押价值",IF(项目基本情况!F5="已注销","3.抵押担保权已注销时的房地产抵押价值","——"))</f>
        <v>——</v>
      </c>
      <c r="G112" s="2883"/>
      <c r="H112" s="2296" t="str">
        <f>C114</f>
        <v>总价（元）</v>
      </c>
      <c r="I112" s="1862" t="str">
        <f>IF(F112="——","——",I102-I107-I108)</f>
        <v>——</v>
      </c>
    </row>
    <row r="113" spans="1:15" ht="15">
      <c r="A113" s="2894"/>
      <c r="B113" s="2895"/>
      <c r="C113" s="2291" t="s">
        <v>1937</v>
      </c>
      <c r="D113" s="1051">
        <f ca="1">ROUND(IF(D112=D106,D107,IF(H19="元",D112/项目基本情况!C12,D112*10000/项目基本情况!C12)),0)</f>
        <v>32570</v>
      </c>
      <c r="E113" s="2195"/>
      <c r="F113" s="2998"/>
      <c r="G113" s="2999"/>
      <c r="H113" s="2291" t="s">
        <v>1937</v>
      </c>
      <c r="I113" s="2298" t="str">
        <f>D115</f>
        <v>——</v>
      </c>
    </row>
    <row r="114" spans="1:15" ht="15.75">
      <c r="A114" s="2894" t="str">
        <f>IF(项目基本情况!F5="已注销及未注销","4.抵押担保权已注销时的房地产抵押价值",IF(项目基本情况!F5="已注销","3.抵押担保权已注销时的房地产抵押价值","——"))</f>
        <v>——</v>
      </c>
      <c r="B114" s="2895"/>
      <c r="C114" s="2291" t="str">
        <f>B101</f>
        <v>总价（元）</v>
      </c>
      <c r="D114" s="1050" t="str">
        <f>IF(A114="——","——",D106-D110-D111)</f>
        <v>——</v>
      </c>
      <c r="E114" s="2195"/>
      <c r="F114" s="2882" t="str">
        <f>IF(项目基本情况!G5="抵押净值",IF(OR(项目基本情况!F5="已注销",项目基本情况!F5="房地产抵押价值"),"4.抵押净值","5.抵押净值"),"——")</f>
        <v>——</v>
      </c>
      <c r="G114" s="2883"/>
      <c r="H114" s="2291" t="str">
        <f>C116</f>
        <v>总价（元）</v>
      </c>
      <c r="I114" s="1861" t="str">
        <f>IF(F114="——","——",N59)</f>
        <v>——</v>
      </c>
    </row>
    <row r="115" spans="1:15" ht="15.75" thickBot="1">
      <c r="A115" s="2894"/>
      <c r="B115" s="2895"/>
      <c r="C115" s="2291" t="s">
        <v>1937</v>
      </c>
      <c r="D115" s="1051" t="str">
        <f>IF(A114="——","——",ROUND(IF(D114=D106,D107,IF(H19="元",D114/项目基本情况!C12,D114*10000/项目基本情况!C12)),0))</f>
        <v>——</v>
      </c>
      <c r="E115" s="2195"/>
      <c r="F115" s="2884"/>
      <c r="G115" s="2885"/>
      <c r="H115" s="2299" t="s">
        <v>1937</v>
      </c>
      <c r="I115" s="1863" t="str">
        <f ca="1">D117</f>
        <v>——</v>
      </c>
    </row>
    <row r="116" spans="1:15" ht="15.75">
      <c r="A116" s="2894" t="str">
        <f>IF(项目基本情况!G5="抵押净值",IF(OR(项目基本情况!F5="已注销",项目基本情况!F5="房地产抵押价值"),"4.抵押净值","5.抵押净值"),"——")</f>
        <v>——</v>
      </c>
      <c r="B116" s="2895"/>
      <c r="C116" s="2291" t="str">
        <f>B101</f>
        <v>总价（元）</v>
      </c>
      <c r="D116" s="1050" t="str">
        <f>IF(A116="——","——",N59)</f>
        <v>——</v>
      </c>
      <c r="E116" s="2195"/>
      <c r="F116" s="2994"/>
      <c r="G116" s="2994"/>
      <c r="H116" s="2950"/>
      <c r="I116" s="2950"/>
      <c r="N116" s="55"/>
      <c r="O116" s="55"/>
    </row>
    <row r="117" spans="1:15" ht="15.75" thickBot="1">
      <c r="A117" s="2899"/>
      <c r="B117" s="2900"/>
      <c r="C117" s="2299" t="s">
        <v>1937</v>
      </c>
      <c r="D117" s="1052" t="str">
        <f ca="1">IF(D116=D112,D113,IF(A116="——","——",N61))</f>
        <v>——</v>
      </c>
      <c r="E117" s="2195"/>
      <c r="F117" s="2874" t="str">
        <f>IF(B32="总价","（以上估价结果中单价为总价除以建筑面积得出）","（以上估价结果中总价为楼面单价乘以建筑面积得出）")</f>
        <v>（以上估价结果中总价为楼面单价乘以建筑面积得出）</v>
      </c>
      <c r="G117" s="2874"/>
      <c r="H117" s="2874"/>
      <c r="I117" s="2874"/>
      <c r="N117" s="55"/>
      <c r="O117" s="55"/>
    </row>
    <row r="118" spans="1:15" ht="15">
      <c r="A118" s="2951" t="s">
        <v>1947</v>
      </c>
      <c r="B118" s="2952"/>
      <c r="C118" s="2952"/>
      <c r="D118" s="2952"/>
      <c r="E118" s="2952"/>
      <c r="F118" s="2952"/>
      <c r="G118" s="2952"/>
      <c r="H118" s="2952"/>
      <c r="I118" s="2952"/>
    </row>
    <row r="119" spans="1:15" ht="14.25">
      <c r="A119" s="2875" t="s">
        <v>1948</v>
      </c>
      <c r="B119" s="2905" t="s">
        <v>1949</v>
      </c>
      <c r="C119" s="2905" t="s">
        <v>1950</v>
      </c>
      <c r="D119" s="2977" t="s">
        <v>1951</v>
      </c>
      <c r="E119" s="2978"/>
      <c r="F119" s="2876" t="s">
        <v>1809</v>
      </c>
      <c r="G119" s="2876"/>
      <c r="H119" s="2876" t="s">
        <v>1952</v>
      </c>
      <c r="I119" s="2976"/>
    </row>
    <row r="120" spans="1:15" ht="14.25">
      <c r="A120" s="2875"/>
      <c r="B120" s="2906"/>
      <c r="C120" s="2906"/>
      <c r="D120" s="1885" t="s">
        <v>1953</v>
      </c>
      <c r="E120" s="1885" t="s">
        <v>1954</v>
      </c>
      <c r="F120" s="1885" t="s">
        <v>1953</v>
      </c>
      <c r="G120" s="1885" t="s">
        <v>1955</v>
      </c>
      <c r="H120" s="1885" t="s">
        <v>1953</v>
      </c>
      <c r="I120" s="637" t="s">
        <v>1955</v>
      </c>
    </row>
    <row r="121" spans="1:15" ht="14.25">
      <c r="A121" s="2181" t="str">
        <f>项目基本情况!I1</f>
        <v>北京市房地产</v>
      </c>
      <c r="B121" s="1885">
        <f>项目基本情况!C12</f>
        <v>1</v>
      </c>
      <c r="C121" s="1885">
        <f>项目基本情况!C13</f>
        <v>0</v>
      </c>
      <c r="D121" s="1885">
        <f ca="1">ROUND(IF(B32="总价",C34,IF('数据-取费表'!B3="万元",E121*B121/10000,E121*B121)),0)</f>
        <v>28499</v>
      </c>
      <c r="E121" s="1885">
        <f ca="1">ROUND(IF(B32="楼面单价",C34,IF(H19="元",D121/B121,D121*10000/B121)),0)</f>
        <v>28499</v>
      </c>
      <c r="F121" s="1885">
        <f ca="1">ROUND(IF(B32="总价",C35,IF('数据-取费表'!B3="万元",G121*B121/10000,G121*B121)),0)</f>
        <v>4071</v>
      </c>
      <c r="G121" s="1885">
        <f ca="1">ROUND(IF(B32="楼面单价",C35,IF(H19="元",F121/B121,F121*10000/B121)),0)</f>
        <v>4071</v>
      </c>
      <c r="H121" s="1885">
        <f ca="1">ROUND(IF(B32="总价",C32,IF('数据-取费表'!B3="万元",I121*B121/10000,I121*B121)),0)</f>
        <v>32570</v>
      </c>
      <c r="I121" s="637">
        <f ca="1">ROUND(IF(B32="楼面单价",C32,IF(H19="元",H121/B121,H121*10000/B121)),0)</f>
        <v>32570</v>
      </c>
    </row>
    <row r="122" spans="1:15" ht="14.25">
      <c r="A122" s="2875" t="s">
        <v>1956</v>
      </c>
      <c r="B122" s="2876"/>
      <c r="C122" s="2876"/>
      <c r="D122" s="2909" t="str">
        <f ca="1">IF(H19="元",NUMBERSTRING(INT(D121),2)&amp;"元整",NUMBERSTRING(INT(D121*10000),2)&amp;"元整")</f>
        <v>贰万捌仟肆佰玖拾玖元整</v>
      </c>
      <c r="E122" s="2956"/>
      <c r="F122" s="2909" t="str">
        <f ca="1">IF(H19="元",NUMBERSTRING(INT(F121),2)&amp;"元整",NUMBERSTRING(INT(F121*10000),2)&amp;"元整")</f>
        <v>肆仟零柒拾壹元整</v>
      </c>
      <c r="G122" s="2956"/>
      <c r="H122" s="2909" t="str">
        <f ca="1">IF(H19="元",NUMBERSTRING(INT(H121),2)&amp;"元整",NUMBERSTRING(INT(H121*10000),2)&amp;"元整")</f>
        <v>叁万贰仟伍佰柒拾元整</v>
      </c>
      <c r="I122" s="2910"/>
    </row>
    <row r="123" spans="1:15" ht="15">
      <c r="A123" s="2957" t="str">
        <f>IF(项目基本情况!D5="房地产市场价值","——",MID(A108,3,LEN(A108)-2))</f>
        <v>——</v>
      </c>
      <c r="B123" s="2887"/>
      <c r="C123" s="2958"/>
      <c r="D123" s="2886">
        <f>I105</f>
        <v>0</v>
      </c>
      <c r="E123" s="2887"/>
      <c r="F123" s="2887"/>
      <c r="G123" s="2887"/>
      <c r="H123" s="2887"/>
      <c r="I123" s="2888"/>
    </row>
    <row r="124" spans="1:15" ht="14.25">
      <c r="A124" s="2959" t="s">
        <v>1956</v>
      </c>
      <c r="B124" s="2960"/>
      <c r="C124" s="2961"/>
      <c r="D124" s="2889">
        <f>H109</f>
        <v>0</v>
      </c>
      <c r="E124" s="2890"/>
      <c r="F124" s="2890"/>
      <c r="G124" s="2890"/>
      <c r="H124" s="2890"/>
      <c r="I124" s="2891"/>
    </row>
    <row r="125" spans="1:15" ht="15">
      <c r="A125" s="2892" t="str">
        <f>IF(项目基本情况!D5="房地产市场价值","——",MID(A112,3,LEN(A112)-2))</f>
        <v>——</v>
      </c>
      <c r="B125" s="2893"/>
      <c r="C125" s="2893"/>
      <c r="D125" s="2886">
        <f ca="1">I110</f>
        <v>32570</v>
      </c>
      <c r="E125" s="2887"/>
      <c r="F125" s="2887"/>
      <c r="G125" s="2887"/>
      <c r="H125" s="2887"/>
      <c r="I125" s="2888"/>
    </row>
    <row r="126" spans="1:15" ht="14.25">
      <c r="A126" s="2875" t="s">
        <v>1956</v>
      </c>
      <c r="B126" s="2876"/>
      <c r="C126" s="2876"/>
      <c r="D126" s="2889">
        <f ca="1">I111</f>
        <v>32570</v>
      </c>
      <c r="E126" s="2890"/>
      <c r="F126" s="2890"/>
      <c r="G126" s="2890"/>
      <c r="H126" s="2890"/>
      <c r="I126" s="2891"/>
    </row>
    <row r="127" spans="1:15" ht="15.75" thickBot="1">
      <c r="A127" s="2892" t="str">
        <f>IF(项目基本情况!D5="房地产市场价值","——",MID(A114,3,LEN(A114)-2))</f>
        <v>——</v>
      </c>
      <c r="B127" s="2893"/>
      <c r="C127" s="2893"/>
      <c r="D127" s="2991" t="str">
        <f>I112</f>
        <v>——</v>
      </c>
      <c r="E127" s="2992"/>
      <c r="F127" s="2992"/>
      <c r="G127" s="2992"/>
      <c r="H127" s="2992"/>
      <c r="I127" s="2993"/>
    </row>
    <row r="128" spans="1:15" ht="15.75" thickTop="1" thickBot="1">
      <c r="A128" s="2875" t="s">
        <v>1956</v>
      </c>
      <c r="B128" s="2876"/>
      <c r="C128" s="2877"/>
      <c r="D128" s="2949" t="str">
        <f>I113</f>
        <v>——</v>
      </c>
      <c r="E128" s="2949"/>
      <c r="F128" s="2949"/>
      <c r="G128" s="2949"/>
      <c r="H128" s="2949"/>
      <c r="I128" s="2949"/>
    </row>
    <row r="129" spans="1:9" ht="16.5" thickTop="1" thickBot="1">
      <c r="A129" s="2892" t="str">
        <f>IF(项目基本情况!D5="房地产市场价值","——",MID(F114,3,LEN(F114)-2))</f>
        <v>——</v>
      </c>
      <c r="B129" s="2893"/>
      <c r="C129" s="2886"/>
      <c r="D129" s="2898" t="str">
        <f>I114</f>
        <v>——</v>
      </c>
      <c r="E129" s="2898"/>
      <c r="F129" s="2898"/>
      <c r="G129" s="2898"/>
      <c r="H129" s="2898"/>
      <c r="I129" s="2898"/>
    </row>
    <row r="130" spans="1:9" ht="15.75" thickTop="1" thickBot="1">
      <c r="A130" s="2903" t="s">
        <v>1956</v>
      </c>
      <c r="B130" s="2904"/>
      <c r="C130" s="2904"/>
      <c r="D130" s="2911">
        <f>H116</f>
        <v>0</v>
      </c>
      <c r="E130" s="2912"/>
      <c r="F130" s="2912"/>
      <c r="G130" s="2912"/>
      <c r="H130" s="2912"/>
      <c r="I130" s="2913"/>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73" t="str">
        <f>IF(B32="总价","（以上估价结果中楼面单价为总价除以建筑面积得出）","（以上估价结果中总价为楼面单价乘以建筑面积得出）")</f>
        <v>（以上估价结果中总价为楼面单价乘以建筑面积得出）</v>
      </c>
      <c r="B132" s="2873"/>
      <c r="C132" s="2873"/>
      <c r="D132" s="2873"/>
      <c r="E132" s="2873"/>
      <c r="F132" s="2873"/>
      <c r="G132" s="2873"/>
      <c r="H132" s="2873"/>
      <c r="I132" s="2873"/>
    </row>
    <row r="133" spans="1:9" ht="21.75" customHeight="1">
      <c r="A133" s="2300" t="s">
        <v>1957</v>
      </c>
      <c r="B133" s="2301"/>
      <c r="C133" s="2302" t="s">
        <v>1958</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1959</v>
      </c>
      <c r="G139" s="2314"/>
      <c r="H139" s="2314"/>
      <c r="I139" s="2315" t="s">
        <v>1960</v>
      </c>
    </row>
    <row r="140" spans="1:9" ht="21.75" customHeight="1">
      <c r="A140" s="798"/>
      <c r="B140" s="2316"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1962</v>
      </c>
    </row>
    <row r="143" spans="1:9" ht="21.75" customHeight="1">
      <c r="A143" s="798"/>
      <c r="B143" s="2316" t="s">
        <v>1963</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1962</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1964</v>
      </c>
      <c r="B1" s="2195"/>
      <c r="C1" s="2195"/>
      <c r="D1" s="2195"/>
      <c r="E1" s="2195"/>
      <c r="F1" s="2195"/>
      <c r="G1" s="2195"/>
      <c r="H1" s="2195"/>
      <c r="I1" s="2195"/>
    </row>
    <row r="2" spans="1:12" ht="21.75" customHeight="1">
      <c r="A2" s="3010" t="s">
        <v>1965</v>
      </c>
      <c r="B2" s="3010"/>
      <c r="C2" s="3010"/>
      <c r="D2" s="3010"/>
      <c r="E2" s="3010"/>
      <c r="F2" s="3010"/>
      <c r="G2" s="3010"/>
      <c r="H2" s="3010"/>
      <c r="I2" s="3010"/>
    </row>
    <row r="3" spans="1:12" ht="12.75">
      <c r="A3" s="2940" t="s">
        <v>1769</v>
      </c>
      <c r="B3" s="2941"/>
      <c r="C3" s="2941"/>
      <c r="D3" s="2941"/>
      <c r="E3" s="2941"/>
      <c r="F3" s="2941"/>
      <c r="G3" s="2941"/>
      <c r="H3" s="2941"/>
      <c r="I3" s="2941"/>
    </row>
    <row r="4" spans="1:12" ht="14.25">
      <c r="A4" s="2197" t="s">
        <v>1770</v>
      </c>
      <c r="B4" s="2198" t="s">
        <v>1771</v>
      </c>
      <c r="C4" s="2199"/>
      <c r="D4" s="2199"/>
      <c r="E4" s="2921" t="s">
        <v>1966</v>
      </c>
      <c r="F4" s="2922"/>
      <c r="G4" s="2922"/>
      <c r="H4" s="2922"/>
      <c r="I4" s="2932"/>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4" t="s">
        <v>1773</v>
      </c>
      <c r="B5" s="2876">
        <v>25</v>
      </c>
      <c r="C5" s="2925"/>
      <c r="D5" s="2939"/>
      <c r="E5" s="56" t="s">
        <v>1774</v>
      </c>
      <c r="F5" s="2200"/>
      <c r="G5" s="2200"/>
      <c r="H5" s="2200"/>
      <c r="I5" s="2201"/>
    </row>
    <row r="6" spans="1:12" ht="12.75">
      <c r="A6" s="2914"/>
      <c r="B6" s="2876"/>
      <c r="C6" s="2942"/>
      <c r="D6" s="2939"/>
      <c r="E6" s="56" t="s">
        <v>1775</v>
      </c>
      <c r="F6" s="2200"/>
      <c r="G6" s="2200"/>
      <c r="H6" s="2200"/>
      <c r="I6" s="2201"/>
    </row>
    <row r="7" spans="1:12" ht="12.75">
      <c r="A7" s="2914"/>
      <c r="B7" s="2876"/>
      <c r="C7" s="2926"/>
      <c r="D7" s="2939"/>
      <c r="E7" s="56" t="s">
        <v>1776</v>
      </c>
      <c r="F7" s="2200"/>
      <c r="G7" s="2200"/>
      <c r="H7" s="2200"/>
      <c r="I7" s="2201"/>
    </row>
    <row r="8" spans="1:12" ht="12.75">
      <c r="A8" s="2914" t="s">
        <v>1777</v>
      </c>
      <c r="B8" s="2876">
        <v>15</v>
      </c>
      <c r="C8" s="2925"/>
      <c r="D8" s="2939"/>
      <c r="E8" s="56" t="s">
        <v>1778</v>
      </c>
      <c r="F8" s="2200"/>
      <c r="G8" s="2200"/>
      <c r="H8" s="2200"/>
      <c r="I8" s="2201"/>
    </row>
    <row r="9" spans="1:12" ht="12.75">
      <c r="A9" s="2914"/>
      <c r="B9" s="2876"/>
      <c r="C9" s="2926"/>
      <c r="D9" s="2939"/>
      <c r="E9" s="56" t="s">
        <v>1779</v>
      </c>
      <c r="F9" s="2200"/>
      <c r="G9" s="2200"/>
      <c r="H9" s="2200"/>
      <c r="I9" s="2201"/>
    </row>
    <row r="10" spans="1:12" ht="12.75">
      <c r="A10" s="2914" t="s">
        <v>1780</v>
      </c>
      <c r="B10" s="2876">
        <v>15</v>
      </c>
      <c r="C10" s="2925"/>
      <c r="D10" s="2939"/>
      <c r="E10" s="56" t="s">
        <v>1781</v>
      </c>
      <c r="F10" s="2200"/>
      <c r="G10" s="2200"/>
      <c r="H10" s="2200"/>
      <c r="I10" s="2201"/>
    </row>
    <row r="11" spans="1:12" ht="12.75">
      <c r="A11" s="2914"/>
      <c r="B11" s="2876"/>
      <c r="C11" s="2926"/>
      <c r="D11" s="2939"/>
      <c r="E11" s="56" t="s">
        <v>1782</v>
      </c>
      <c r="F11" s="2200"/>
      <c r="G11" s="2200"/>
      <c r="H11" s="2200"/>
      <c r="I11" s="2201"/>
    </row>
    <row r="12" spans="1:12" ht="12.75">
      <c r="A12" s="2914" t="s">
        <v>1783</v>
      </c>
      <c r="B12" s="2876">
        <v>15</v>
      </c>
      <c r="C12" s="2925"/>
      <c r="D12" s="2939"/>
      <c r="E12" s="56" t="s">
        <v>1784</v>
      </c>
      <c r="F12" s="2200"/>
      <c r="G12" s="2200"/>
      <c r="H12" s="2200"/>
      <c r="I12" s="2201"/>
    </row>
    <row r="13" spans="1:12" ht="12.75">
      <c r="A13" s="2914"/>
      <c r="B13" s="2876"/>
      <c r="C13" s="2926"/>
      <c r="D13" s="2939"/>
      <c r="E13" s="56" t="s">
        <v>1785</v>
      </c>
      <c r="F13" s="2200"/>
      <c r="G13" s="2200"/>
      <c r="H13" s="2200"/>
      <c r="I13" s="2201"/>
    </row>
    <row r="14" spans="1:12" ht="12.75">
      <c r="A14" s="2914" t="s">
        <v>1786</v>
      </c>
      <c r="B14" s="2876">
        <v>30</v>
      </c>
      <c r="C14" s="2925"/>
      <c r="D14" s="2939"/>
      <c r="E14" s="56" t="s">
        <v>1787</v>
      </c>
      <c r="F14" s="2200"/>
      <c r="G14" s="2200"/>
      <c r="H14" s="2200"/>
      <c r="I14" s="2201"/>
    </row>
    <row r="15" spans="1:12" ht="12.75">
      <c r="A15" s="2914"/>
      <c r="B15" s="2876"/>
      <c r="C15" s="2942"/>
      <c r="D15" s="2939"/>
      <c r="E15" s="56" t="s">
        <v>1788</v>
      </c>
      <c r="F15" s="2200"/>
      <c r="G15" s="2200"/>
      <c r="H15" s="2200"/>
      <c r="I15" s="2201"/>
    </row>
    <row r="16" spans="1:12" ht="12.75">
      <c r="A16" s="2914"/>
      <c r="B16" s="2876"/>
      <c r="C16" s="2926"/>
      <c r="D16" s="2939"/>
      <c r="E16" s="56" t="s">
        <v>1789</v>
      </c>
      <c r="F16" s="2200"/>
      <c r="G16" s="2200"/>
      <c r="H16" s="2200"/>
      <c r="I16" s="2201"/>
    </row>
    <row r="17" spans="1:35" ht="15">
      <c r="A17" s="2202" t="s">
        <v>1790</v>
      </c>
      <c r="B17" s="2203"/>
      <c r="C17" s="57">
        <f>SUM(C5:C16)</f>
        <v>0</v>
      </c>
      <c r="D17" s="57">
        <f>SUM(D5:D16)</f>
        <v>0</v>
      </c>
      <c r="E17" s="2195"/>
      <c r="F17" s="2195"/>
      <c r="G17" s="2195"/>
      <c r="H17" s="2195"/>
      <c r="I17" s="2195"/>
    </row>
    <row r="18" spans="1:35" ht="15.75" thickBot="1">
      <c r="A18" s="2204" t="s">
        <v>1791</v>
      </c>
      <c r="B18" s="2205"/>
      <c r="C18" s="58" t="e">
        <f>ROUND(C17/SUM(C17:D17),2)</f>
        <v>#DIV/0!</v>
      </c>
      <c r="D18" s="58" t="e">
        <f>1-C18</f>
        <v>#DIV/0!</v>
      </c>
      <c r="E18" s="2195"/>
      <c r="F18" s="2195"/>
      <c r="G18" s="2195"/>
      <c r="H18" s="2195"/>
      <c r="I18" s="2195"/>
    </row>
    <row r="19" spans="1:35" ht="15">
      <c r="A19" s="2206" t="s">
        <v>1792</v>
      </c>
      <c r="B19" s="2207" t="s">
        <v>1793</v>
      </c>
      <c r="C19" s="59" t="e">
        <f ca="1">SUMIF(INDIRECT("'"&amp;C4&amp;"'"&amp;"!A:A"),'结果表 (1修多)'!B19,INDIRECT("'"&amp;C4&amp;"'"&amp;"!B:B"))</f>
        <v>#REF!</v>
      </c>
      <c r="D19" s="60" t="e">
        <f ca="1">SUMIF(INDIRECT("'"&amp;D4&amp;"'"&amp;"!A:A"),'结果表 (1修多)'!B19,INDIRECT("'"&amp;D4&amp;"'"&amp;"!B:B"))</f>
        <v>#REF!</v>
      </c>
      <c r="E19" s="2206" t="s">
        <v>1794</v>
      </c>
      <c r="F19" s="2207" t="s">
        <v>1793</v>
      </c>
      <c r="G19" s="61" t="e">
        <f ca="1">ROUND(C19*$C$18+D19*$D$18,0)</f>
        <v>#REF!</v>
      </c>
      <c r="H19" s="2208" t="str">
        <f>'数据-取费表'!B3</f>
        <v>元</v>
      </c>
      <c r="I19" s="2195"/>
    </row>
    <row r="20" spans="1:35" ht="15">
      <c r="A20" s="2209"/>
      <c r="B20" s="2210" t="s">
        <v>1795</v>
      </c>
      <c r="C20" s="62" t="e">
        <f ca="1">SUMIF(INDIRECT("'"&amp;C4&amp;"'"&amp;"!A:A"),'结果表 (1修多)'!B20,INDIRECT("'"&amp;C4&amp;"'"&amp;"!B:B"))</f>
        <v>#REF!</v>
      </c>
      <c r="D20" s="63" t="e">
        <f ca="1">SUMIF(INDIRECT("'"&amp;D4&amp;"'"&amp;"!A:A"),'结果表 (1修多)'!B20,INDIRECT("'"&amp;D4&amp;"'"&amp;"!B:B"))</f>
        <v>#REF!</v>
      </c>
      <c r="E20" s="2209"/>
      <c r="F20" s="2210" t="s">
        <v>1795</v>
      </c>
      <c r="G20" s="64" t="e">
        <f ca="1">ROUND(C20*$C$18+D20*$D$18,0)</f>
        <v>#REF!</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45" t="s">
        <v>1798</v>
      </c>
      <c r="B24" s="2207" t="s">
        <v>1793</v>
      </c>
      <c r="C24" s="61">
        <f>D30</f>
        <v>0</v>
      </c>
      <c r="D24" s="993"/>
      <c r="E24" s="2195"/>
      <c r="F24" s="2195"/>
      <c r="G24" s="2195"/>
      <c r="H24" s="2195"/>
      <c r="I24" s="2195"/>
    </row>
    <row r="25" spans="1:35" ht="21.75" customHeight="1">
      <c r="A25" s="2946"/>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t="s">
        <v>1967</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1" t="s">
        <v>1968</v>
      </c>
      <c r="B30" s="2712"/>
      <c r="C30" s="2712"/>
      <c r="D30" s="2712"/>
      <c r="E30" s="2710" t="s">
        <v>2801</v>
      </c>
      <c r="F30" s="2195"/>
      <c r="G30" s="2195"/>
      <c r="H30" s="2195"/>
      <c r="I30" s="2195"/>
    </row>
    <row r="31" spans="1:35" s="2222" customFormat="1" ht="15.75" thickBot="1">
      <c r="A31" s="3001" t="s">
        <v>1969</v>
      </c>
      <c r="B31" s="3001"/>
      <c r="C31" s="3001"/>
      <c r="D31" s="3001"/>
      <c r="E31" s="3001"/>
      <c r="F31" s="3001"/>
      <c r="G31" s="3001"/>
      <c r="H31" s="3001"/>
      <c r="I31" s="300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20"/>
      <c r="B32" s="2321" t="s">
        <v>1970</v>
      </c>
      <c r="C32" s="1307">
        <f>典型户型修正!R27</f>
        <v>0</v>
      </c>
      <c r="D32" s="2195" t="s">
        <v>1971</v>
      </c>
      <c r="E32" s="2195"/>
      <c r="F32" s="2195"/>
      <c r="G32" s="2195"/>
      <c r="H32" s="2195"/>
      <c r="I32" s="2195"/>
    </row>
    <row r="33" spans="1:16" ht="15">
      <c r="A33" s="2322" t="s">
        <v>1972</v>
      </c>
      <c r="B33" s="2323" t="s">
        <v>1973</v>
      </c>
      <c r="C33" s="1308">
        <f>典型户型修正!B2</f>
        <v>0</v>
      </c>
      <c r="D33" s="2324" t="str">
        <f>IF('数据-取费表'!B3="万元","万元","元")</f>
        <v>元</v>
      </c>
      <c r="E33" s="2195"/>
      <c r="F33" s="2195"/>
      <c r="G33" s="2195"/>
      <c r="H33" s="2195"/>
      <c r="I33" s="2195"/>
    </row>
    <row r="34" spans="1:16" ht="15.75" thickBot="1">
      <c r="A34" s="2325"/>
      <c r="B34" s="2326" t="s">
        <v>1974</v>
      </c>
      <c r="C34" s="771" t="e">
        <f>典型户型修正!B3</f>
        <v>#DIV/0!</v>
      </c>
      <c r="D34" s="2195" t="s">
        <v>1975</v>
      </c>
      <c r="E34" s="2195"/>
      <c r="F34" s="2195"/>
      <c r="G34" s="2195"/>
      <c r="H34" s="2195"/>
      <c r="I34" s="2195"/>
    </row>
    <row r="35" spans="1:16" ht="15">
      <c r="A35" s="2327"/>
      <c r="B35" s="2328" t="s">
        <v>1976</v>
      </c>
      <c r="C35" s="1315">
        <f>IF('数据-取费表'!B3="万元",典型户型修正!V25,典型户型修正!U25)</f>
        <v>0</v>
      </c>
      <c r="D35" s="2195" t="str">
        <f>D33</f>
        <v>元</v>
      </c>
      <c r="E35" s="2195"/>
      <c r="F35" s="2195"/>
      <c r="G35" s="2195"/>
      <c r="H35" s="2195"/>
      <c r="I35" s="2195"/>
    </row>
    <row r="36" spans="1:16" ht="15.75" thickBot="1">
      <c r="A36" s="2234"/>
      <c r="B36" s="2329" t="s">
        <v>1977</v>
      </c>
      <c r="C36" s="1316">
        <f>IF('数据-取费表'!B3="万元",典型户型修正!Y25,典型户型修正!X25)</f>
        <v>0</v>
      </c>
      <c r="D36" s="2195" t="str">
        <f>D33</f>
        <v>元</v>
      </c>
      <c r="E36" s="2195"/>
      <c r="F36" s="2195"/>
      <c r="G36" s="2195"/>
      <c r="H36" s="2195"/>
      <c r="I36" s="2195"/>
    </row>
    <row r="37" spans="1:16" ht="15.75" thickBot="1">
      <c r="A37" s="2927" t="s">
        <v>1978</v>
      </c>
      <c r="B37" s="2237" t="s">
        <v>1979</v>
      </c>
      <c r="C37" s="69"/>
      <c r="D37" s="2238"/>
      <c r="E37" s="2239"/>
      <c r="F37" s="2239"/>
      <c r="G37" s="2195"/>
      <c r="H37" s="2195"/>
      <c r="I37" s="2195"/>
    </row>
    <row r="38" spans="1:16" ht="15.75" thickBot="1">
      <c r="A38" s="2928"/>
      <c r="B38" s="2240" t="s">
        <v>1980</v>
      </c>
      <c r="C38" s="71"/>
      <c r="D38" s="2205"/>
      <c r="E38" s="2205"/>
      <c r="F38" s="2239"/>
      <c r="G38" s="2205"/>
      <c r="H38" s="2205"/>
      <c r="I38" s="2205"/>
    </row>
    <row r="39" spans="1:16" ht="15.75" thickBot="1">
      <c r="A39" s="2929"/>
      <c r="B39" s="2241" t="s">
        <v>1981</v>
      </c>
      <c r="C39" s="712"/>
      <c r="D39" s="2242" t="s">
        <v>1982</v>
      </c>
      <c r="E39" s="2205"/>
      <c r="F39" s="2239"/>
      <c r="G39" s="2205"/>
      <c r="H39" s="2205"/>
      <c r="I39" s="2205"/>
    </row>
    <row r="40" spans="1:16" ht="15">
      <c r="A40" s="2209" t="s">
        <v>1983</v>
      </c>
      <c r="B40" s="2243" t="s">
        <v>1984</v>
      </c>
      <c r="C40" s="2244" t="s">
        <v>1985</v>
      </c>
      <c r="D40" s="2244" t="s">
        <v>1986</v>
      </c>
      <c r="E40" s="2245" t="s">
        <v>1987</v>
      </c>
      <c r="F40" s="2239"/>
      <c r="G40" s="2205"/>
      <c r="H40" s="2205"/>
      <c r="I40" s="2205"/>
    </row>
    <row r="41" spans="1:16" ht="14.25">
      <c r="A41" s="2246" t="s">
        <v>1988</v>
      </c>
      <c r="B41" s="74"/>
      <c r="C41" s="75"/>
      <c r="D41" s="75"/>
      <c r="E41" s="76"/>
      <c r="F41" s="2239"/>
      <c r="G41" s="2205"/>
      <c r="H41" s="2205"/>
      <c r="I41" s="2205"/>
    </row>
    <row r="42" spans="1:16" ht="14.25">
      <c r="A42" s="2246" t="s">
        <v>1989</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1990</v>
      </c>
      <c r="B45" s="2252"/>
      <c r="C45" s="2252"/>
      <c r="D45" s="2253"/>
      <c r="E45" s="2253"/>
      <c r="F45" s="2254"/>
      <c r="G45" s="2254"/>
      <c r="H45" s="2254"/>
      <c r="I45" s="2254"/>
      <c r="J45" s="2255" t="s">
        <v>1821</v>
      </c>
      <c r="K45" s="2256"/>
      <c r="L45" s="2256"/>
      <c r="M45" s="2256"/>
      <c r="N45" s="2256"/>
      <c r="O45" s="2256"/>
      <c r="P45" s="1844"/>
    </row>
    <row r="46" spans="1:16" ht="14.25" customHeight="1" thickBot="1">
      <c r="A46" s="2933" t="s">
        <v>1991</v>
      </c>
      <c r="B46" s="2934"/>
      <c r="C46" s="2935"/>
      <c r="D46" s="80">
        <f>ROUND(I103*F46,0)</f>
        <v>0</v>
      </c>
      <c r="E46" s="81" t="s">
        <v>1992</v>
      </c>
      <c r="F46" s="82">
        <v>1</v>
      </c>
      <c r="G46" s="83" t="s">
        <v>1993</v>
      </c>
      <c r="H46" s="2195"/>
      <c r="I46" s="2195"/>
      <c r="J46" s="2995" t="s">
        <v>1825</v>
      </c>
      <c r="K46" s="2995"/>
      <c r="L46" s="2995"/>
      <c r="M46" s="2995"/>
      <c r="N46" s="2995"/>
      <c r="O46" s="2995"/>
      <c r="P46" s="1844"/>
    </row>
    <row r="47" spans="1:16" ht="14.25" customHeight="1">
      <c r="A47" s="2918" t="s">
        <v>1826</v>
      </c>
      <c r="B47" s="2919"/>
      <c r="C47" s="2919"/>
      <c r="D47" s="2919"/>
      <c r="E47" s="2919"/>
      <c r="F47" s="2919"/>
      <c r="G47" s="2920"/>
      <c r="H47" s="2257"/>
      <c r="I47" s="1143"/>
      <c r="J47" s="1881">
        <v>1</v>
      </c>
      <c r="K47" s="2995" t="s">
        <v>1827</v>
      </c>
      <c r="L47" s="2995"/>
      <c r="M47" s="3011"/>
      <c r="N47" s="3011"/>
      <c r="O47" s="3011"/>
      <c r="P47" s="1844"/>
    </row>
    <row r="48" spans="1:16" ht="12" customHeight="1">
      <c r="A48" s="85" t="s">
        <v>1828</v>
      </c>
      <c r="B48" s="86"/>
      <c r="C48" s="87"/>
      <c r="D48" s="88" t="s">
        <v>1829</v>
      </c>
      <c r="E48" s="14" t="s">
        <v>1830</v>
      </c>
      <c r="F48" s="89" t="s">
        <v>1831</v>
      </c>
      <c r="G48" s="90" t="s">
        <v>1832</v>
      </c>
      <c r="H48" s="2257"/>
      <c r="I48" s="1143"/>
      <c r="J48" s="1881">
        <v>2</v>
      </c>
      <c r="K48" s="2995" t="s">
        <v>1833</v>
      </c>
      <c r="L48" s="2995"/>
      <c r="M48" s="2997">
        <f>'数据-取费表'!B2</f>
        <v>43516</v>
      </c>
      <c r="N48" s="2997"/>
      <c r="O48" s="2997"/>
      <c r="P48" s="1844"/>
    </row>
    <row r="49" spans="1:16" ht="25.5">
      <c r="A49" s="2930" t="s">
        <v>1834</v>
      </c>
      <c r="B49" s="2931"/>
      <c r="C49" s="2931"/>
      <c r="D49" s="56">
        <f>IF(H49="情况1",0,IF(H49="情况2",D53,IF(H49="情况3",D54,IF(H49="情况4",D55))))</f>
        <v>0</v>
      </c>
      <c r="E49" s="1891" t="str">
        <f>IF(H49="情况4","(销售额-原购置价)×税（费）率","销售额×税（费）率")</f>
        <v>销售额×税（费）率</v>
      </c>
      <c r="F49" s="91">
        <f>IF(H49="情况1","免征",'数据-取费表'!E29)</f>
        <v>5.6000000000000001E-2</v>
      </c>
      <c r="G49" s="2258" t="s">
        <v>1835</v>
      </c>
      <c r="H49" s="2259" t="s">
        <v>1836</v>
      </c>
      <c r="I49" s="2257"/>
      <c r="J49" s="1881">
        <v>3</v>
      </c>
      <c r="K49" s="2995" t="s">
        <v>1837</v>
      </c>
      <c r="L49" s="2995"/>
      <c r="M49" s="2996">
        <f>I103</f>
        <v>0</v>
      </c>
      <c r="N49" s="2996"/>
      <c r="O49" s="2996"/>
      <c r="P49" s="1844"/>
    </row>
    <row r="50" spans="1:16" ht="25.5" customHeight="1">
      <c r="A50" s="92" t="s">
        <v>1838</v>
      </c>
      <c r="B50" s="2923" t="s">
        <v>1839</v>
      </c>
      <c r="C50" s="2923"/>
      <c r="D50" s="93">
        <v>0</v>
      </c>
      <c r="E50" s="13" t="s">
        <v>1840</v>
      </c>
      <c r="F50" s="18" t="s">
        <v>48</v>
      </c>
      <c r="G50" s="2988"/>
      <c r="H50" s="2195"/>
      <c r="I50" s="2260"/>
      <c r="J50" s="1881">
        <v>4</v>
      </c>
      <c r="K50" s="2995" t="str">
        <f>IF(项目基本情况!F5="房地产抵押价值","房地产抵押价值","抵押担保权已注销时的房地产抵押价值")</f>
        <v>抵押担保权已注销时的房地产抵押价值</v>
      </c>
      <c r="L50" s="2995"/>
      <c r="M50" s="2996" t="str">
        <f>IF(项目基本情况!F5="房地产抵押价值",I111,I113)</f>
        <v>——</v>
      </c>
      <c r="N50" s="2996"/>
      <c r="O50" s="2996"/>
      <c r="P50" s="1844"/>
    </row>
    <row r="51" spans="1:16" ht="25.5" customHeight="1">
      <c r="A51" s="94"/>
      <c r="B51" s="2923" t="s">
        <v>1841</v>
      </c>
      <c r="C51" s="2923"/>
      <c r="D51" s="95"/>
      <c r="E51" s="21"/>
      <c r="F51" s="96"/>
      <c r="G51" s="2989"/>
      <c r="H51" s="2195"/>
      <c r="I51" s="2260"/>
      <c r="J51" s="2995" t="s">
        <v>1842</v>
      </c>
      <c r="K51" s="2995"/>
      <c r="L51" s="2995"/>
      <c r="M51" s="2995"/>
      <c r="N51" s="2995"/>
      <c r="O51" s="2995"/>
      <c r="P51" s="1844"/>
    </row>
    <row r="52" spans="1:16" ht="12" customHeight="1">
      <c r="A52" s="97"/>
      <c r="B52" s="2923" t="s">
        <v>1843</v>
      </c>
      <c r="C52" s="2923"/>
      <c r="D52" s="98"/>
      <c r="E52" s="20"/>
      <c r="F52" s="96"/>
      <c r="G52" s="2990"/>
      <c r="H52" s="2195"/>
      <c r="I52" s="2260"/>
      <c r="J52" s="2261" t="s">
        <v>1844</v>
      </c>
      <c r="K52" s="2995" t="s">
        <v>1845</v>
      </c>
      <c r="L52" s="2995"/>
      <c r="M52" s="2261" t="s">
        <v>1846</v>
      </c>
      <c r="N52" s="2261" t="s">
        <v>1847</v>
      </c>
      <c r="O52" s="2261" t="s">
        <v>1848</v>
      </c>
      <c r="P52" s="1844"/>
    </row>
    <row r="53" spans="1:16" ht="24" customHeight="1">
      <c r="A53" s="99" t="s">
        <v>1849</v>
      </c>
      <c r="B53" s="2923" t="s">
        <v>1850</v>
      </c>
      <c r="C53" s="2923"/>
      <c r="D53" s="98">
        <f>ROUND(D46*'数据-取费表'!E29/(1+'数据-取费表'!F30),0)</f>
        <v>0</v>
      </c>
      <c r="E53" s="10" t="s">
        <v>1851</v>
      </c>
      <c r="F53" s="100">
        <f>'数据-取费表'!E29</f>
        <v>5.6000000000000001E-2</v>
      </c>
      <c r="G53" s="2262"/>
      <c r="H53" s="2195"/>
      <c r="I53" s="2260"/>
      <c r="J53" s="1881">
        <v>1</v>
      </c>
      <c r="K53" s="2955" t="s">
        <v>1852</v>
      </c>
      <c r="L53" s="2955"/>
      <c r="M53" s="778">
        <f>D49</f>
        <v>0</v>
      </c>
      <c r="N53" s="1881" t="str">
        <f>E49</f>
        <v>销售额×税（费）率</v>
      </c>
      <c r="O53" s="779">
        <f>F49</f>
        <v>5.6000000000000001E-2</v>
      </c>
      <c r="P53" s="1844"/>
    </row>
    <row r="54" spans="1:16" ht="12" customHeight="1">
      <c r="A54" s="99" t="s">
        <v>1853</v>
      </c>
      <c r="B54" s="2924" t="s">
        <v>1854</v>
      </c>
      <c r="C54" s="2849"/>
      <c r="D54" s="98">
        <f>ROUND(D46*'数据-取费表'!E29/(1+'数据-取费表'!F30),0)</f>
        <v>0</v>
      </c>
      <c r="E54" s="10" t="s">
        <v>1851</v>
      </c>
      <c r="F54" s="100">
        <f>'数据-取费表'!E29</f>
        <v>5.6000000000000001E-2</v>
      </c>
      <c r="G54" s="2262"/>
      <c r="H54" s="2195"/>
      <c r="I54" s="2260"/>
      <c r="J54" s="1881">
        <v>2</v>
      </c>
      <c r="K54" s="2955" t="s">
        <v>1855</v>
      </c>
      <c r="L54" s="2955"/>
      <c r="M54" s="778">
        <f t="shared" ref="M54:O55" si="1">D56</f>
        <v>0</v>
      </c>
      <c r="N54" s="1881" t="str">
        <f t="shared" si="1"/>
        <v>销售额×税（费）率</v>
      </c>
      <c r="O54" s="779">
        <f t="shared" si="1"/>
        <v>5.0000000000000001E-4</v>
      </c>
      <c r="P54" s="1844"/>
    </row>
    <row r="55" spans="1:16" ht="12" customHeight="1">
      <c r="A55" s="99" t="s">
        <v>1856</v>
      </c>
      <c r="B55" s="2924" t="s">
        <v>1857</v>
      </c>
      <c r="C55" s="2849"/>
      <c r="D55" s="98">
        <f>C69</f>
        <v>0</v>
      </c>
      <c r="E55" s="20" t="s">
        <v>1858</v>
      </c>
      <c r="F55" s="100">
        <f>'数据-取费表'!E29</f>
        <v>5.6000000000000001E-2</v>
      </c>
      <c r="G55" s="2262"/>
      <c r="H55" s="2263"/>
      <c r="I55" s="2260"/>
      <c r="J55" s="1881">
        <v>3</v>
      </c>
      <c r="K55" s="2955" t="s">
        <v>1859</v>
      </c>
      <c r="L55" s="2955"/>
      <c r="M55" s="778">
        <f t="shared" si="1"/>
        <v>0</v>
      </c>
      <c r="N55" s="1881" t="str">
        <f t="shared" si="1"/>
        <v>增值额×税（费）率</v>
      </c>
      <c r="O55" s="780" t="str">
        <f t="shared" si="1"/>
        <v>——</v>
      </c>
      <c r="P55" s="1844"/>
    </row>
    <row r="56" spans="1:16" ht="24" customHeight="1">
      <c r="A56" s="2841" t="s">
        <v>1860</v>
      </c>
      <c r="B56" s="2931"/>
      <c r="C56" s="2931"/>
      <c r="D56" s="101">
        <f>IF(H56="个人住宅",0,ROUND(D46*I56,0))</f>
        <v>0</v>
      </c>
      <c r="E56" s="10" t="s">
        <v>1861</v>
      </c>
      <c r="F56" s="100">
        <f>IF(H56="正常",I56,"免征")</f>
        <v>5.0000000000000001E-4</v>
      </c>
      <c r="G56" s="2262"/>
      <c r="H56" s="2259" t="s">
        <v>1862</v>
      </c>
      <c r="I56" s="102">
        <f>'数据-取费表'!E37</f>
        <v>5.0000000000000001E-4</v>
      </c>
      <c r="J56" s="1881" t="str">
        <f>IF(H60="非个人房产","",4)</f>
        <v/>
      </c>
      <c r="K56" s="2955" t="str">
        <f>IF(H60="非个人房产","——","个人所得税")</f>
        <v>——</v>
      </c>
      <c r="L56" s="2955"/>
      <c r="M56" s="781" t="str">
        <f>D60</f>
        <v>——</v>
      </c>
      <c r="N56" s="1884" t="str">
        <f>E60</f>
        <v>——</v>
      </c>
      <c r="O56" s="782" t="str">
        <f>F60</f>
        <v>——</v>
      </c>
      <c r="P56" s="1844"/>
    </row>
    <row r="57" spans="1:16" ht="24.75">
      <c r="A57" s="2841" t="s">
        <v>1863</v>
      </c>
      <c r="B57" s="2931"/>
      <c r="C57" s="2931"/>
      <c r="D57" s="101">
        <f>IF(H57="个人住宅",D58,D59)</f>
        <v>0</v>
      </c>
      <c r="E57" s="10" t="s">
        <v>1864</v>
      </c>
      <c r="F57" s="100" t="str">
        <f>IF(H57="正常",F59,"免征")</f>
        <v>——</v>
      </c>
      <c r="G57" s="2264" t="s">
        <v>1865</v>
      </c>
      <c r="H57" s="2265" t="s">
        <v>1862</v>
      </c>
      <c r="I57" s="1021"/>
      <c r="J57" s="1881" t="str">
        <f>IF(项目基本情况!I6="上海银行",IF(J56="",4,J56+1),"")</f>
        <v/>
      </c>
      <c r="K57" s="2973" t="str">
        <f>IF(项目基本情况!I6="上海银行","其他处置费用","")</f>
        <v/>
      </c>
      <c r="L57" s="2974"/>
      <c r="M57" s="778" t="str">
        <f>IF(项目基本情况!I6="上海银行",M70,"")</f>
        <v/>
      </c>
      <c r="N57" s="2986" t="str">
        <f>IF(项目基本情况!I6="上海银行","包含处置中涉及的律师、诉讼、拍卖、评估等费用","")</f>
        <v/>
      </c>
      <c r="O57" s="2987"/>
      <c r="P57" s="1844"/>
    </row>
    <row r="58" spans="1:16" ht="12.75">
      <c r="A58" s="99" t="s">
        <v>1838</v>
      </c>
      <c r="B58" s="2921" t="s">
        <v>1866</v>
      </c>
      <c r="C58" s="2932"/>
      <c r="D58" s="103">
        <v>0</v>
      </c>
      <c r="E58" s="13" t="s">
        <v>1840</v>
      </c>
      <c r="F58" s="70"/>
      <c r="G58" s="2262"/>
      <c r="H58" s="1021"/>
      <c r="I58" s="1021"/>
      <c r="J58" s="2955">
        <f>IF(AND(J56="",J57=""),4,IF(项目基本情况!I6="上海银行",J57+1,J56+1))</f>
        <v>4</v>
      </c>
      <c r="K58" s="2955" t="s">
        <v>1867</v>
      </c>
      <c r="L58" s="2266" t="s">
        <v>1868</v>
      </c>
      <c r="M58" s="783"/>
      <c r="N58" s="784">
        <f>SUMIF(M53:M57,"&lt;9e307")</f>
        <v>0</v>
      </c>
      <c r="O58" s="2267"/>
      <c r="P58" s="1840" t="e">
        <f>N58/M50</f>
        <v>#VALUE!</v>
      </c>
    </row>
    <row r="59" spans="1:16" ht="24.75">
      <c r="A59" s="99" t="s">
        <v>1849</v>
      </c>
      <c r="B59" s="2921" t="s">
        <v>1869</v>
      </c>
      <c r="C59" s="2922"/>
      <c r="D59" s="101">
        <f>IF(H59="转让取得",C82,C98)</f>
        <v>0</v>
      </c>
      <c r="E59" s="10" t="s">
        <v>1864</v>
      </c>
      <c r="F59" s="14" t="s">
        <v>48</v>
      </c>
      <c r="G59" s="2262"/>
      <c r="H59" s="2265" t="s">
        <v>1870</v>
      </c>
      <c r="I59" s="1021"/>
      <c r="J59" s="2955"/>
      <c r="K59" s="2955"/>
      <c r="L59" s="2266" t="s">
        <v>1871</v>
      </c>
      <c r="M59" s="785"/>
      <c r="N59" s="2268" t="str">
        <f>IF(H19="元",NUMBERSTRING(INT(N58),2)&amp;"元整",NUMBERSTRING(INT(N58*10000),2)&amp;"元整")</f>
        <v>零元整</v>
      </c>
      <c r="O59" s="2269"/>
      <c r="P59" s="1844"/>
    </row>
    <row r="60" spans="1:16" ht="24.75" thickBot="1">
      <c r="A60" s="2842" t="s">
        <v>1872</v>
      </c>
      <c r="B60" s="2845"/>
      <c r="C60" s="2845"/>
      <c r="D60" s="104" t="str">
        <f>IF(H60="非个人房产","——",IF(H60="个人住宅",0,ROUND(D46*I60,0)))</f>
        <v>——</v>
      </c>
      <c r="E60" s="105" t="str">
        <f>IF(H60="非个人房产","——","销售额×税（费）率")</f>
        <v>——</v>
      </c>
      <c r="F60" s="106" t="str">
        <f>IF(H60="非个人房产","——",IF(H60="个人住宅","免征",I60))</f>
        <v>——</v>
      </c>
      <c r="G60" s="2270" t="s">
        <v>1865</v>
      </c>
      <c r="H60" s="2265" t="s">
        <v>1994</v>
      </c>
      <c r="I60" s="107">
        <v>0.01</v>
      </c>
      <c r="J60" s="2953">
        <f>J58+1</f>
        <v>5</v>
      </c>
      <c r="K60" s="2955" t="s">
        <v>1874</v>
      </c>
      <c r="L60" s="1881" t="s">
        <v>1868</v>
      </c>
      <c r="M60" s="786"/>
      <c r="N60" s="787" t="e">
        <f>M50-N58</f>
        <v>#VALUE!</v>
      </c>
      <c r="O60" s="2271"/>
      <c r="P60" s="1844"/>
    </row>
    <row r="61" spans="1:16" ht="12" customHeight="1">
      <c r="A61" s="2066"/>
      <c r="B61" s="2195"/>
      <c r="C61" s="2195"/>
      <c r="D61" s="2195"/>
      <c r="E61" s="1021"/>
      <c r="F61" s="1021"/>
      <c r="G61" s="1021"/>
      <c r="H61" s="2248"/>
      <c r="I61" s="2195"/>
      <c r="J61" s="2954"/>
      <c r="K61" s="2955"/>
      <c r="L61" s="2266" t="s">
        <v>1871</v>
      </c>
      <c r="M61" s="785"/>
      <c r="N61" s="2268" t="e">
        <f>IF(H19="元",NUMBERSTRING(INT(N60),2)&amp;"元整",NUMBERSTRING(INT(N60*10000),2)&amp;"元整")</f>
        <v>#VALUE!</v>
      </c>
      <c r="O61" s="2269"/>
      <c r="P61" s="1844"/>
    </row>
    <row r="62" spans="1:16" ht="13.5" thickBot="1">
      <c r="A62" s="2936" t="s">
        <v>1875</v>
      </c>
      <c r="B62" s="2936"/>
      <c r="C62" s="2936"/>
      <c r="D62" s="2936"/>
      <c r="E62" s="2936"/>
      <c r="F62" s="1021"/>
      <c r="G62" s="1021"/>
      <c r="H62" s="2248"/>
      <c r="I62" s="2195"/>
      <c r="J62" s="1881">
        <f>J60+1</f>
        <v>6</v>
      </c>
      <c r="K62" s="2955" t="s">
        <v>1876</v>
      </c>
      <c r="L62" s="2955"/>
      <c r="M62" s="788"/>
      <c r="N62" s="789" t="e">
        <f>IF(H19="元",ROUND(N60/项目基本情况!C12,0),ROUND(N60*10000/项目基本情况!C12,0))</f>
        <v>#VALUE!</v>
      </c>
      <c r="O62" s="2272"/>
      <c r="P62" s="1844"/>
    </row>
    <row r="63" spans="1:16" ht="12.75">
      <c r="A63" s="2943" t="s">
        <v>1877</v>
      </c>
      <c r="B63" s="2944"/>
      <c r="C63" s="1883"/>
      <c r="D63" s="1883" t="s">
        <v>1878</v>
      </c>
      <c r="E63" s="108" t="s">
        <v>1879</v>
      </c>
      <c r="F63" s="1021"/>
      <c r="G63" s="1021"/>
      <c r="H63" s="2248"/>
      <c r="I63" s="2195"/>
      <c r="J63" s="1844"/>
      <c r="K63" s="1844"/>
      <c r="L63" s="1844"/>
      <c r="M63" s="1844"/>
      <c r="N63" s="1844"/>
      <c r="O63" s="1844"/>
      <c r="P63" s="1844"/>
    </row>
    <row r="64" spans="1:16" ht="12.75">
      <c r="A64" s="109">
        <v>1</v>
      </c>
      <c r="B64" s="110" t="s">
        <v>1880</v>
      </c>
      <c r="C64" s="111">
        <f>ROUND((C65+C66)/(1+'数据-取费表'!F30),0)</f>
        <v>0</v>
      </c>
      <c r="D64" s="112"/>
      <c r="E64" s="113"/>
      <c r="F64" s="1021"/>
      <c r="G64" s="1021"/>
      <c r="H64" s="2248"/>
      <c r="I64" s="2195"/>
      <c r="J64" s="2975" t="s">
        <v>1881</v>
      </c>
      <c r="K64" s="2273"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D46</f>
        <v>0</v>
      </c>
      <c r="D65" s="117" t="s">
        <v>41</v>
      </c>
      <c r="E65" s="118"/>
      <c r="F65" s="1021"/>
      <c r="G65" s="1021"/>
      <c r="H65" s="2248"/>
      <c r="I65" s="2195"/>
      <c r="J65" s="2975"/>
      <c r="K65" s="2273"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1"/>
      <c r="G66" s="1021"/>
      <c r="H66" s="2248"/>
      <c r="I66" s="2195"/>
      <c r="J66" s="2975"/>
      <c r="K66" s="2273"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1"/>
      <c r="G67" s="1021"/>
      <c r="H67" s="2248"/>
      <c r="I67" s="2195"/>
      <c r="J67" s="2975"/>
      <c r="K67" s="2273" t="s">
        <v>1890</v>
      </c>
      <c r="L67" s="1843" t="e">
        <f>M50*0.5%</f>
        <v>#VALUE!</v>
      </c>
      <c r="M67" s="14" t="e">
        <f>IF(L67&gt;0.5,0.5,ROUND(L67,0))</f>
        <v>#VALUE!</v>
      </c>
      <c r="N67" s="1844" t="s">
        <v>1891</v>
      </c>
      <c r="O67" s="1844"/>
      <c r="P67" s="1844"/>
    </row>
    <row r="68" spans="1:35" ht="12.75">
      <c r="A68" s="120" t="s">
        <v>42</v>
      </c>
      <c r="B68" s="121" t="s">
        <v>1892</v>
      </c>
      <c r="C68" s="124">
        <f>C64-C67</f>
        <v>0</v>
      </c>
      <c r="D68" s="117" t="s">
        <v>41</v>
      </c>
      <c r="E68" s="118"/>
      <c r="F68" s="1021"/>
      <c r="G68" s="1021"/>
      <c r="H68" s="2248"/>
      <c r="I68" s="2195"/>
      <c r="J68" s="2975"/>
      <c r="K68" s="2273"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IF(C68&lt;=0,0,ROUND(C68*D69,0))</f>
        <v>0</v>
      </c>
      <c r="D69" s="128">
        <f>'数据-取费表'!E29</f>
        <v>5.6000000000000001E-2</v>
      </c>
      <c r="E69" s="129"/>
      <c r="F69" s="1021"/>
      <c r="G69" s="1021"/>
      <c r="H69" s="2248"/>
      <c r="I69" s="2195"/>
      <c r="J69" s="2975"/>
      <c r="K69" s="2273" t="s">
        <v>1895</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1"/>
      <c r="G70" s="1021"/>
      <c r="H70" s="2248"/>
      <c r="I70" s="2195"/>
      <c r="J70" s="2975"/>
      <c r="K70" s="2273" t="s">
        <v>1896</v>
      </c>
      <c r="L70" s="2279"/>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1" customFormat="1" ht="15" thickBot="1">
      <c r="A71" s="2947" t="s">
        <v>1897</v>
      </c>
      <c r="B71" s="2948"/>
      <c r="C71" s="2948"/>
      <c r="D71" s="2948"/>
      <c r="E71" s="2948"/>
      <c r="F71" s="2948"/>
      <c r="G71" s="2948"/>
      <c r="H71" s="2948"/>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943" t="s">
        <v>1877</v>
      </c>
      <c r="B72" s="2944"/>
      <c r="C72" s="1883"/>
      <c r="D72" s="1883" t="s">
        <v>1878</v>
      </c>
      <c r="E72" s="130" t="s">
        <v>1879</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1898</v>
      </c>
      <c r="C73" s="124">
        <f>ROUND(D46/(1+'数据-取费表'!F30),0)</f>
        <v>0</v>
      </c>
      <c r="D73" s="117" t="s">
        <v>41</v>
      </c>
      <c r="E73" s="1886"/>
      <c r="F73" s="1887"/>
      <c r="G73" s="1887"/>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1900</v>
      </c>
      <c r="C74" s="124">
        <f>C75+C79</f>
        <v>0</v>
      </c>
      <c r="D74" s="117" t="s">
        <v>41</v>
      </c>
      <c r="E74" s="1886"/>
      <c r="F74" s="1887"/>
      <c r="G74" s="1887"/>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1901</v>
      </c>
      <c r="C75" s="117">
        <f>ROUND(IF(G78="2016年5月1日后购买",C76/(1+'数据-取费表'!F30)+C77+C78,C76+C77+C78),0)</f>
        <v>0</v>
      </c>
      <c r="D75" s="117" t="s">
        <v>41</v>
      </c>
      <c r="E75" s="1886"/>
      <c r="F75" s="1887"/>
      <c r="G75" s="1887"/>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1902</v>
      </c>
      <c r="C76" s="137"/>
      <c r="D76" s="117" t="s">
        <v>41</v>
      </c>
      <c r="E76" s="138" t="s">
        <v>1903</v>
      </c>
      <c r="F76" s="2284" t="s">
        <v>1904</v>
      </c>
      <c r="G76" s="138" t="s">
        <v>1905</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1906</v>
      </c>
      <c r="C77" s="117">
        <f>IF(F76="购房发票",ROUND(C76*H76*D77,0),0)</f>
        <v>0</v>
      </c>
      <c r="D77" s="141">
        <v>0.05</v>
      </c>
      <c r="E77" s="2924" t="s">
        <v>1907</v>
      </c>
      <c r="F77" s="2923"/>
      <c r="G77" s="2923"/>
      <c r="H77" s="2938"/>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5" t="s">
        <v>1910</v>
      </c>
      <c r="H78" s="1888"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1911</v>
      </c>
      <c r="C79" s="144">
        <f>ROUND(D46*D79/(1+'数据-取费表'!F30),0)</f>
        <v>0</v>
      </c>
      <c r="D79" s="145">
        <f>'数据-取费表'!E31</f>
        <v>6.000000000000001E-3</v>
      </c>
      <c r="E79" s="2915" t="s">
        <v>1912</v>
      </c>
      <c r="F79" s="2916"/>
      <c r="G79" s="2916"/>
      <c r="H79" s="2917"/>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1913</v>
      </c>
      <c r="C80" s="124">
        <f>C73-C74</f>
        <v>0</v>
      </c>
      <c r="D80" s="117" t="s">
        <v>41</v>
      </c>
      <c r="E80" s="1886"/>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947" t="s">
        <v>1916</v>
      </c>
      <c r="B84" s="2948"/>
      <c r="C84" s="2948"/>
      <c r="D84" s="2948"/>
      <c r="E84" s="2948"/>
      <c r="F84" s="2948"/>
      <c r="G84" s="2948"/>
      <c r="H84" s="2948"/>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943" t="s">
        <v>1877</v>
      </c>
      <c r="B85" s="2944"/>
      <c r="C85" s="1883"/>
      <c r="D85" s="1883" t="s">
        <v>1878</v>
      </c>
      <c r="E85" s="130" t="s">
        <v>1879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1898</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1900</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1917</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1918</v>
      </c>
      <c r="C89" s="157"/>
      <c r="D89" s="145"/>
      <c r="E89" s="158" t="s">
        <v>1919</v>
      </c>
      <c r="F89" s="1880"/>
      <c r="G89" s="159" t="s">
        <v>1920</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1908</v>
      </c>
      <c r="C90" s="144">
        <f>ROUND(C89*D90,0)</f>
        <v>0</v>
      </c>
      <c r="D90" s="145">
        <f>'数据-取费表'!E36+'数据-取费表'!E37</f>
        <v>3.0499999999999999E-2</v>
      </c>
      <c r="E90" s="158" t="s">
        <v>1921</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1922</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1923</v>
      </c>
      <c r="C92" s="144">
        <f>IF(H92="——",成本法!C33,I92)</f>
        <v>0</v>
      </c>
      <c r="D92" s="145"/>
      <c r="E92" s="2915" t="s">
        <v>1924</v>
      </c>
      <c r="F92" s="2916"/>
      <c r="G92" s="2916"/>
      <c r="H92" s="2288" t="s">
        <v>1925</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1926</v>
      </c>
      <c r="C93" s="144">
        <f>ROUND((C88+C91+C92)*D93,0)</f>
        <v>0</v>
      </c>
      <c r="D93" s="145">
        <v>0.1</v>
      </c>
      <c r="E93" s="2915" t="s">
        <v>1927</v>
      </c>
      <c r="F93" s="2916"/>
      <c r="G93" s="2916"/>
      <c r="H93" s="2917"/>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1911</v>
      </c>
      <c r="C94" s="144">
        <f>ROUND(D46*D94/(1+'数据-取费表'!F30),0)</f>
        <v>0</v>
      </c>
      <c r="D94" s="145">
        <f>'数据-取费表'!E31</f>
        <v>6.000000000000001E-3</v>
      </c>
      <c r="E94" s="2915" t="s">
        <v>1912</v>
      </c>
      <c r="F94" s="2916"/>
      <c r="G94" s="2916"/>
      <c r="H94" s="2917"/>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1928</v>
      </c>
      <c r="C95" s="144">
        <f>ROUND((C88+C91+C92)*D95,0)</f>
        <v>0</v>
      </c>
      <c r="D95" s="145">
        <v>0.2</v>
      </c>
      <c r="E95" s="2915" t="s">
        <v>1929</v>
      </c>
      <c r="F95" s="2916"/>
      <c r="G95" s="2916"/>
      <c r="H95" s="2917"/>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1913</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1930</v>
      </c>
      <c r="B99" s="2195"/>
      <c r="C99" s="2195"/>
      <c r="D99" s="2195"/>
      <c r="E99" s="1021"/>
      <c r="F99" s="1021"/>
      <c r="G99" s="1021"/>
      <c r="H99" s="2248"/>
      <c r="I99" s="2195"/>
    </row>
    <row r="100" spans="1:35" ht="15.75">
      <c r="A100" s="2970" t="s">
        <v>1931</v>
      </c>
      <c r="B100" s="2971"/>
      <c r="C100" s="2971"/>
      <c r="D100" s="2972"/>
      <c r="E100" s="2195"/>
      <c r="F100" s="2981" t="s">
        <v>1932</v>
      </c>
      <c r="G100" s="2982"/>
      <c r="H100" s="2982"/>
      <c r="I100" s="2983"/>
    </row>
    <row r="101" spans="1:35" ht="15.75">
      <c r="A101" s="2984" t="s">
        <v>1933</v>
      </c>
      <c r="B101" s="2985"/>
      <c r="C101" s="720">
        <f>C4</f>
        <v>0</v>
      </c>
      <c r="D101" s="721">
        <f>D4</f>
        <v>0</v>
      </c>
      <c r="E101" s="2195"/>
      <c r="F101" s="2880" t="s">
        <v>1934</v>
      </c>
      <c r="G101" s="2881"/>
      <c r="H101" s="3006" t="s">
        <v>1935</v>
      </c>
      <c r="I101" s="2879"/>
    </row>
    <row r="102" spans="1:35" ht="15.75">
      <c r="A102" s="3007" t="s">
        <v>1995</v>
      </c>
      <c r="B102" s="2290" t="str">
        <f>IF(H19="元","总价（元）","总价（万元）")</f>
        <v>总价（元）</v>
      </c>
      <c r="C102" s="720" t="e">
        <f ca="1">C19</f>
        <v>#REF!</v>
      </c>
      <c r="D102" s="721" t="e">
        <f ca="1">D19</f>
        <v>#REF!</v>
      </c>
      <c r="E102" s="2195"/>
      <c r="F102" s="3008"/>
      <c r="G102" s="3009"/>
      <c r="H102" s="2878">
        <f>典型户型修正!B25</f>
        <v>0</v>
      </c>
      <c r="I102" s="2879"/>
    </row>
    <row r="103" spans="1:35" ht="15.75">
      <c r="A103" s="3007"/>
      <c r="B103" s="2290" t="s">
        <v>1937</v>
      </c>
      <c r="C103" s="722" t="e">
        <f ca="1">C20</f>
        <v>#REF!</v>
      </c>
      <c r="D103" s="723" t="e">
        <f ca="1">D20</f>
        <v>#REF!</v>
      </c>
      <c r="E103" s="2195"/>
      <c r="F103" s="2907" t="s">
        <v>1938</v>
      </c>
      <c r="G103" s="2908"/>
      <c r="H103" s="2291" t="str">
        <f>C109</f>
        <v>总价（元）</v>
      </c>
      <c r="I103" s="1861">
        <f>H124</f>
        <v>0</v>
      </c>
    </row>
    <row r="104" spans="1:35" ht="15">
      <c r="A104" s="3007" t="s">
        <v>1996</v>
      </c>
      <c r="B104" s="2292" t="str">
        <f>B102</f>
        <v>总价（元）</v>
      </c>
      <c r="C104" s="1189" t="e">
        <f ca="1">ROUND(IF('数据-取费表'!B4="总价",G19,IF(H19="元",G20*'数据-取费表'!E5,G20*'数据-取费表'!E5/10000)),0)</f>
        <v>#REF!</v>
      </c>
      <c r="D104" s="725"/>
      <c r="E104" s="2195"/>
      <c r="F104" s="2907"/>
      <c r="G104" s="2908"/>
      <c r="H104" s="2291" t="s">
        <v>1937</v>
      </c>
      <c r="I104" s="1049" t="e">
        <f>I124</f>
        <v>#DIV/0!</v>
      </c>
    </row>
    <row r="105" spans="1:35" ht="15.75">
      <c r="A105" s="3007"/>
      <c r="B105" s="2290" t="s">
        <v>1937</v>
      </c>
      <c r="C105" s="1190" t="e">
        <f ca="1">ROUND(IF('数据-取费表'!B4="楼面单价",G20,IF(H19="元",G19/'数据-取费表'!E5,G19*10000/'数据-取费表'!E5)),0)</f>
        <v>#REF!</v>
      </c>
      <c r="D105" s="725"/>
      <c r="E105" s="2195"/>
      <c r="F105" s="2979"/>
      <c r="G105" s="2980"/>
      <c r="H105" s="2964"/>
      <c r="I105" s="2965"/>
    </row>
    <row r="106" spans="1:35" ht="15.75">
      <c r="A106" s="3000" t="s">
        <v>1997</v>
      </c>
      <c r="B106" s="2330" t="str">
        <f>B102</f>
        <v>总价（元）</v>
      </c>
      <c r="C106" s="724">
        <f>H124</f>
        <v>0</v>
      </c>
      <c r="D106" s="1188"/>
      <c r="E106" s="2195"/>
      <c r="F106" s="2968" t="s">
        <v>1941</v>
      </c>
      <c r="G106" s="2969"/>
      <c r="H106" s="2294" t="str">
        <f>C111</f>
        <v>总额（元）</v>
      </c>
      <c r="I106" s="1861">
        <f>SUMIF(I107:I109,"&lt;9E307")</f>
        <v>0</v>
      </c>
    </row>
    <row r="107" spans="1:35" ht="15.75" thickBot="1">
      <c r="A107" s="2963"/>
      <c r="B107" s="2293" t="s">
        <v>1937</v>
      </c>
      <c r="C107" s="726" t="e">
        <f>I124</f>
        <v>#DIV/0!</v>
      </c>
      <c r="D107" s="727"/>
      <c r="E107" s="2195"/>
      <c r="F107" s="2896" t="s">
        <v>1943</v>
      </c>
      <c r="G107" s="2897"/>
      <c r="H107" s="2294" t="str">
        <f>C112</f>
        <v>总额（元）</v>
      </c>
      <c r="I107" s="1049">
        <f>IF(D37="同一抵押权人同一抵押物续贷",C37&amp;"（未扣减，详见特别提示）",C37)</f>
        <v>0</v>
      </c>
      <c r="K107" s="2205" t="str">
        <f>IF(D126=0,"本次评估不存在"&amp;A126,"本次评估"&amp;A126&amp;"为"&amp;D126&amp;"元人民币。")</f>
        <v>本次评估不存在——</v>
      </c>
    </row>
    <row r="108" spans="1:35" ht="15">
      <c r="A108" s="3003" t="s">
        <v>1940</v>
      </c>
      <c r="B108" s="3004"/>
      <c r="C108" s="3004"/>
      <c r="D108" s="3005"/>
      <c r="E108" s="2195"/>
      <c r="F108" s="2896" t="s">
        <v>1944</v>
      </c>
      <c r="G108" s="2897"/>
      <c r="H108" s="2294" t="str">
        <f>C113</f>
        <v>总额（元）</v>
      </c>
      <c r="I108" s="1049">
        <f>C38</f>
        <v>0</v>
      </c>
      <c r="K108" s="2295"/>
    </row>
    <row r="109" spans="1:35" ht="15">
      <c r="A109" s="2894" t="s">
        <v>1998</v>
      </c>
      <c r="B109" s="2895"/>
      <c r="C109" s="2291" t="str">
        <f>B102</f>
        <v>总价（元）</v>
      </c>
      <c r="D109" s="1050">
        <f>H124</f>
        <v>0</v>
      </c>
      <c r="E109" s="2195"/>
      <c r="F109" s="2896" t="s">
        <v>1946</v>
      </c>
      <c r="G109" s="2897"/>
      <c r="H109" s="2294" t="str">
        <f>C114</f>
        <v>总额（元）</v>
      </c>
      <c r="I109" s="1049">
        <f>C39</f>
        <v>0</v>
      </c>
    </row>
    <row r="110" spans="1:35" ht="15.75">
      <c r="A110" s="2894"/>
      <c r="B110" s="2895"/>
      <c r="C110" s="2291" t="s">
        <v>1937</v>
      </c>
      <c r="D110" s="1051" t="e">
        <f>I124</f>
        <v>#DIV/0!</v>
      </c>
      <c r="E110" s="2195"/>
      <c r="F110" s="2979"/>
      <c r="G110" s="2980"/>
      <c r="H110" s="2966"/>
      <c r="I110" s="2967"/>
    </row>
    <row r="111" spans="1:35" ht="28.5" customHeight="1">
      <c r="A111" s="2901" t="s">
        <v>1945</v>
      </c>
      <c r="B111" s="2902"/>
      <c r="C111" s="2294" t="str">
        <f>IF(H19="元","总额（元）","总额（万元）")</f>
        <v>总额（元）</v>
      </c>
      <c r="D111" s="1050">
        <f>IF(D37="正常操作",I107+I108+I109,I108+I109)</f>
        <v>0</v>
      </c>
      <c r="E111" s="2195"/>
      <c r="F111" s="2882" t="str">
        <f>IF(项目基本情况!F5="已注销","——","3.房地产抵押价值")</f>
        <v>3.房地产抵押价值</v>
      </c>
      <c r="G111" s="2883"/>
      <c r="H111" s="2331" t="str">
        <f>C115</f>
        <v>总价（元）</v>
      </c>
      <c r="I111" s="1861">
        <f>IF(F111="——","——",I103-I106)</f>
        <v>0</v>
      </c>
    </row>
    <row r="112" spans="1:35" ht="15">
      <c r="A112" s="2896" t="s">
        <v>1943</v>
      </c>
      <c r="B112" s="2897"/>
      <c r="C112" s="2294" t="str">
        <f>C111</f>
        <v>总额（元）</v>
      </c>
      <c r="D112" s="637">
        <f>IF(D37="同一抵押权人同一抵押物续贷",C37&amp;"（未扣减，详见特别提示）",C37)</f>
        <v>0</v>
      </c>
      <c r="E112" s="2195"/>
      <c r="F112" s="2998"/>
      <c r="G112" s="2999"/>
      <c r="H112" s="2291" t="s">
        <v>1937</v>
      </c>
      <c r="I112" s="2297" t="e">
        <f>D116</f>
        <v>#DIV/0!</v>
      </c>
    </row>
    <row r="113" spans="1:26" ht="15.75">
      <c r="A113" s="2896" t="s">
        <v>1944</v>
      </c>
      <c r="B113" s="2897"/>
      <c r="C113" s="2294" t="str">
        <f>C111</f>
        <v>总额（元）</v>
      </c>
      <c r="D113" s="637">
        <f>C38</f>
        <v>0</v>
      </c>
      <c r="E113" s="2195"/>
      <c r="F113" s="2882" t="str">
        <f>IF(项目基本情况!F5="已注销及未注销","4.抵押担保权已注销时的房地产抵押价值",IF(项目基本情况!F5="已注销","3.抵押担保权已注销时的房地产抵押价值","——"))</f>
        <v>——</v>
      </c>
      <c r="G113" s="2883"/>
      <c r="H113" s="2331" t="str">
        <f>C117</f>
        <v>总价（元）</v>
      </c>
      <c r="I113" s="1861" t="str">
        <f>IF(F113="——","——",I103-I108-I109)</f>
        <v>——</v>
      </c>
    </row>
    <row r="114" spans="1:26" ht="15">
      <c r="A114" s="2896" t="s">
        <v>1946</v>
      </c>
      <c r="B114" s="2897"/>
      <c r="C114" s="2294" t="str">
        <f>C111</f>
        <v>总额（元）</v>
      </c>
      <c r="D114" s="637">
        <f>C39</f>
        <v>0</v>
      </c>
      <c r="E114" s="2195"/>
      <c r="F114" s="2998"/>
      <c r="G114" s="2999"/>
      <c r="H114" s="2291" t="s">
        <v>1937</v>
      </c>
      <c r="I114" s="1049" t="str">
        <f>D118</f>
        <v>——</v>
      </c>
    </row>
    <row r="115" spans="1:26" ht="15.75">
      <c r="A115" s="2894" t="str">
        <f>IF(项目基本情况!F5="已注销","——","3.房地产抵押价值")</f>
        <v>3.房地产抵押价值</v>
      </c>
      <c r="B115" s="2895"/>
      <c r="C115" s="2291" t="str">
        <f>B102</f>
        <v>总价（元）</v>
      </c>
      <c r="D115" s="1050">
        <f>IF(A115="——","——",D109-D111)</f>
        <v>0</v>
      </c>
      <c r="E115" s="2195"/>
      <c r="F115" s="2882" t="str">
        <f>IF(项目基本情况!G5="抵押净值",IF(OR(项目基本情况!F5="已注销",项目基本情况!F5="房地产抵押价值"),"4.抵押净值","5.抵押净值"),"——")</f>
        <v>——</v>
      </c>
      <c r="G115" s="2883"/>
      <c r="H115" s="2291" t="str">
        <f>C119</f>
        <v>总价（元）</v>
      </c>
      <c r="I115" s="1861" t="str">
        <f>IF(F115="——","——",N60)</f>
        <v>——</v>
      </c>
    </row>
    <row r="116" spans="1:26" ht="15.75" thickBot="1">
      <c r="A116" s="2894"/>
      <c r="B116" s="2895"/>
      <c r="C116" s="2291" t="s">
        <v>1999</v>
      </c>
      <c r="D116" s="1051" t="e">
        <f>ROUND(IF(D115=D109,D110,IF(H19="元",D115/B124,D115*10000/B124)),0)</f>
        <v>#DIV/0!</v>
      </c>
      <c r="E116" s="2195"/>
      <c r="F116" s="2884"/>
      <c r="G116" s="2885"/>
      <c r="H116" s="2299" t="s">
        <v>1999</v>
      </c>
      <c r="I116" s="1863" t="str">
        <f>D120</f>
        <v>——</v>
      </c>
    </row>
    <row r="117" spans="1:26" ht="15.75">
      <c r="A117" s="2894" t="str">
        <f>IF(项目基本情况!F5="已注销及未注销","4.抵押担保权已注销时的房地产抵押价值",IF(项目基本情况!F5="已注销","3.抵押担保权已注销时的房地产抵押价值","——"))</f>
        <v>——</v>
      </c>
      <c r="B117" s="2895"/>
      <c r="C117" s="2291" t="str">
        <f>B102</f>
        <v>总价（元）</v>
      </c>
      <c r="D117" s="1050" t="str">
        <f>IF(A117="——","——",D109-D113-D114)</f>
        <v>——</v>
      </c>
      <c r="E117" s="2195"/>
      <c r="F117" s="2994"/>
      <c r="G117" s="2994"/>
      <c r="H117" s="2950"/>
      <c r="I117" s="2950"/>
      <c r="N117" s="55"/>
      <c r="O117" s="55"/>
    </row>
    <row r="118" spans="1:26" s="1844" customFormat="1" ht="15">
      <c r="A118" s="2894"/>
      <c r="B118" s="2895"/>
      <c r="C118" s="2291" t="s">
        <v>1999</v>
      </c>
      <c r="D118" s="1051" t="str">
        <f>IF(A117="——","——",IF(H19="元",ROUND(D117/B124,0),ROUND(D117*10000/B124,0)))</f>
        <v>——</v>
      </c>
      <c r="E118" s="2195"/>
      <c r="F118" s="3002" t="str">
        <f>IF(B32="总价","（以上估价结果中楼面单价为总价除以建筑面积得出）","（以上估价结果中总价为楼面单价乘以建筑面积得出）")</f>
        <v>（以上估价结果中总价为楼面单价乘以建筑面积得出）</v>
      </c>
      <c r="G118" s="3002"/>
      <c r="H118" s="3002"/>
      <c r="I118" s="3002"/>
      <c r="J118" s="798"/>
      <c r="K118" s="798"/>
      <c r="L118" s="798"/>
      <c r="M118" s="798"/>
      <c r="N118" s="55"/>
      <c r="O118" s="55"/>
      <c r="P118" s="798"/>
      <c r="Q118" s="798"/>
      <c r="R118" s="798"/>
      <c r="S118" s="798"/>
      <c r="T118" s="798"/>
      <c r="U118" s="798"/>
      <c r="V118" s="798"/>
      <c r="W118" s="798"/>
      <c r="X118" s="798"/>
      <c r="Y118" s="798"/>
      <c r="Z118" s="798"/>
    </row>
    <row r="119" spans="1:26" s="1844" customFormat="1" ht="15">
      <c r="A119" s="2894" t="str">
        <f>IF(项目基本情况!G5="抵押净值",IF(OR(项目基本情况!F5="已注销",项目基本情况!F5="房地产抵押价值"),"4.抵押净值","5.抵押净值"),"——")</f>
        <v>——</v>
      </c>
      <c r="B119" s="2895"/>
      <c r="C119" s="2291" t="str">
        <f>B102</f>
        <v>总价（元）</v>
      </c>
      <c r="D119" s="1050"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99"/>
      <c r="B120" s="2900"/>
      <c r="C120" s="2299" t="s">
        <v>1999</v>
      </c>
      <c r="D120" s="1052"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4" customFormat="1" ht="15">
      <c r="A121" s="2951" t="s">
        <v>2000</v>
      </c>
      <c r="B121" s="2952"/>
      <c r="C121" s="2952"/>
      <c r="D121" s="2952"/>
      <c r="E121" s="2952"/>
      <c r="F121" s="2952"/>
      <c r="G121" s="2952"/>
      <c r="H121" s="2952"/>
      <c r="I121" s="2952"/>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75" t="s">
        <v>1948</v>
      </c>
      <c r="B122" s="2905" t="s">
        <v>2001</v>
      </c>
      <c r="C122" s="2905" t="s">
        <v>2002</v>
      </c>
      <c r="D122" s="2977" t="s">
        <v>1951</v>
      </c>
      <c r="E122" s="2978"/>
      <c r="F122" s="2876" t="s">
        <v>2003</v>
      </c>
      <c r="G122" s="2876"/>
      <c r="H122" s="2876" t="s">
        <v>1952</v>
      </c>
      <c r="I122" s="2976"/>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75"/>
      <c r="B123" s="2906"/>
      <c r="C123" s="2906"/>
      <c r="D123" s="1885" t="s">
        <v>1953</v>
      </c>
      <c r="E123" s="1885" t="s">
        <v>1954</v>
      </c>
      <c r="F123" s="1885" t="s">
        <v>1953</v>
      </c>
      <c r="G123" s="1885" t="s">
        <v>1955</v>
      </c>
      <c r="H123" s="1885"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1"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75" t="s">
        <v>1956</v>
      </c>
      <c r="B125" s="2876"/>
      <c r="C125" s="2876"/>
      <c r="D125" s="2909" t="str">
        <f>IF(H19="元",NUMBERSTRING(INT(D124),2)&amp;"元整",NUMBERSTRING(INT(D124*10000),2)&amp;"元整")</f>
        <v>零元整</v>
      </c>
      <c r="E125" s="2956"/>
      <c r="F125" s="2909" t="str">
        <f>IF(H19="元",NUMBERSTRING(INT(F124),2)&amp;"元整",NUMBERSTRING(INT(F124*10000),2)&amp;"元整")</f>
        <v>零元整</v>
      </c>
      <c r="G125" s="2956"/>
      <c r="H125" s="2909" t="str">
        <f>IF(H19="元",NUMBERSTRING(INT(H124),2)&amp;"元整",NUMBERSTRING(INT(H124*10000),2)&amp;"元整")</f>
        <v>零元整</v>
      </c>
      <c r="I125" s="2910"/>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57" t="str">
        <f>IF(项目基本情况!D5="房地产市场价值","——",MID(A111,3,LEN(A111)-2))</f>
        <v>——</v>
      </c>
      <c r="B126" s="2887"/>
      <c r="C126" s="2958"/>
      <c r="D126" s="2886">
        <f>I106</f>
        <v>0</v>
      </c>
      <c r="E126" s="2887"/>
      <c r="F126" s="2887"/>
      <c r="G126" s="2887"/>
      <c r="H126" s="2887"/>
      <c r="I126" s="2888"/>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59" t="s">
        <v>1956</v>
      </c>
      <c r="B127" s="2960"/>
      <c r="C127" s="2961"/>
      <c r="D127" s="2889">
        <f>H110</f>
        <v>0</v>
      </c>
      <c r="E127" s="2890"/>
      <c r="F127" s="2890"/>
      <c r="G127" s="2890"/>
      <c r="H127" s="2890"/>
      <c r="I127" s="2891"/>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92" t="str">
        <f>IF(项目基本情况!D5="房地产市场价值","——",MID(A115,3,LEN(A115)-2))</f>
        <v>——</v>
      </c>
      <c r="B128" s="2893"/>
      <c r="C128" s="2893"/>
      <c r="D128" s="2886">
        <f>I111</f>
        <v>0</v>
      </c>
      <c r="E128" s="2887"/>
      <c r="F128" s="2887"/>
      <c r="G128" s="2887"/>
      <c r="H128" s="2887"/>
      <c r="I128" s="2888"/>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75" t="s">
        <v>1956</v>
      </c>
      <c r="B129" s="2876"/>
      <c r="C129" s="2876"/>
      <c r="D129" s="2889" t="e">
        <f>I112</f>
        <v>#DIV/0!</v>
      </c>
      <c r="E129" s="2890"/>
      <c r="F129" s="2890"/>
      <c r="G129" s="2890"/>
      <c r="H129" s="2890"/>
      <c r="I129" s="2891"/>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92" t="str">
        <f>IF(项目基本情况!D5="房地产市场价值","——",MID(A117,3,LEN(A117)-2))</f>
        <v>——</v>
      </c>
      <c r="B130" s="2893"/>
      <c r="C130" s="2893"/>
      <c r="D130" s="2991" t="str">
        <f>I113</f>
        <v>——</v>
      </c>
      <c r="E130" s="2992"/>
      <c r="F130" s="2992"/>
      <c r="G130" s="2992"/>
      <c r="H130" s="2992"/>
      <c r="I130" s="2993"/>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75" t="s">
        <v>1956</v>
      </c>
      <c r="B131" s="2876"/>
      <c r="C131" s="2877"/>
      <c r="D131" s="2949" t="str">
        <f>I114</f>
        <v>——</v>
      </c>
      <c r="E131" s="2949"/>
      <c r="F131" s="2949"/>
      <c r="G131" s="2949"/>
      <c r="H131" s="2949"/>
      <c r="I131" s="2949"/>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92" t="str">
        <f>IF(项目基本情况!D5="房地产市场价值","——",MID(F115,3,LEN(F115)-2))</f>
        <v>——</v>
      </c>
      <c r="B132" s="2893"/>
      <c r="C132" s="2886"/>
      <c r="D132" s="2898" t="str">
        <f>I115</f>
        <v>——</v>
      </c>
      <c r="E132" s="2898"/>
      <c r="F132" s="2898"/>
      <c r="G132" s="2898"/>
      <c r="H132" s="2898"/>
      <c r="I132" s="2898"/>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03" t="s">
        <v>1956</v>
      </c>
      <c r="B133" s="2904"/>
      <c r="C133" s="2904"/>
      <c r="D133" s="2911">
        <f>H117</f>
        <v>0</v>
      </c>
      <c r="E133" s="2912"/>
      <c r="F133" s="2912"/>
      <c r="G133" s="2912"/>
      <c r="H133" s="2912"/>
      <c r="I133" s="2913"/>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73" t="str">
        <f>IF(B32="总价","（以上估价结果中楼面单价为总价除以建筑面积得出）","（以上估价结果中总价为楼面单价乘以建筑面积得出）")</f>
        <v>（以上估价结果中总价为楼面单价乘以建筑面积得出）</v>
      </c>
      <c r="B135" s="2873"/>
      <c r="C135" s="2873"/>
      <c r="D135" s="2873"/>
      <c r="E135" s="2873"/>
      <c r="F135" s="2873"/>
      <c r="G135" s="2873"/>
      <c r="H135" s="2873"/>
      <c r="I135" s="2873"/>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300" t="s">
        <v>1957</v>
      </c>
      <c r="B136" s="2301"/>
      <c r="C136" s="2302" t="s">
        <v>1958</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3" t="s">
        <v>1959</v>
      </c>
      <c r="G142" s="2314"/>
      <c r="H142" s="2314"/>
      <c r="I142" s="2315"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6"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4"/>
      <c r="C145" s="2314"/>
      <c r="D145" s="2314"/>
      <c r="E145" s="2314"/>
      <c r="F145" s="2314"/>
      <c r="G145" s="2314"/>
      <c r="H145" s="2314"/>
      <c r="I145" s="2315"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6"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4"/>
      <c r="C148" s="2314"/>
      <c r="D148" s="2314"/>
      <c r="E148" s="2314"/>
      <c r="F148" s="2314"/>
      <c r="G148" s="2314"/>
      <c r="H148" s="2314"/>
      <c r="I148" s="2315"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C38" sqref="C38"/>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3" t="s">
        <v>2855</v>
      </c>
      <c r="E1" s="2704" t="s">
        <v>1250</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26197</v>
      </c>
      <c r="C2" s="2336" t="str">
        <f>'数据-取费表'!B3</f>
        <v>元</v>
      </c>
      <c r="D2" s="1213"/>
      <c r="E2" s="1214"/>
      <c r="F2" s="1214"/>
      <c r="G2" s="1239"/>
      <c r="H2" s="729"/>
      <c r="I2" s="1215"/>
      <c r="J2" s="1215"/>
      <c r="K2" s="1216"/>
      <c r="L2" s="1215"/>
      <c r="M2" s="1215"/>
    </row>
    <row r="3" spans="1:37" ht="18" customHeight="1" thickBot="1">
      <c r="A3" s="310" t="s">
        <v>2006</v>
      </c>
      <c r="B3" s="766">
        <f ca="1">ROUND(IF('数据-取费表'!B28="租赁期内按合同租金",(C40+L47+J29)/F43,(C40+L47)/F43),0)</f>
        <v>26197</v>
      </c>
      <c r="C3" s="2336" t="s">
        <v>2096</v>
      </c>
      <c r="D3" s="1213"/>
      <c r="E3" s="1214"/>
      <c r="F3" s="1214"/>
      <c r="G3" s="1239"/>
      <c r="H3" s="311" t="s">
        <v>2097</v>
      </c>
      <c r="I3" s="1215"/>
      <c r="J3" s="1215"/>
      <c r="K3" s="1216"/>
      <c r="L3" s="1215"/>
      <c r="M3" s="1215"/>
    </row>
    <row r="4" spans="1:37" ht="18" customHeight="1">
      <c r="A4" s="312" t="s">
        <v>2098</v>
      </c>
      <c r="B4" s="313" t="s">
        <v>2099</v>
      </c>
      <c r="C4" s="313" t="s">
        <v>2100</v>
      </c>
      <c r="D4" s="313" t="s">
        <v>2101</v>
      </c>
      <c r="E4" s="314" t="s">
        <v>2102</v>
      </c>
      <c r="F4" s="315"/>
      <c r="G4" s="1237"/>
      <c r="H4" s="312" t="s">
        <v>2098</v>
      </c>
      <c r="I4" s="313" t="s">
        <v>2099</v>
      </c>
      <c r="J4" s="313" t="s">
        <v>2100</v>
      </c>
      <c r="K4" s="313" t="s">
        <v>2101</v>
      </c>
      <c r="L4" s="314" t="s">
        <v>2102</v>
      </c>
      <c r="M4" s="315"/>
    </row>
    <row r="5" spans="1:37" ht="18" customHeight="1">
      <c r="A5" s="316">
        <v>1</v>
      </c>
      <c r="B5" s="317" t="s">
        <v>2103</v>
      </c>
      <c r="C5" s="318">
        <f ca="1">C6+C10+C12</f>
        <v>1112</v>
      </c>
      <c r="D5" s="2337" t="s">
        <v>2104</v>
      </c>
      <c r="E5" s="1213"/>
      <c r="F5" s="1382"/>
      <c r="G5" s="1237"/>
      <c r="H5" s="316">
        <v>1</v>
      </c>
      <c r="I5" s="317" t="s">
        <v>2103</v>
      </c>
      <c r="J5" s="318">
        <f ca="1">J6+J10+J12</f>
        <v>0</v>
      </c>
      <c r="K5" s="2337" t="s">
        <v>2104</v>
      </c>
      <c r="L5" s="1213"/>
      <c r="M5" s="1382"/>
    </row>
    <row r="6" spans="1:37" ht="18" customHeight="1">
      <c r="A6" s="1383" t="s">
        <v>2105</v>
      </c>
      <c r="B6" s="2023" t="s">
        <v>2106</v>
      </c>
      <c r="C6" s="318">
        <f>ROUND(F6*F8*F7*(1-F9),0)</f>
        <v>1108</v>
      </c>
      <c r="D6" s="80" t="s">
        <v>2797</v>
      </c>
      <c r="E6" s="319" t="s">
        <v>2107</v>
      </c>
      <c r="F6" s="320">
        <f>'数据-取费表'!B29</f>
        <v>3.3</v>
      </c>
      <c r="G6" s="1237"/>
      <c r="H6" s="1383" t="s">
        <v>2105</v>
      </c>
      <c r="I6" s="2023" t="s">
        <v>2106</v>
      </c>
      <c r="J6" s="318">
        <f>ROUND(M6*M8*M7*(1-M9),0)</f>
        <v>0</v>
      </c>
      <c r="K6" s="80" t="s">
        <v>2797</v>
      </c>
      <c r="L6" s="319" t="s">
        <v>2107</v>
      </c>
      <c r="M6" s="320">
        <f>'数据-取费表'!B36</f>
        <v>0</v>
      </c>
    </row>
    <row r="7" spans="1:37" ht="18" customHeight="1">
      <c r="A7" s="1446"/>
      <c r="B7" s="322"/>
      <c r="C7" s="323"/>
      <c r="D7" s="324"/>
      <c r="E7" s="319" t="s">
        <v>2108</v>
      </c>
      <c r="F7" s="320">
        <f>IF('数据-取费表'!B41="",IF(D1="仅计算典型户型",'数据-取费表'!E5,'数据-取费表'!B5),'数据-取费表'!B41)</f>
        <v>1</v>
      </c>
      <c r="G7" s="1237"/>
      <c r="H7" s="321"/>
      <c r="I7" s="322"/>
      <c r="J7" s="323"/>
      <c r="K7" s="324"/>
      <c r="L7" s="319" t="s">
        <v>2108</v>
      </c>
      <c r="M7" s="320">
        <f>IF('数据-取费表'!B41="",IF(D1="仅计算典型户型",'数据-取费表'!E5,'数据-取费表'!B5),'数据-取费表'!B41)</f>
        <v>1</v>
      </c>
    </row>
    <row r="8" spans="1:37" ht="18" customHeight="1">
      <c r="A8" s="1446"/>
      <c r="B8" s="322"/>
      <c r="C8" s="323"/>
      <c r="D8" s="324"/>
      <c r="E8" s="319" t="s">
        <v>2109</v>
      </c>
      <c r="F8" s="320">
        <f>'数据-取费表'!B42</f>
        <v>365</v>
      </c>
      <c r="G8" s="1237"/>
      <c r="H8" s="321"/>
      <c r="I8" s="322"/>
      <c r="J8" s="323"/>
      <c r="K8" s="324"/>
      <c r="L8" s="319" t="s">
        <v>2110</v>
      </c>
      <c r="M8" s="320">
        <f>'数据-取费表'!B42</f>
        <v>365</v>
      </c>
    </row>
    <row r="9" spans="1:37" ht="18" customHeight="1">
      <c r="A9" s="1446"/>
      <c r="B9" s="322"/>
      <c r="C9" s="323"/>
      <c r="D9" s="328"/>
      <c r="E9" s="319" t="s">
        <v>2111</v>
      </c>
      <c r="F9" s="329">
        <f>'数据-取费表'!B32</f>
        <v>0.08</v>
      </c>
      <c r="G9" s="1237"/>
      <c r="H9" s="321"/>
      <c r="I9" s="322"/>
      <c r="J9" s="1385"/>
      <c r="K9" s="95"/>
      <c r="L9" s="330" t="s">
        <v>2111</v>
      </c>
      <c r="M9" s="329">
        <f>'数据-取费表'!B38</f>
        <v>0</v>
      </c>
    </row>
    <row r="10" spans="1:37" ht="18" customHeight="1">
      <c r="A10" s="1383" t="s">
        <v>2112</v>
      </c>
      <c r="B10" s="2338" t="s">
        <v>2113</v>
      </c>
      <c r="C10" s="1384">
        <f ca="1">ROUND(IF(F10="押一",C6/12*F11,IF(F10="押二",C6/12*2*F11,IF(F10="押三",C6/12*3*F11,C11*F11))),0)</f>
        <v>4</v>
      </c>
      <c r="D10" s="2339" t="s">
        <v>2805</v>
      </c>
      <c r="E10" s="330" t="s">
        <v>2114</v>
      </c>
      <c r="F10" s="2340" t="s">
        <v>2910</v>
      </c>
      <c r="G10" s="1237"/>
      <c r="H10" s="1383" t="s">
        <v>2112</v>
      </c>
      <c r="I10" s="2338" t="s">
        <v>2113</v>
      </c>
      <c r="J10" s="1384">
        <f ca="1">ROUND(IF(M10="押一",J6/12*M11,IF(M10="押二",J6/12*2*M11,IF(M10="押三",J6/12*3*M11,J11*M11))),0)</f>
        <v>0</v>
      </c>
      <c r="K10" s="80" t="s">
        <v>2805</v>
      </c>
      <c r="L10" s="330" t="s">
        <v>2114</v>
      </c>
      <c r="M10" s="2340"/>
    </row>
    <row r="11" spans="1:37" s="341" customFormat="1" ht="18" customHeight="1">
      <c r="A11" s="348"/>
      <c r="B11" s="2341" t="s">
        <v>2115</v>
      </c>
      <c r="C11" s="1417"/>
      <c r="D11" s="324"/>
      <c r="E11" s="330" t="s">
        <v>2116</v>
      </c>
      <c r="F11" s="331">
        <f ca="1">'数据-取费表'!B30</f>
        <v>1.4999999999999999E-2</v>
      </c>
      <c r="G11" s="1238"/>
      <c r="H11" s="325"/>
      <c r="I11" s="2341"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42" t="s">
        <v>2119</v>
      </c>
      <c r="C12" s="1424"/>
      <c r="D12" s="2343"/>
      <c r="E12" s="1430"/>
      <c r="F12" s="1425"/>
      <c r="G12" s="1237"/>
      <c r="H12" s="1423" t="s">
        <v>2118</v>
      </c>
      <c r="I12" s="2342" t="s">
        <v>2119</v>
      </c>
      <c r="J12" s="1424"/>
      <c r="K12" s="1440"/>
      <c r="L12" s="1430"/>
      <c r="M12" s="1441"/>
    </row>
    <row r="13" spans="1:37" s="341" customFormat="1" ht="18" customHeight="1" thickTop="1">
      <c r="A13" s="1419">
        <v>2</v>
      </c>
      <c r="B13" s="1420" t="s">
        <v>2120</v>
      </c>
      <c r="C13" s="327">
        <f ca="1">ROUND(C29*F13,0)</f>
        <v>3277</v>
      </c>
      <c r="D13" s="1421" t="s">
        <v>2121</v>
      </c>
      <c r="E13" s="1421" t="s">
        <v>2122</v>
      </c>
      <c r="F13" s="1422">
        <f>'数据-取费表'!E20</f>
        <v>0.8</v>
      </c>
      <c r="G13" s="1238"/>
      <c r="H13" s="1419">
        <v>2</v>
      </c>
      <c r="I13" s="1420" t="s">
        <v>2120</v>
      </c>
      <c r="J13" s="1385">
        <f ca="1">ROUND(J14*J15,0)</f>
        <v>0</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2550</v>
      </c>
      <c r="D14" s="1886" t="s">
        <v>2125</v>
      </c>
      <c r="E14" s="1887"/>
      <c r="F14" s="978"/>
      <c r="G14" s="1238"/>
      <c r="H14" s="337" t="s">
        <v>2105</v>
      </c>
      <c r="I14" s="319" t="s">
        <v>2126</v>
      </c>
      <c r="J14" s="14">
        <f ca="1">C29</f>
        <v>4096</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77</v>
      </c>
      <c r="D15" s="339" t="s">
        <v>2129</v>
      </c>
      <c r="E15" s="339" t="s">
        <v>2130</v>
      </c>
      <c r="F15" s="340">
        <f>'数据-取费表'!E21</f>
        <v>0.03</v>
      </c>
      <c r="G15" s="1237"/>
      <c r="H15" s="1429" t="s">
        <v>2131</v>
      </c>
      <c r="I15" s="1430" t="s">
        <v>2132</v>
      </c>
      <c r="J15" s="1442">
        <f>'数据-取费表'!B39</f>
        <v>0</v>
      </c>
      <c r="K15" s="1443"/>
      <c r="L15" s="1444"/>
      <c r="M15" s="1445"/>
    </row>
    <row r="16" spans="1:37" s="341" customFormat="1" ht="18" customHeight="1" thickTop="1">
      <c r="A16" s="337" t="s">
        <v>2133</v>
      </c>
      <c r="B16" s="319" t="s">
        <v>2134</v>
      </c>
      <c r="C16" s="14">
        <f>ROUND(C14*F16,0)</f>
        <v>102</v>
      </c>
      <c r="D16" s="319" t="s">
        <v>2129</v>
      </c>
      <c r="E16" s="319" t="s">
        <v>2130</v>
      </c>
      <c r="F16" s="342">
        <f>IF('数据-取费表'!B10="住宅",'数据-取费表'!E22,0)</f>
        <v>0.04</v>
      </c>
      <c r="G16" s="1238"/>
      <c r="H16" s="1419" t="s">
        <v>14</v>
      </c>
      <c r="I16" s="1420" t="s">
        <v>2135</v>
      </c>
      <c r="J16" s="327">
        <f ca="1">ROUND(J17+J22+J23+J24,0)</f>
        <v>61</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200</v>
      </c>
      <c r="D17" s="319" t="s">
        <v>2139</v>
      </c>
      <c r="E17" s="319" t="s">
        <v>2140</v>
      </c>
      <c r="F17" s="16">
        <f>'数据-取费表'!E23</f>
        <v>200</v>
      </c>
      <c r="G17" s="1238"/>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38</v>
      </c>
      <c r="D18" s="319" t="s">
        <v>2129</v>
      </c>
      <c r="E18" s="319" t="s">
        <v>2130</v>
      </c>
      <c r="F18" s="342">
        <f>'数据-取费表'!E24</f>
        <v>1.4999999999999999E-2</v>
      </c>
      <c r="G18" s="1237"/>
      <c r="H18" s="337" t="s">
        <v>2147</v>
      </c>
      <c r="I18" s="319" t="s">
        <v>2148</v>
      </c>
      <c r="J18" s="14" t="str">
        <f>IF(项目基本情况!B7="自然人","——",ROUND(J5*M18/(1+'数据-取费表'!F30),0))</f>
        <v>——</v>
      </c>
      <c r="K18" s="1891" t="s">
        <v>2149</v>
      </c>
      <c r="L18" s="319" t="s">
        <v>2130</v>
      </c>
      <c r="M18" s="342">
        <f>'数据-取费表'!E29</f>
        <v>5.6000000000000001E-2</v>
      </c>
    </row>
    <row r="19" spans="1:37" s="341" customFormat="1" ht="18" customHeight="1">
      <c r="A19" s="337" t="s">
        <v>2141</v>
      </c>
      <c r="B19" s="319" t="s">
        <v>2150</v>
      </c>
      <c r="C19" s="14">
        <f>SUM(C14:C18)</f>
        <v>2967</v>
      </c>
      <c r="D19" s="56" t="s">
        <v>2151</v>
      </c>
      <c r="E19" s="1896"/>
      <c r="F19" s="16"/>
      <c r="G19" s="1238"/>
      <c r="H19" s="337" t="s">
        <v>2127</v>
      </c>
      <c r="I19" s="319" t="s">
        <v>2152</v>
      </c>
      <c r="J19" s="14" t="str">
        <f>IF(项目基本情况!B7="自然人","——",IF(K19="按租金收入计税",ROUND(J5*M19,1),ROUND(C29*M19*0.7,1)))</f>
        <v>——</v>
      </c>
      <c r="K19" s="2012" t="s">
        <v>2153</v>
      </c>
      <c r="L19" s="319" t="s">
        <v>2130</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59</v>
      </c>
      <c r="D20" s="344" t="s">
        <v>2155</v>
      </c>
      <c r="E20" s="319" t="s">
        <v>2156</v>
      </c>
      <c r="F20" s="342">
        <f>'数据-取费表'!E25</f>
        <v>0.02</v>
      </c>
      <c r="G20" s="1238"/>
      <c r="H20" s="337" t="s">
        <v>2133</v>
      </c>
      <c r="I20" s="80" t="s">
        <v>2157</v>
      </c>
      <c r="J20" s="15" t="str">
        <f>IF(项目基本情况!B7="自然人","——",ROUND(M20*M21,0))</f>
        <v>——</v>
      </c>
      <c r="K20" s="346" t="s">
        <v>2158</v>
      </c>
      <c r="L20" s="319" t="s">
        <v>2159</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7"/>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6"/>
      <c r="F22" s="16"/>
      <c r="G22" s="1237"/>
      <c r="H22" s="337" t="s">
        <v>2131</v>
      </c>
      <c r="I22" s="319" t="s">
        <v>2167</v>
      </c>
      <c r="J22" s="14">
        <f ca="1">ROUND(J14*M22,0)</f>
        <v>61</v>
      </c>
      <c r="K22" s="1891"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144</v>
      </c>
      <c r="D23" s="2006" t="str">
        <f>IF(F23&lt;=1,"(建造成本+管理费用)×利率×(建设周期÷2)","(建造成本+管理费用)×((1+利率)^(建设周期÷2)-1)")</f>
        <v>(建造成本+管理费用)×((1+利率)^(建设周期÷2)-1)</v>
      </c>
      <c r="E23" s="319" t="s">
        <v>2170</v>
      </c>
      <c r="F23" s="347">
        <f>'数据-取费表'!B21</f>
        <v>2</v>
      </c>
      <c r="G23" s="1237"/>
      <c r="H23" s="337" t="s">
        <v>2160</v>
      </c>
      <c r="I23" s="319" t="s">
        <v>2171</v>
      </c>
      <c r="J23" s="14">
        <f ca="1">ROUND(J13*M23,0)</f>
        <v>0</v>
      </c>
      <c r="K23" s="1891"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6" t="str">
        <f>IF(F23&lt;=1,"销售费用×利率×(建设周期÷2)","销售费用×((1+利率)^(建设周期÷2)-1)")</f>
        <v>销售费用×((1+利率)^(建设周期÷2)-1)</v>
      </c>
      <c r="E24" s="319" t="s">
        <v>2176</v>
      </c>
      <c r="F24" s="352">
        <f ca="1">'数据-取费表'!E27</f>
        <v>4.7500000000000001E-2</v>
      </c>
      <c r="G24" s="1238"/>
      <c r="H24" s="1429" t="s">
        <v>2165</v>
      </c>
      <c r="I24" s="1430" t="s">
        <v>2154</v>
      </c>
      <c r="J24" s="1431">
        <f ca="1">ROUND(J5*M24,0)</f>
        <v>0</v>
      </c>
      <c r="K24" s="1432" t="s">
        <v>2177</v>
      </c>
      <c r="L24" s="1430" t="s">
        <v>2173</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8"/>
      <c r="H25" s="1419" t="s">
        <v>22</v>
      </c>
      <c r="I25" s="1434" t="s">
        <v>2181</v>
      </c>
      <c r="J25" s="327">
        <f ca="1">J5-J16</f>
        <v>-61</v>
      </c>
      <c r="K25" s="1435" t="s">
        <v>2182</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605</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9" t="s">
        <v>2198</v>
      </c>
      <c r="B29" s="1430" t="s">
        <v>2199</v>
      </c>
      <c r="C29" s="1431">
        <f ca="1">ROUND((C19+C20+C23+C26)/(1-F21-C24-C27-C28),0)</f>
        <v>4096</v>
      </c>
      <c r="D29" s="1432"/>
      <c r="E29" s="1430"/>
      <c r="F29" s="1433"/>
      <c r="G29" s="791"/>
      <c r="H29" s="356" t="s">
        <v>24</v>
      </c>
      <c r="I29" s="357" t="s">
        <v>2200</v>
      </c>
      <c r="J29" s="358">
        <f ca="1">ROUND(J26/(1+F40)^F41,0)</f>
        <v>0</v>
      </c>
      <c r="K29" s="359" t="s">
        <v>2201</v>
      </c>
      <c r="L29" s="360"/>
      <c r="M29" s="361">
        <f>IF(D1="仅计算典型户型",'数据-取费表'!E5,'数据-取费表'!B5)</f>
        <v>1</v>
      </c>
    </row>
    <row r="30" spans="1:37" ht="18" customHeight="1" thickTop="1">
      <c r="A30" s="1419" t="s">
        <v>14</v>
      </c>
      <c r="B30" s="1420" t="s">
        <v>2202</v>
      </c>
      <c r="C30" s="327">
        <f ca="1">ROUND(C31+C36+C37+C38,0)</f>
        <v>133</v>
      </c>
      <c r="D30" s="1426" t="s">
        <v>2203</v>
      </c>
      <c r="E30" s="1427"/>
      <c r="F30" s="1428"/>
      <c r="G30" s="791"/>
      <c r="H30" s="1217"/>
      <c r="I30" s="1218"/>
      <c r="J30" s="1219"/>
      <c r="K30" s="1220"/>
      <c r="L30" s="1221"/>
      <c r="M30" s="1222"/>
    </row>
    <row r="31" spans="1:37" ht="18" customHeight="1">
      <c r="A31" s="337" t="s">
        <v>2105</v>
      </c>
      <c r="B31" s="319" t="s">
        <v>2142</v>
      </c>
      <c r="C31" s="14">
        <f ca="1">ROUND(IF(项目基本情况!B7="自然人",C5*F31,C32+C33+C34),1)</f>
        <v>55.6</v>
      </c>
      <c r="D31" s="1886" t="s">
        <v>2204</v>
      </c>
      <c r="E31" s="1891" t="s">
        <v>2205</v>
      </c>
      <c r="F31" s="343">
        <f>IF(项目基本情况!B7="企业","",IF('数据-取费表'!B10="住宅",5%,IF(F6*F7*F8/12/(1+'数据-取费表'!F30)&gt;20000,12%,7%)))</f>
        <v>0.05</v>
      </c>
      <c r="G31" s="791"/>
      <c r="H31" s="1217"/>
      <c r="I31" s="1218"/>
      <c r="J31" s="1219"/>
      <c r="K31" s="1220"/>
      <c r="L31" s="1221"/>
      <c r="M31" s="1222"/>
    </row>
    <row r="32" spans="1:37" ht="18" customHeight="1">
      <c r="A32" s="337" t="s">
        <v>2123</v>
      </c>
      <c r="B32" s="319" t="s">
        <v>2206</v>
      </c>
      <c r="C32" s="14" t="str">
        <f>IF(项目基本情况!B7="自然人","——",ROUND(C5*F32/(1+'数据-取费表'!F30),0))</f>
        <v>——</v>
      </c>
      <c r="D32" s="1891" t="s">
        <v>2207</v>
      </c>
      <c r="E32" s="319" t="s">
        <v>2156</v>
      </c>
      <c r="F32" s="352">
        <f>'数据-取费表'!E29</f>
        <v>5.6000000000000001E-2</v>
      </c>
      <c r="G32" s="791"/>
      <c r="H32" s="1223"/>
      <c r="I32" s="1224"/>
      <c r="J32" s="1225"/>
      <c r="K32" s="1226"/>
      <c r="L32" s="1227"/>
      <c r="M32" s="1228"/>
    </row>
    <row r="33" spans="1:18" ht="18" customHeight="1">
      <c r="A33" s="337" t="s">
        <v>2127</v>
      </c>
      <c r="B33" s="319" t="s">
        <v>2152</v>
      </c>
      <c r="C33" s="14" t="str">
        <f>IF(项目基本情况!B7="自然人","——",IF(D33="按租金收入计税",ROUND(C5*F33,1),IF(D33="按房产原值计税",ROUND(C29*F33*0.7,1),'数据-取费表'!B43)))</f>
        <v>——</v>
      </c>
      <c r="D33" s="2012" t="s">
        <v>2926</v>
      </c>
      <c r="E33" s="319" t="s">
        <v>2130</v>
      </c>
      <c r="F33" s="342">
        <f>IF(D33="按票据","——",IF(D33="按租金收入计税",'数据-取费表'!E39,'数据-取费表'!E38))</f>
        <v>0.12</v>
      </c>
      <c r="G33" s="791"/>
      <c r="H33" s="1229"/>
      <c r="I33" s="363" t="s">
        <v>2208</v>
      </c>
      <c r="J33" s="364"/>
      <c r="K33" s="1230"/>
      <c r="L33" s="1229"/>
      <c r="M33" s="1229"/>
    </row>
    <row r="34" spans="1:18" ht="18" customHeight="1">
      <c r="A34" s="1383" t="s">
        <v>2133</v>
      </c>
      <c r="B34" s="80" t="s">
        <v>2157</v>
      </c>
      <c r="C34" s="15" t="str">
        <f>IF(项目基本情况!B7="自然人","——",ROUND(F34*F35,0))</f>
        <v>——</v>
      </c>
      <c r="D34" s="346" t="s">
        <v>2158</v>
      </c>
      <c r="E34" s="319" t="s">
        <v>2159</v>
      </c>
      <c r="F34" s="347">
        <f>'数据-取费表'!E40</f>
        <v>0</v>
      </c>
      <c r="G34" s="791"/>
      <c r="H34" s="1217"/>
      <c r="I34" s="365" t="s">
        <v>2209</v>
      </c>
      <c r="J34" s="366">
        <f ca="1">ROUND(C13*J35,0)</f>
        <v>262</v>
      </c>
      <c r="K34" s="1231"/>
      <c r="L34" s="1232"/>
      <c r="M34" s="1232"/>
    </row>
    <row r="35" spans="1:18" ht="24.6" customHeight="1">
      <c r="A35" s="1387"/>
      <c r="B35" s="328"/>
      <c r="C35" s="19"/>
      <c r="D35" s="349"/>
      <c r="E35" s="319" t="s">
        <v>2164</v>
      </c>
      <c r="F35" s="320">
        <f>IF(D1="仅计算典型户型",'数据-取费表'!E6,'数据-取费表'!B6)</f>
        <v>0</v>
      </c>
      <c r="G35" s="791"/>
      <c r="H35" s="1217"/>
      <c r="I35" s="367" t="s">
        <v>2210</v>
      </c>
      <c r="J35" s="368">
        <f>'数据-取费表'!B17</f>
        <v>0.08</v>
      </c>
      <c r="K35" s="1230"/>
      <c r="L35" s="1229"/>
      <c r="M35" s="1229"/>
    </row>
    <row r="36" spans="1:18" ht="18" customHeight="1">
      <c r="A36" s="1386" t="s">
        <v>2112</v>
      </c>
      <c r="B36" s="319" t="s">
        <v>2211</v>
      </c>
      <c r="C36" s="14">
        <f ca="1">ROUND(C29*F36,0)</f>
        <v>61</v>
      </c>
      <c r="D36" s="1891" t="s">
        <v>2212</v>
      </c>
      <c r="E36" s="319" t="s">
        <v>2156</v>
      </c>
      <c r="F36" s="350">
        <f>'数据-取费表'!B44</f>
        <v>1.4999999999999999E-2</v>
      </c>
      <c r="G36" s="791"/>
      <c r="H36" s="1229"/>
      <c r="I36" s="369" t="s">
        <v>2213</v>
      </c>
      <c r="J36" s="370"/>
      <c r="K36" s="1233"/>
      <c r="L36" s="1229"/>
      <c r="M36" s="1229"/>
    </row>
    <row r="37" spans="1:18" ht="18" customHeight="1">
      <c r="A37" s="337" t="s">
        <v>2160</v>
      </c>
      <c r="B37" s="319" t="s">
        <v>2171</v>
      </c>
      <c r="C37" s="14">
        <f ca="1">ROUND(C13*F37,0)</f>
        <v>5</v>
      </c>
      <c r="D37" s="1891" t="s">
        <v>2172</v>
      </c>
      <c r="E37" s="319" t="s">
        <v>2173</v>
      </c>
      <c r="F37" s="351">
        <f>'数据-取费表'!B45</f>
        <v>1.5E-3</v>
      </c>
      <c r="G37" s="791"/>
      <c r="H37" s="1229"/>
      <c r="I37" s="216" t="s">
        <v>2214</v>
      </c>
      <c r="J37" s="371"/>
      <c r="K37" s="1233"/>
      <c r="L37" s="1229"/>
      <c r="M37" s="1229"/>
    </row>
    <row r="38" spans="1:18" ht="18" customHeight="1" thickBot="1">
      <c r="A38" s="1429" t="s">
        <v>2165</v>
      </c>
      <c r="B38" s="1430" t="s">
        <v>2154</v>
      </c>
      <c r="C38" s="1431">
        <f ca="1">ROUND(C5*F38,0)</f>
        <v>11</v>
      </c>
      <c r="D38" s="1432" t="s">
        <v>2177</v>
      </c>
      <c r="E38" s="1430" t="s">
        <v>2173</v>
      </c>
      <c r="F38" s="1425">
        <f>'数据-取费表'!B46</f>
        <v>0.01</v>
      </c>
      <c r="G38" s="791"/>
      <c r="H38" s="1229"/>
      <c r="I38" s="365" t="s">
        <v>2215</v>
      </c>
      <c r="J38" s="220">
        <f ca="1">ROUND(J34/C39,3)</f>
        <v>0.26800000000000002</v>
      </c>
      <c r="K38" s="1234"/>
      <c r="L38" s="1229"/>
      <c r="M38" s="1229"/>
    </row>
    <row r="39" spans="1:18" ht="18" customHeight="1" thickTop="1">
      <c r="A39" s="1419" t="s">
        <v>22</v>
      </c>
      <c r="B39" s="1434" t="s">
        <v>2216</v>
      </c>
      <c r="C39" s="327">
        <f ca="1">C5-C30</f>
        <v>979</v>
      </c>
      <c r="D39" s="1435" t="s">
        <v>2217</v>
      </c>
      <c r="E39" s="1436"/>
      <c r="F39" s="1437"/>
      <c r="G39" s="791"/>
      <c r="H39" s="1229"/>
      <c r="I39" s="365" t="s">
        <v>2218</v>
      </c>
      <c r="J39" s="220">
        <f ca="1">1-J38</f>
        <v>0.73199999999999998</v>
      </c>
      <c r="K39" s="1234"/>
      <c r="L39" s="1229"/>
      <c r="M39" s="1229"/>
    </row>
    <row r="40" spans="1:18" s="791" customFormat="1" ht="18" customHeight="1">
      <c r="A40" s="316" t="s">
        <v>23</v>
      </c>
      <c r="B40" s="317" t="s">
        <v>2219</v>
      </c>
      <c r="C40" s="318">
        <f ca="1">ROUND(C39*(1-((1+F42)/(1+F40))^F41)/(F40-F42),0)</f>
        <v>26197</v>
      </c>
      <c r="D40" s="346" t="s">
        <v>2187</v>
      </c>
      <c r="E40" s="319" t="s">
        <v>2188</v>
      </c>
      <c r="F40" s="329">
        <f>'数据-取费表'!B16</f>
        <v>0.05</v>
      </c>
      <c r="H40" s="1235"/>
      <c r="I40" s="216" t="s">
        <v>2220</v>
      </c>
      <c r="J40" s="217"/>
      <c r="K40" s="1234"/>
      <c r="L40" s="1235"/>
      <c r="M40" s="1235"/>
      <c r="Q40" s="795"/>
    </row>
    <row r="41" spans="1:18" s="791" customFormat="1" ht="18" customHeight="1">
      <c r="A41" s="321"/>
      <c r="B41" s="322"/>
      <c r="C41" s="323"/>
      <c r="D41" s="354" t="s">
        <v>2221</v>
      </c>
      <c r="E41" s="1824" t="s">
        <v>2808</v>
      </c>
      <c r="F41" s="355">
        <f>IF('数据-取费表'!B28="租赁期内按合同租金",'数据-取费表'!B34,IF(E41="收益年期(n)",'数据-取费表'!B33,'数据-取费表'!B13))</f>
        <v>56</v>
      </c>
      <c r="H41" s="1236"/>
      <c r="I41" s="219" t="s">
        <v>2093</v>
      </c>
      <c r="J41" s="220">
        <f ca="1">ROUND(C13/C40,3)</f>
        <v>0.125</v>
      </c>
      <c r="K41" s="1233"/>
      <c r="L41" s="1236"/>
      <c r="M41" s="1236"/>
      <c r="Q41" s="795"/>
    </row>
    <row r="42" spans="1:18" s="791" customFormat="1" ht="18" customHeight="1">
      <c r="A42" s="325"/>
      <c r="B42" s="326"/>
      <c r="C42" s="327"/>
      <c r="D42" s="349"/>
      <c r="E42" s="319" t="s">
        <v>2197</v>
      </c>
      <c r="F42" s="329">
        <f>'数据-取费表'!B31</f>
        <v>0.02</v>
      </c>
      <c r="H42" s="1236"/>
      <c r="I42" s="219" t="s">
        <v>2094</v>
      </c>
      <c r="J42" s="221">
        <f ca="1">1-J41</f>
        <v>0.875</v>
      </c>
      <c r="K42" s="1233"/>
      <c r="L42" s="1236"/>
      <c r="M42" s="1236"/>
      <c r="Q42" s="795"/>
    </row>
    <row r="43" spans="1:18" s="791" customFormat="1" ht="18" customHeight="1" thickBot="1">
      <c r="A43" s="356" t="s">
        <v>24</v>
      </c>
      <c r="B43" s="357" t="s">
        <v>2222</v>
      </c>
      <c r="C43" s="358">
        <f ca="1">ROUND(C40/F43,0)</f>
        <v>26197</v>
      </c>
      <c r="D43" s="359" t="s">
        <v>2223</v>
      </c>
      <c r="E43" s="360" t="s">
        <v>2224</v>
      </c>
      <c r="F43" s="361">
        <f>IF(D1="仅计算典型户型",'数据-取费表'!E5,'数据-取费表'!B5)</f>
        <v>1</v>
      </c>
      <c r="G43" s="793"/>
      <c r="H43" s="1236"/>
      <c r="I43" s="1236"/>
      <c r="J43" s="1236"/>
      <c r="K43" s="1233"/>
      <c r="L43" s="1236"/>
      <c r="M43" s="1236"/>
      <c r="O43" s="1360" t="s">
        <v>2225</v>
      </c>
      <c r="P43" s="1361"/>
      <c r="Q43" s="1357"/>
      <c r="R43" s="1361"/>
    </row>
    <row r="44" spans="1:18" s="791" customFormat="1" ht="18" customHeight="1" thickBot="1">
      <c r="A44" s="776"/>
      <c r="B44" s="776"/>
      <c r="C44" s="790"/>
      <c r="D44" s="776"/>
      <c r="E44" s="776"/>
      <c r="F44" s="776"/>
      <c r="G44" s="793"/>
      <c r="K44" s="792"/>
      <c r="O44" s="1362" t="s">
        <v>2226</v>
      </c>
      <c r="P44" s="1363" t="s">
        <v>2227</v>
      </c>
      <c r="Q44" s="1364" t="s">
        <v>2228</v>
      </c>
      <c r="R44" s="1365" t="s">
        <v>2229</v>
      </c>
    </row>
    <row r="45" spans="1:18" s="791" customFormat="1" ht="18" customHeight="1" thickBot="1">
      <c r="A45" s="776"/>
      <c r="B45" s="776"/>
      <c r="C45" s="790"/>
      <c r="D45" s="776"/>
      <c r="E45" s="776"/>
      <c r="F45" s="776"/>
      <c r="G45" s="794"/>
      <c r="K45" s="792"/>
      <c r="O45" s="1366" t="s">
        <v>955</v>
      </c>
      <c r="P45" s="1367" t="s">
        <v>2230</v>
      </c>
      <c r="Q45" s="1368">
        <f ca="1">C40+J29</f>
        <v>26197</v>
      </c>
      <c r="R45" s="1369" t="s">
        <v>2231</v>
      </c>
    </row>
    <row r="46" spans="1:18" s="791" customFormat="1" ht="18" customHeight="1" thickBot="1">
      <c r="A46" s="776"/>
      <c r="D46" s="776"/>
      <c r="E46" s="776"/>
      <c r="F46" s="776"/>
      <c r="K46" s="792"/>
      <c r="O46" s="1366" t="s">
        <v>956</v>
      </c>
      <c r="P46" s="1367" t="s">
        <v>2232</v>
      </c>
      <c r="Q46" s="1368" t="str">
        <f>J61</f>
        <v>0</v>
      </c>
      <c r="R46" s="1369" t="s">
        <v>2233</v>
      </c>
    </row>
    <row r="47" spans="1:18" s="791" customFormat="1" ht="21.75" thickBot="1">
      <c r="A47" s="2344" t="s">
        <v>2234</v>
      </c>
      <c r="C47" s="1302">
        <f ca="1">IF(C2="元",C69-C40,ROUND((C69-C40)/10000,0))</f>
        <v>-27431</v>
      </c>
      <c r="D47" s="2345" t="str">
        <f>C2</f>
        <v>元</v>
      </c>
      <c r="E47" s="776"/>
      <c r="F47" s="776"/>
      <c r="I47" s="2346" t="s">
        <v>2235</v>
      </c>
      <c r="J47" s="1342"/>
      <c r="K47" s="1343"/>
      <c r="L47" s="1356">
        <f>IF(M48="住宅",0,IF(L49&gt;J52,L61,J61))</f>
        <v>0</v>
      </c>
      <c r="O47" s="1370" t="s">
        <v>957</v>
      </c>
      <c r="P47" s="1367" t="s">
        <v>2236</v>
      </c>
      <c r="Q47" s="1368">
        <f ca="1">C29</f>
        <v>4096</v>
      </c>
      <c r="R47" s="1369" t="s">
        <v>2231</v>
      </c>
    </row>
    <row r="48" spans="1:18" s="791" customFormat="1" ht="15.75" thickBot="1">
      <c r="A48" s="312" t="s">
        <v>2237</v>
      </c>
      <c r="B48" s="313" t="s">
        <v>2238</v>
      </c>
      <c r="C48" s="313" t="s">
        <v>2239</v>
      </c>
      <c r="D48" s="313" t="s">
        <v>2240</v>
      </c>
      <c r="E48" s="1296" t="s">
        <v>2241</v>
      </c>
      <c r="F48" s="1297"/>
      <c r="I48" s="2347" t="s">
        <v>2242</v>
      </c>
      <c r="J48" s="2348" t="s">
        <v>2899</v>
      </c>
      <c r="K48" s="2349" t="s">
        <v>2243</v>
      </c>
      <c r="L48" s="1344">
        <f>'数据-取费表'!B11</f>
        <v>70</v>
      </c>
      <c r="M48" s="1357" t="str">
        <f>IF('数据-取费表'!B10="住宅","住宅","非住宅")</f>
        <v>住宅</v>
      </c>
      <c r="O48" s="1370" t="s">
        <v>958</v>
      </c>
      <c r="P48" s="1367" t="s">
        <v>2244</v>
      </c>
      <c r="Q48" s="1371" t="e">
        <f>J59</f>
        <v>#VALUE!</v>
      </c>
      <c r="R48" s="1369"/>
    </row>
    <row r="49" spans="1:18" s="791" customFormat="1" ht="15.75" thickBot="1">
      <c r="A49" s="1456" t="s">
        <v>1028</v>
      </c>
      <c r="B49" s="317" t="s">
        <v>2245</v>
      </c>
      <c r="C49" s="1457">
        <f ca="1">C50+C54+C56</f>
        <v>0</v>
      </c>
      <c r="D49" s="1458"/>
      <c r="E49" s="101"/>
      <c r="F49" s="16"/>
      <c r="I49" s="2350" t="s">
        <v>2246</v>
      </c>
      <c r="J49" s="2351" t="s">
        <v>2908</v>
      </c>
      <c r="K49" s="2352" t="s">
        <v>2247</v>
      </c>
      <c r="L49" s="1127">
        <f>'数据-取费表'!B13</f>
        <v>56</v>
      </c>
      <c r="O49" s="1370" t="s">
        <v>959</v>
      </c>
      <c r="P49" s="1367" t="s">
        <v>2248</v>
      </c>
      <c r="Q49" s="1371">
        <f>J53</f>
        <v>0</v>
      </c>
      <c r="R49" s="1369"/>
    </row>
    <row r="50" spans="1:18" s="791" customFormat="1" ht="15.75" thickBot="1">
      <c r="A50" s="345" t="s">
        <v>2105</v>
      </c>
      <c r="B50" s="2023" t="s">
        <v>2249</v>
      </c>
      <c r="C50" s="318">
        <f>ROUND(F50*F52*F51*(1-F53),0)</f>
        <v>0</v>
      </c>
      <c r="D50" s="93" t="s">
        <v>2798</v>
      </c>
      <c r="E50" s="2353" t="s">
        <v>2250</v>
      </c>
      <c r="F50" s="1298"/>
      <c r="I50" s="2350" t="s">
        <v>2251</v>
      </c>
      <c r="J50" s="1127">
        <f>'数据-取费表'!B26</f>
        <v>2007</v>
      </c>
      <c r="K50" s="2354" t="s">
        <v>2252</v>
      </c>
      <c r="L50" s="1345"/>
      <c r="O50" s="1370" t="s">
        <v>960</v>
      </c>
      <c r="P50" s="1367" t="s">
        <v>2253</v>
      </c>
      <c r="Q50" s="1368">
        <f>J54</f>
        <v>56</v>
      </c>
      <c r="R50" s="1369" t="s">
        <v>2254</v>
      </c>
    </row>
    <row r="51" spans="1:18" s="791" customFormat="1" ht="15.75" thickBot="1">
      <c r="A51" s="321"/>
      <c r="B51" s="322"/>
      <c r="C51" s="323"/>
      <c r="D51" s="324"/>
      <c r="E51" s="339" t="s">
        <v>2108</v>
      </c>
      <c r="F51" s="1295">
        <f>F7</f>
        <v>1</v>
      </c>
      <c r="I51" s="2350" t="s">
        <v>2255</v>
      </c>
      <c r="J51" s="1346">
        <f>SUMPRODUCT((I64:I66=J48)*(J63:L63=J49)*(J64:L66))</f>
        <v>60</v>
      </c>
      <c r="K51" s="2354" t="s">
        <v>2256</v>
      </c>
      <c r="L51" s="1345"/>
      <c r="O51" s="1366" t="s">
        <v>961</v>
      </c>
      <c r="P51" s="1367" t="str">
        <f>IF(C2="元","收益价值(元)","收益价值(万元)")</f>
        <v>收益价值(元)</v>
      </c>
      <c r="Q51" s="1368">
        <f ca="1">ROUND(IF(C2="元",Q45+Q46,(Q45+Q46)/10000),0)</f>
        <v>26197</v>
      </c>
      <c r="R51" s="1369" t="s">
        <v>962</v>
      </c>
    </row>
    <row r="52" spans="1:18" s="791" customFormat="1" ht="16.5" thickBot="1">
      <c r="A52" s="321"/>
      <c r="B52" s="322"/>
      <c r="C52" s="323"/>
      <c r="D52" s="324"/>
      <c r="E52" s="319" t="s">
        <v>2110</v>
      </c>
      <c r="F52" s="320">
        <f>F8</f>
        <v>365</v>
      </c>
      <c r="I52" s="2355" t="s">
        <v>2257</v>
      </c>
      <c r="J52" s="1347">
        <f>IF(J50="",J51,J50+J51-YEAR('数据-取费表'!B2))</f>
        <v>48</v>
      </c>
      <c r="K52" s="2356" t="s">
        <v>2258</v>
      </c>
      <c r="L52" s="1348">
        <f ca="1">ROUND(-PV('数据-取费表'!B15,L49,(C40-C13*J35)),0)</f>
        <v>527334</v>
      </c>
      <c r="O52" s="1360" t="s">
        <v>2259</v>
      </c>
      <c r="P52" s="1361"/>
      <c r="Q52" s="1357"/>
      <c r="R52" s="1361"/>
    </row>
    <row r="53" spans="1:18" s="791" customFormat="1" ht="15.75" thickBot="1">
      <c r="A53" s="325"/>
      <c r="B53" s="326"/>
      <c r="C53" s="327"/>
      <c r="D53" s="328"/>
      <c r="E53" s="319" t="s">
        <v>2111</v>
      </c>
      <c r="F53" s="1355"/>
      <c r="I53" s="2357" t="s">
        <v>2260</v>
      </c>
      <c r="J53" s="1349"/>
      <c r="K53" s="2357" t="s">
        <v>2261</v>
      </c>
      <c r="L53" s="1349"/>
      <c r="O53" s="1362" t="s">
        <v>2226</v>
      </c>
      <c r="P53" s="1363" t="s">
        <v>2227</v>
      </c>
      <c r="Q53" s="1364" t="s">
        <v>2228</v>
      </c>
      <c r="R53" s="1365" t="s">
        <v>2229</v>
      </c>
    </row>
    <row r="54" spans="1:18" s="791" customFormat="1" ht="29.25" customHeight="1" thickBot="1">
      <c r="A54" s="1383" t="s">
        <v>2112</v>
      </c>
      <c r="B54" s="2338" t="s">
        <v>2113</v>
      </c>
      <c r="C54" s="1384">
        <f ca="1">ROUND(IF(F54="押一",C50/12*F11,IF(F54="押二",C50/12*2*F11,IF(F54="押三",C50/12*3*F11,C55*F11))),0)</f>
        <v>0</v>
      </c>
      <c r="D54" s="2339" t="s">
        <v>2806</v>
      </c>
      <c r="E54" s="330" t="s">
        <v>2114</v>
      </c>
      <c r="F54" s="2340"/>
      <c r="I54" s="2726" t="s">
        <v>2809</v>
      </c>
      <c r="J54" s="1350">
        <f>IF(M48="住宅",IF(E1="——",MAX(J52,L49),IF(E1="在建（套用方法）",MAX(J52,L49-'数据-取费表'!B25),MAX(J52,L49-'数据-取费表'!B21))),IF(E1="——",MIN(J52,L49),IF(E1="在建（套用方法）",MIN(J52,L49-'数据-取费表'!B25),IF(E1="土地（套用方法）",MIN(J52,L49-'数据-取费表'!B21)))))</f>
        <v>56</v>
      </c>
      <c r="K54" s="3012" t="s">
        <v>2796</v>
      </c>
      <c r="L54" s="3013"/>
      <c r="O54" s="1366" t="s">
        <v>955</v>
      </c>
      <c r="P54" s="1367" t="s">
        <v>2230</v>
      </c>
      <c r="Q54" s="1368">
        <f ca="1">C40+J29</f>
        <v>26197</v>
      </c>
      <c r="R54" s="1369" t="s">
        <v>2231</v>
      </c>
    </row>
    <row r="55" spans="1:18" s="791" customFormat="1" ht="20.25" thickBot="1">
      <c r="A55" s="1383"/>
      <c r="B55" s="2358" t="s">
        <v>2117</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956</v>
      </c>
      <c r="P55" s="1367" t="s">
        <v>2262</v>
      </c>
      <c r="Q55" s="1368">
        <f>L61</f>
        <v>0</v>
      </c>
      <c r="R55" s="1369" t="s">
        <v>2263</v>
      </c>
    </row>
    <row r="56" spans="1:18" s="791" customFormat="1" ht="20.25" thickBot="1">
      <c r="A56" s="1423" t="s">
        <v>2118</v>
      </c>
      <c r="B56" s="2342" t="s">
        <v>2119</v>
      </c>
      <c r="C56" s="1424"/>
      <c r="D56" s="1440"/>
      <c r="E56" s="2361"/>
      <c r="F56" s="1500"/>
      <c r="I56" s="2362" t="s">
        <v>2264</v>
      </c>
      <c r="J56" s="1870" t="e">
        <f>ROUND(IF(J48="钢混",J58/J51,1-(1-2%)*(J51-J58)/J51),3)</f>
        <v>#VALUE!</v>
      </c>
      <c r="K56" s="2363" t="s">
        <v>2265</v>
      </c>
      <c r="L56" s="1351"/>
      <c r="O56" s="1370" t="s">
        <v>957</v>
      </c>
      <c r="P56" s="1367" t="s">
        <v>2266</v>
      </c>
      <c r="Q56" s="1368">
        <f>IF(L56="比较法",L50,IF(L56="基准地价",L51,0))</f>
        <v>0</v>
      </c>
      <c r="R56" s="1369" t="s">
        <v>2231</v>
      </c>
    </row>
    <row r="57" spans="1:18" s="791" customFormat="1" ht="44.25" thickTop="1" thickBot="1">
      <c r="A57" s="1419">
        <v>2</v>
      </c>
      <c r="B57" s="1420" t="s">
        <v>2120</v>
      </c>
      <c r="C57" s="1499">
        <f ca="1">C13</f>
        <v>3277</v>
      </c>
      <c r="D57" s="1293"/>
      <c r="E57" s="1294"/>
      <c r="F57" s="1301"/>
      <c r="I57" s="2364" t="s">
        <v>2267</v>
      </c>
      <c r="J57" s="1354" t="s">
        <v>2909</v>
      </c>
      <c r="K57" s="2350" t="s">
        <v>2268</v>
      </c>
      <c r="L57" s="1127">
        <f>IF(L49&lt;J52,"——",L49-J52)</f>
        <v>8</v>
      </c>
      <c r="O57" s="1370" t="s">
        <v>958</v>
      </c>
      <c r="P57" s="1367" t="s">
        <v>2269</v>
      </c>
      <c r="Q57" s="1371">
        <f>L53</f>
        <v>0</v>
      </c>
      <c r="R57" s="1369"/>
    </row>
    <row r="58" spans="1:18" s="791" customFormat="1" ht="29.25" thickBot="1">
      <c r="A58" s="1300"/>
      <c r="B58" s="319" t="s">
        <v>2199</v>
      </c>
      <c r="C58" s="188">
        <f ca="1">C29</f>
        <v>4096</v>
      </c>
      <c r="D58" s="1293"/>
      <c r="E58" s="1294"/>
      <c r="F58" s="1301"/>
      <c r="I58" s="2365" t="s">
        <v>2270</v>
      </c>
      <c r="J58" s="1353" t="str">
        <f>IF(OR(M48="住宅",J52&lt;L49,J57="是"),"——",J52-L49)</f>
        <v>——</v>
      </c>
      <c r="K58" s="2350" t="s">
        <v>2271</v>
      </c>
      <c r="L58" s="1127">
        <f ca="1">IF(L49&lt;J52,"——",IF(L56="比较法",L50,IF(L56="基准地价",L51,L52)))</f>
        <v>527334</v>
      </c>
      <c r="O58" s="1370" t="s">
        <v>959</v>
      </c>
      <c r="P58" s="1367" t="s">
        <v>2272</v>
      </c>
      <c r="Q58" s="1368" t="e">
        <f>L59</f>
        <v>#DIV/0!</v>
      </c>
      <c r="R58" s="1369" t="s">
        <v>2273</v>
      </c>
    </row>
    <row r="59" spans="1:18" s="791" customFormat="1" ht="29.25" thickBot="1">
      <c r="A59" s="332" t="s">
        <v>14</v>
      </c>
      <c r="B59" s="333" t="s">
        <v>2202</v>
      </c>
      <c r="C59" s="334">
        <f ca="1">ROUND(C60+C65+C66+C67,0)</f>
        <v>66</v>
      </c>
      <c r="D59" s="12" t="s">
        <v>2203</v>
      </c>
      <c r="E59" s="1896"/>
      <c r="F59" s="16"/>
      <c r="I59" s="2365" t="s">
        <v>2274</v>
      </c>
      <c r="J59" s="1869" t="e">
        <f>IF(J56&lt;0.4,0.4,J56)</f>
        <v>#VALUE!</v>
      </c>
      <c r="K59" s="2356" t="s">
        <v>2275</v>
      </c>
      <c r="L59" s="1127" t="e">
        <f>ROUND(POWER(1+L53,L48-L49)*(POWER(1+L53,L49)-1)/(POWER(1+L53,L48)-1),4)</f>
        <v>#DIV/0!</v>
      </c>
      <c r="O59" s="1370" t="s">
        <v>960</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5" t="s">
        <v>2277</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26197</v>
      </c>
      <c r="R60" s="1369" t="s">
        <v>962</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5.6000000000000001E-2</v>
      </c>
      <c r="I61" s="2366" t="s">
        <v>2278</v>
      </c>
      <c r="J61" s="1352" t="str">
        <f>IF(OR(M48="住宅",J52&lt;L49,J57="是"),"0",ROUND(J60/(1+J53)^J54,0))</f>
        <v>0</v>
      </c>
      <c r="K61" s="2367"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2" t="s">
        <v>2153</v>
      </c>
      <c r="E62" s="319" t="s">
        <v>2156</v>
      </c>
      <c r="F62" s="342">
        <f t="shared" si="0"/>
        <v>0.12</v>
      </c>
      <c r="O62" s="1362" t="s">
        <v>2226</v>
      </c>
      <c r="P62" s="1363" t="s">
        <v>2227</v>
      </c>
      <c r="Q62" s="1364" t="s">
        <v>2228</v>
      </c>
      <c r="R62" s="1365" t="s">
        <v>2229</v>
      </c>
    </row>
    <row r="63" spans="1:18" s="791" customFormat="1" ht="15.75" thickBot="1">
      <c r="A63" s="345" t="s">
        <v>18</v>
      </c>
      <c r="B63" s="80" t="s">
        <v>2282</v>
      </c>
      <c r="C63" s="15" t="str">
        <f>IF(项目基本情况!B7="自然人","——",ROUND(F63*F64,0))</f>
        <v>——</v>
      </c>
      <c r="D63" s="346" t="s">
        <v>2283</v>
      </c>
      <c r="E63" s="319" t="s">
        <v>2284</v>
      </c>
      <c r="F63" s="347">
        <f t="shared" si="0"/>
        <v>0</v>
      </c>
      <c r="I63" s="2368" t="s">
        <v>2285</v>
      </c>
      <c r="J63" s="1873" t="s">
        <v>2286</v>
      </c>
      <c r="K63" s="1873" t="s">
        <v>2287</v>
      </c>
      <c r="L63" s="1873" t="s">
        <v>2288</v>
      </c>
      <c r="M63" s="1872" t="s">
        <v>2289</v>
      </c>
      <c r="O63" s="1366" t="s">
        <v>955</v>
      </c>
      <c r="P63" s="1367" t="s">
        <v>2230</v>
      </c>
      <c r="Q63" s="1368">
        <f ca="1">C40+J29</f>
        <v>26197</v>
      </c>
      <c r="R63" s="1369" t="s">
        <v>2231</v>
      </c>
    </row>
    <row r="64" spans="1:18" s="791" customFormat="1" ht="20.25" thickBot="1">
      <c r="A64" s="348"/>
      <c r="B64" s="328"/>
      <c r="C64" s="19"/>
      <c r="D64" s="349"/>
      <c r="E64" s="319" t="s">
        <v>2290</v>
      </c>
      <c r="F64" s="320">
        <f t="shared" si="0"/>
        <v>0</v>
      </c>
      <c r="I64" s="2368" t="s">
        <v>2291</v>
      </c>
      <c r="J64" s="1873">
        <v>70</v>
      </c>
      <c r="K64" s="1873">
        <v>50</v>
      </c>
      <c r="L64" s="1873">
        <v>80</v>
      </c>
      <c r="M64" s="1871">
        <v>0.02</v>
      </c>
      <c r="O64" s="1366" t="s">
        <v>956</v>
      </c>
      <c r="P64" s="1367" t="s">
        <v>2262</v>
      </c>
      <c r="Q64" s="1368">
        <f>L61</f>
        <v>0</v>
      </c>
      <c r="R64" s="1369" t="s">
        <v>2263</v>
      </c>
    </row>
    <row r="65" spans="1:18" s="791" customFormat="1" ht="23.25" thickBot="1">
      <c r="A65" s="337" t="s">
        <v>19</v>
      </c>
      <c r="B65" s="319" t="s">
        <v>2211</v>
      </c>
      <c r="C65" s="14">
        <f ca="1">ROUND(C58*F65,0)</f>
        <v>61</v>
      </c>
      <c r="D65" s="1891" t="s">
        <v>2212</v>
      </c>
      <c r="E65" s="319" t="s">
        <v>2156</v>
      </c>
      <c r="F65" s="350">
        <f t="shared" si="0"/>
        <v>1.4999999999999999E-2</v>
      </c>
      <c r="I65" s="2368" t="s">
        <v>2292</v>
      </c>
      <c r="J65" s="1873">
        <v>50</v>
      </c>
      <c r="K65" s="1873">
        <v>35</v>
      </c>
      <c r="L65" s="1873">
        <v>60</v>
      </c>
      <c r="M65" s="1872">
        <v>0</v>
      </c>
      <c r="O65" s="1370" t="s">
        <v>957</v>
      </c>
      <c r="P65" s="1367" t="s">
        <v>2266</v>
      </c>
      <c r="Q65" s="1372">
        <f ca="1">L52</f>
        <v>527334</v>
      </c>
      <c r="R65" s="1373" t="s">
        <v>2293</v>
      </c>
    </row>
    <row r="66" spans="1:18" s="791" customFormat="1" ht="20.25" thickBot="1">
      <c r="A66" s="337" t="s">
        <v>20</v>
      </c>
      <c r="B66" s="319" t="s">
        <v>2171</v>
      </c>
      <c r="C66" s="14">
        <f ca="1">ROUND(C57*F66,0)</f>
        <v>5</v>
      </c>
      <c r="D66" s="1891" t="s">
        <v>2172</v>
      </c>
      <c r="E66" s="319" t="s">
        <v>2173</v>
      </c>
      <c r="F66" s="351">
        <f t="shared" si="0"/>
        <v>1.5E-3</v>
      </c>
      <c r="I66" s="2368" t="s">
        <v>2294</v>
      </c>
      <c r="J66" s="1873">
        <v>40</v>
      </c>
      <c r="K66" s="1873">
        <v>30</v>
      </c>
      <c r="L66" s="1873">
        <v>50</v>
      </c>
      <c r="M66" s="1871">
        <v>0.02</v>
      </c>
      <c r="O66" s="1370" t="s">
        <v>958</v>
      </c>
      <c r="P66" s="1374" t="s">
        <v>2295</v>
      </c>
      <c r="Q66" s="1368">
        <f ca="1">ROUND(Q67-Q68*Q69,0)</f>
        <v>717</v>
      </c>
      <c r="R66" s="1369"/>
    </row>
    <row r="67" spans="1:18" s="791" customFormat="1" ht="15.75" thickBot="1">
      <c r="A67" s="337" t="s">
        <v>21</v>
      </c>
      <c r="B67" s="319" t="s">
        <v>2154</v>
      </c>
      <c r="C67" s="14">
        <f ca="1">ROUND(C49*F67,0)</f>
        <v>0</v>
      </c>
      <c r="D67" s="1891" t="s">
        <v>2177</v>
      </c>
      <c r="E67" s="319" t="s">
        <v>2173</v>
      </c>
      <c r="F67" s="329">
        <f t="shared" si="0"/>
        <v>0.01</v>
      </c>
      <c r="O67" s="1370" t="s">
        <v>963</v>
      </c>
      <c r="P67" s="1374" t="s">
        <v>2296</v>
      </c>
      <c r="Q67" s="1368">
        <f ca="1">C39</f>
        <v>979</v>
      </c>
      <c r="R67" s="1369" t="s">
        <v>2231</v>
      </c>
    </row>
    <row r="68" spans="1:18" ht="15.75" thickBot="1">
      <c r="A68" s="332" t="s">
        <v>22</v>
      </c>
      <c r="B68" s="89" t="s">
        <v>2181</v>
      </c>
      <c r="C68" s="334">
        <f ca="1">C49-C59</f>
        <v>-66</v>
      </c>
      <c r="D68" s="1886" t="s">
        <v>2182</v>
      </c>
      <c r="E68" s="1890"/>
      <c r="F68" s="353"/>
      <c r="H68" s="791"/>
      <c r="I68" s="791"/>
      <c r="J68" s="791"/>
      <c r="K68" s="791"/>
      <c r="L68" s="791"/>
      <c r="M68" s="791"/>
      <c r="O68" s="1370" t="s">
        <v>964</v>
      </c>
      <c r="P68" s="1374" t="s">
        <v>2297</v>
      </c>
      <c r="Q68" s="1368">
        <f ca="1">C13</f>
        <v>3277</v>
      </c>
      <c r="R68" s="1369" t="s">
        <v>2231</v>
      </c>
    </row>
    <row r="69" spans="1:18" ht="15.75" thickBot="1">
      <c r="A69" s="316" t="s">
        <v>23</v>
      </c>
      <c r="B69" s="317" t="s">
        <v>2219</v>
      </c>
      <c r="C69" s="318">
        <f ca="1">ROUND(C68*(1-((1+F71)/(1+F69))^F70)/(F69-F71),0)</f>
        <v>-1234</v>
      </c>
      <c r="D69" s="346" t="s">
        <v>2187</v>
      </c>
      <c r="E69" s="319" t="s">
        <v>2188</v>
      </c>
      <c r="F69" s="329">
        <f>F40</f>
        <v>0.05</v>
      </c>
      <c r="H69" s="791"/>
      <c r="I69" s="791"/>
      <c r="J69" s="791"/>
      <c r="K69" s="791"/>
      <c r="L69" s="791"/>
      <c r="M69" s="791"/>
      <c r="O69" s="1370" t="s">
        <v>965</v>
      </c>
      <c r="P69" s="1374" t="s">
        <v>2298</v>
      </c>
      <c r="Q69" s="1371">
        <f>J35</f>
        <v>0.08</v>
      </c>
      <c r="R69" s="1369"/>
    </row>
    <row r="70" spans="1:18" ht="15.75" thickBot="1">
      <c r="A70" s="321"/>
      <c r="B70" s="322"/>
      <c r="C70" s="323"/>
      <c r="D70" s="354" t="s">
        <v>2221</v>
      </c>
      <c r="E70" s="319" t="s">
        <v>2193</v>
      </c>
      <c r="F70" s="355">
        <f>F41</f>
        <v>56</v>
      </c>
      <c r="H70" s="791"/>
      <c r="I70" s="791"/>
      <c r="J70" s="791"/>
      <c r="K70" s="791"/>
      <c r="L70" s="791"/>
      <c r="M70" s="791"/>
      <c r="O70" s="1370" t="s">
        <v>959</v>
      </c>
      <c r="P70" s="1367" t="s">
        <v>2269</v>
      </c>
      <c r="Q70" s="1371">
        <f>L53</f>
        <v>0</v>
      </c>
      <c r="R70" s="1369"/>
    </row>
    <row r="71" spans="1:18" ht="20.25" thickBot="1">
      <c r="A71" s="325"/>
      <c r="B71" s="326"/>
      <c r="C71" s="327"/>
      <c r="D71" s="349"/>
      <c r="E71" s="319" t="s">
        <v>2197</v>
      </c>
      <c r="F71" s="1355"/>
      <c r="H71" s="791"/>
      <c r="M71" s="791"/>
      <c r="O71" s="1370" t="s">
        <v>960</v>
      </c>
      <c r="P71" s="1367" t="s">
        <v>2272</v>
      </c>
      <c r="Q71" s="1368" t="e">
        <f>L59</f>
        <v>#DIV/0!</v>
      </c>
      <c r="R71" s="1369" t="s">
        <v>2273</v>
      </c>
    </row>
    <row r="72" spans="1:18" ht="15.75" thickBot="1">
      <c r="A72" s="356" t="s">
        <v>24</v>
      </c>
      <c r="B72" s="357" t="s">
        <v>2222</v>
      </c>
      <c r="C72" s="358">
        <f ca="1">ROUND(C69/F72,0)</f>
        <v>-1234</v>
      </c>
      <c r="D72" s="359" t="s">
        <v>2223</v>
      </c>
      <c r="E72" s="360" t="s">
        <v>2224</v>
      </c>
      <c r="F72" s="361">
        <f>F43</f>
        <v>1</v>
      </c>
      <c r="O72" s="1370" t="s">
        <v>966</v>
      </c>
      <c r="P72" s="1367" t="str">
        <f>K60</f>
        <v>建筑物剩余耐用年限下的土地年期修正系数Kn</v>
      </c>
      <c r="Q72" s="1368" t="e">
        <f>L60</f>
        <v>#DIV/0!</v>
      </c>
      <c r="R72" s="1369" t="s">
        <v>2276</v>
      </c>
    </row>
    <row r="73" spans="1:18" ht="15.75" thickBot="1">
      <c r="A73" s="791"/>
      <c r="B73" s="795"/>
      <c r="C73" s="795"/>
      <c r="D73" s="791"/>
      <c r="E73" s="791"/>
      <c r="F73" s="791"/>
      <c r="O73" s="1366" t="s">
        <v>961</v>
      </c>
      <c r="P73" s="1367" t="str">
        <f>IF(C2="元","收益价值(元)","收益价值(万元)")</f>
        <v>收益价值(元)</v>
      </c>
      <c r="Q73" s="1368">
        <f ca="1">ROUND(IF(C2="元",Q63+Q64,(Q63+Q64)/10000),0)</f>
        <v>26197</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10"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t="s">
        <v>2855</v>
      </c>
      <c r="C1" s="162"/>
      <c r="D1" s="162"/>
      <c r="E1" s="162"/>
      <c r="F1" s="162"/>
      <c r="G1" s="163"/>
    </row>
    <row r="2" spans="1:7" s="164" customFormat="1" ht="18" customHeight="1">
      <c r="A2" s="165" t="s">
        <v>2005</v>
      </c>
      <c r="B2" s="166">
        <f ca="1">IF(D2="——",IF(C2="元",C52,ROUND(C52/10000,0)),IF(C2="元",C52,ROUND(C52/10000,0))-E2)</f>
        <v>47439</v>
      </c>
      <c r="C2" s="163" t="str">
        <f>'数据-取费表'!B3</f>
        <v>元</v>
      </c>
      <c r="D2" s="2333" t="s">
        <v>1250</v>
      </c>
      <c r="E2" s="1545" t="e">
        <f ca="1">SUMIF(INDIRECT("'"&amp;G2&amp;"'"&amp;"!A:A"),"承租人权益价值",INDIRECT("'"&amp;G2&amp;"'"&amp;"!c:c"))</f>
        <v>#REF!</v>
      </c>
      <c r="F2" s="2334" t="str">
        <f>C2</f>
        <v>元</v>
      </c>
      <c r="G2" s="1904"/>
    </row>
    <row r="3" spans="1:7" s="164" customFormat="1" ht="18" customHeight="1" thickBot="1">
      <c r="A3" s="167" t="s">
        <v>2006</v>
      </c>
      <c r="B3" s="168">
        <f ca="1">ROUND(C52/IF(B1="仅计算典型户型",'数据-取费表'!E5,'数据-取费表'!B5),0)</f>
        <v>47439</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 ca="1">C6+C7+C8</f>
        <v>30785</v>
      </c>
      <c r="D5" s="195" t="s">
        <v>2011</v>
      </c>
      <c r="E5" s="1531" t="s">
        <v>2012</v>
      </c>
      <c r="F5" s="1531" t="s">
        <v>2013</v>
      </c>
      <c r="G5" s="174"/>
    </row>
    <row r="6" spans="1:7" s="175" customFormat="1" ht="13.5" customHeight="1">
      <c r="A6" s="176" t="s">
        <v>2014</v>
      </c>
      <c r="B6" s="177" t="s">
        <v>2015</v>
      </c>
      <c r="C6" s="1530">
        <f ca="1">基准地价修正!B2</f>
        <v>29719</v>
      </c>
      <c r="D6" s="1532"/>
      <c r="E6" s="1533"/>
      <c r="F6" s="1533"/>
      <c r="G6" s="179"/>
    </row>
    <row r="7" spans="1:7" s="175" customFormat="1" ht="13.5" customHeight="1">
      <c r="A7" s="176" t="s">
        <v>2016</v>
      </c>
      <c r="B7" s="177" t="s">
        <v>2017</v>
      </c>
      <c r="C7" s="199">
        <f ca="1">ROUND(C6*F7,0)</f>
        <v>906</v>
      </c>
      <c r="D7" s="199"/>
      <c r="E7" s="1533"/>
      <c r="F7" s="1534">
        <f>'数据-取费表'!E36+'数据-取费表'!E37</f>
        <v>3.0499999999999999E-2</v>
      </c>
      <c r="G7" s="179"/>
    </row>
    <row r="8" spans="1:7" s="180" customFormat="1">
      <c r="A8" s="176" t="s">
        <v>2018</v>
      </c>
      <c r="B8" s="177" t="s">
        <v>2019</v>
      </c>
      <c r="C8" s="199">
        <f>IF(G8="已包含在土地购买价格中","0",'数据-取费表'!E13)</f>
        <v>160</v>
      </c>
      <c r="D8" s="1535"/>
      <c r="E8" s="199"/>
      <c r="F8" s="1534"/>
      <c r="G8" s="2335" t="s">
        <v>2856</v>
      </c>
    </row>
    <row r="9" spans="1:7" s="175" customFormat="1" ht="13.5" customHeight="1">
      <c r="A9" s="1303" t="s">
        <v>951</v>
      </c>
      <c r="B9" s="181" t="s">
        <v>2020</v>
      </c>
      <c r="C9" s="1536">
        <f>ROUND(D9*E9,0)</f>
        <v>160</v>
      </c>
      <c r="D9" s="1537">
        <f>IF('数据-取费表'!B10="住宅",IF(B1="仅计算典型户型",'数据-取费表'!E5,'数据-取费表'!B5),0)</f>
        <v>1</v>
      </c>
      <c r="E9" s="1536">
        <f>'数据-取费表'!E11</f>
        <v>160</v>
      </c>
      <c r="F9" s="1534"/>
      <c r="G9" s="182"/>
    </row>
    <row r="10" spans="1:7" s="175" customFormat="1" ht="13.5" customHeight="1">
      <c r="A10" s="1303" t="s">
        <v>952</v>
      </c>
      <c r="B10" s="181" t="s">
        <v>2021</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t="str">
        <f>IF(G19="已包含在土地取得成本中","0",ROUND(D19*E19,0))</f>
        <v>0</v>
      </c>
      <c r="D19" s="1540">
        <f>IF(B1="仅计算典型户型",'数据-取费表'!E5,'数据-取费表'!B5)</f>
        <v>1</v>
      </c>
      <c r="E19" s="195">
        <f>'数据-取费表'!E15</f>
        <v>0</v>
      </c>
      <c r="F19" s="196"/>
      <c r="G19" s="2335" t="s">
        <v>2857</v>
      </c>
    </row>
    <row r="20" spans="1:7" s="175" customFormat="1" ht="13.5" customHeight="1">
      <c r="A20" s="204" t="s">
        <v>2033</v>
      </c>
      <c r="B20" s="173" t="s">
        <v>2034</v>
      </c>
      <c r="C20" s="183">
        <f ca="1">ROUND((C5+C19)*F20,0)</f>
        <v>616</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3023</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4">
        <f ca="1">ROUND(IF('数据-取费表'!B23&lt;=1,C5*F22*'数据-取费表'!B24,C5*(POWER((1+F22),'数据-取费表'!B24)-1)),0)</f>
        <v>2994</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4">
        <f ca="1">ROUND(IF('数据-取费表'!B23&lt;=1,C20*F22*'数据-取费表'!B24/2,C20*(POWER((1+F22),'数据-取费表'!B24/2)-1)),0)</f>
        <v>29</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4" t="s">
        <v>2051</v>
      </c>
      <c r="B27" s="194" t="s">
        <v>2052</v>
      </c>
      <c r="C27" s="195">
        <f ca="1">C28</f>
        <v>6280</v>
      </c>
      <c r="D27" s="185">
        <f>C29</f>
        <v>4.0000000000000001E-3</v>
      </c>
      <c r="E27" s="186" t="s">
        <v>2038</v>
      </c>
      <c r="F27" s="196">
        <f>'数据-取费表'!E28</f>
        <v>0.2</v>
      </c>
      <c r="G27" s="197" t="s">
        <v>2053</v>
      </c>
    </row>
    <row r="28" spans="1:7" s="175" customFormat="1" ht="13.5" customHeight="1">
      <c r="A28" s="176" t="s">
        <v>2042</v>
      </c>
      <c r="B28" s="198" t="s">
        <v>2054</v>
      </c>
      <c r="C28" s="199">
        <f ca="1">ROUND((C5+C19+C20)*F27*'数据-取费表'!B22/'数据-取费表'!B21,0)</f>
        <v>6280</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4"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44162</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2967</v>
      </c>
      <c r="D33" s="183"/>
      <c r="E33" s="1531"/>
      <c r="F33" s="191"/>
      <c r="G33" s="184"/>
    </row>
    <row r="34" spans="1:7" s="206" customFormat="1" ht="13.5" customHeight="1">
      <c r="A34" s="176" t="s">
        <v>2042</v>
      </c>
      <c r="B34" s="177" t="s">
        <v>2064</v>
      </c>
      <c r="C34" s="199">
        <f>IF(B1="仅计算典型户型",'数据-取费表'!F18,'数据-取费表'!E18)</f>
        <v>2550</v>
      </c>
      <c r="D34" s="1532"/>
      <c r="E34" s="199"/>
      <c r="F34" s="1543" t="str">
        <f>IF('数据-取费表'!B25=0,"",'数据-取费表'!E20)</f>
        <v/>
      </c>
      <c r="G34" s="179"/>
    </row>
    <row r="35" spans="1:7" ht="13.5" customHeight="1">
      <c r="A35" s="176" t="s">
        <v>2016</v>
      </c>
      <c r="B35" s="177" t="s">
        <v>2065</v>
      </c>
      <c r="C35" s="199">
        <f>ROUND(C34*F35,0)</f>
        <v>77</v>
      </c>
      <c r="D35" s="199"/>
      <c r="E35" s="199"/>
      <c r="F35" s="1544">
        <f>'数据-取费表'!E21</f>
        <v>0.03</v>
      </c>
      <c r="G35" s="179" t="s">
        <v>2066</v>
      </c>
    </row>
    <row r="36" spans="1:7" ht="24">
      <c r="A36" s="176" t="s">
        <v>2018</v>
      </c>
      <c r="B36" s="177" t="s">
        <v>2067</v>
      </c>
      <c r="C36" s="199">
        <f>ROUND(IF('数据-取费表'!B10="住宅",C34*F36,0),0)</f>
        <v>102</v>
      </c>
      <c r="D36" s="199"/>
      <c r="E36" s="199"/>
      <c r="F36" s="1544">
        <f>'数据-取费表'!E22</f>
        <v>0.04</v>
      </c>
      <c r="G36" s="207" t="s">
        <v>2068</v>
      </c>
    </row>
    <row r="37" spans="1:7" s="206" customFormat="1" ht="13.5" customHeight="1">
      <c r="A37" s="176" t="s">
        <v>2049</v>
      </c>
      <c r="B37" s="177" t="s">
        <v>2069</v>
      </c>
      <c r="C37" s="199">
        <f>ROUND(E37*D37,0)</f>
        <v>200</v>
      </c>
      <c r="D37" s="1532">
        <f>IF(B1="仅计算典型户型",'数据-取费表'!E5,'数据-取费表'!B5)</f>
        <v>1</v>
      </c>
      <c r="E37" s="199">
        <f>'数据-取费表'!E23</f>
        <v>200</v>
      </c>
      <c r="F37" s="1544"/>
      <c r="G37" s="208" t="s">
        <v>2070</v>
      </c>
    </row>
    <row r="38" spans="1:7" ht="13.5" customHeight="1">
      <c r="A38" s="176" t="s">
        <v>2071</v>
      </c>
      <c r="B38" s="177" t="s">
        <v>2072</v>
      </c>
      <c r="C38" s="199">
        <f>ROUND(C34*F38,0)</f>
        <v>38</v>
      </c>
      <c r="D38" s="199"/>
      <c r="E38" s="199"/>
      <c r="F38" s="1544">
        <f>'数据-取费表'!E24</f>
        <v>1.4999999999999999E-2</v>
      </c>
      <c r="G38" s="179" t="s">
        <v>2066</v>
      </c>
    </row>
    <row r="39" spans="1:7" s="175" customFormat="1" ht="13.5" customHeight="1">
      <c r="A39" s="204" t="s">
        <v>2031</v>
      </c>
      <c r="B39" s="173" t="s">
        <v>2034</v>
      </c>
      <c r="C39" s="183">
        <f>ROUND(C33*F20,0)</f>
        <v>59</v>
      </c>
      <c r="D39" s="183"/>
      <c r="E39" s="183"/>
      <c r="F39" s="187"/>
      <c r="G39" s="184" t="s">
        <v>2073</v>
      </c>
    </row>
    <row r="40" spans="1:7" s="175" customFormat="1" ht="13.5" customHeight="1">
      <c r="A40" s="204" t="s">
        <v>2033</v>
      </c>
      <c r="B40" s="173" t="s">
        <v>2037</v>
      </c>
      <c r="C40" s="1818">
        <f>F21</f>
        <v>0.02</v>
      </c>
      <c r="D40" s="186" t="s">
        <v>2074</v>
      </c>
      <c r="E40" s="183"/>
      <c r="F40" s="187"/>
      <c r="G40" s="184" t="s">
        <v>2075</v>
      </c>
    </row>
    <row r="41" spans="1:7" s="175" customFormat="1" ht="13.5" customHeight="1">
      <c r="A41" s="204" t="s">
        <v>2036</v>
      </c>
      <c r="B41" s="173" t="s">
        <v>2041</v>
      </c>
      <c r="C41" s="183">
        <f ca="1">ROUND(SUM(C42:C43),0)</f>
        <v>144</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141</v>
      </c>
      <c r="D42" s="188"/>
      <c r="E42" s="188"/>
      <c r="F42" s="189"/>
      <c r="G42" s="3014" t="s">
        <v>2076</v>
      </c>
    </row>
    <row r="43" spans="1:7" ht="13.5" customHeight="1">
      <c r="A43" s="176" t="s">
        <v>2016</v>
      </c>
      <c r="B43" s="177" t="s">
        <v>2045</v>
      </c>
      <c r="C43" s="188">
        <f ca="1">ROUND(IF('数据-取费表'!B23&lt;=1,C39*F22*'数据-取费表'!B22/2,C39*(POWER((1+F22),'数据-取费表'!B22/2)-1)),0)</f>
        <v>3</v>
      </c>
      <c r="D43" s="188"/>
      <c r="E43" s="188"/>
      <c r="F43" s="189"/>
      <c r="G43" s="3015"/>
    </row>
    <row r="44" spans="1:7" ht="13.5" customHeight="1">
      <c r="A44" s="176" t="s">
        <v>2018</v>
      </c>
      <c r="B44" s="177" t="s">
        <v>2047</v>
      </c>
      <c r="C44" s="188">
        <f ca="1">ROUND(IF('数据-取费表'!B23&lt;=1,C40*F22*'数据-取费表'!B22/2,C40*(POWER((1+F22),'数据-取费表'!B22/2)-1)),4)</f>
        <v>1E-3</v>
      </c>
      <c r="D44" s="188"/>
      <c r="E44" s="188"/>
      <c r="F44" s="189"/>
      <c r="G44" s="3016"/>
    </row>
    <row r="45" spans="1:7" s="175" customFormat="1" ht="13.5" customHeight="1">
      <c r="A45" s="204" t="s">
        <v>2040</v>
      </c>
      <c r="B45" s="194" t="s">
        <v>2052</v>
      </c>
      <c r="C45" s="195">
        <f>C46</f>
        <v>605</v>
      </c>
      <c r="D45" s="185">
        <f>C47</f>
        <v>4.0000000000000001E-3</v>
      </c>
      <c r="E45" s="186" t="s">
        <v>2074</v>
      </c>
      <c r="F45" s="196"/>
      <c r="G45" s="197" t="s">
        <v>2077</v>
      </c>
    </row>
    <row r="46" spans="1:7" s="175" customFormat="1" ht="13.5" customHeight="1">
      <c r="A46" s="176" t="s">
        <v>2042</v>
      </c>
      <c r="B46" s="198" t="s">
        <v>2078</v>
      </c>
      <c r="C46" s="199">
        <f>ROUND((C33+C39)*F27,0)</f>
        <v>605</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4" t="s">
        <v>2051</v>
      </c>
      <c r="B48" s="173" t="s">
        <v>2080</v>
      </c>
      <c r="C48" s="1818">
        <f>ROUND(F30/(1+'数据-取费表'!F30),4)</f>
        <v>5.33E-2</v>
      </c>
      <c r="D48" s="186" t="s">
        <v>2074</v>
      </c>
      <c r="E48" s="183"/>
      <c r="F48" s="187"/>
      <c r="G48" s="184" t="s">
        <v>2081</v>
      </c>
    </row>
    <row r="49" spans="1:7" ht="16.5" customHeight="1">
      <c r="A49" s="1304" t="s">
        <v>2082</v>
      </c>
      <c r="B49" s="173" t="s">
        <v>2083</v>
      </c>
      <c r="C49" s="183">
        <f ca="1">ROUND((C33+C39+C41+C45)/(1-C40-D41-D45-C48),0)</f>
        <v>4096</v>
      </c>
      <c r="D49" s="183"/>
      <c r="E49" s="183"/>
      <c r="F49" s="210"/>
      <c r="G49" s="184" t="s">
        <v>2084</v>
      </c>
    </row>
    <row r="50" spans="1:7" s="206" customFormat="1" ht="24">
      <c r="A50" s="1304" t="s">
        <v>2085</v>
      </c>
      <c r="B50" s="173" t="s">
        <v>2086</v>
      </c>
      <c r="C50" s="183"/>
      <c r="D50" s="183"/>
      <c r="E50" s="183"/>
      <c r="F50" s="210">
        <f>IF('数据-取费表'!B25=0,'数据-取费表'!E20,1)</f>
        <v>0.8</v>
      </c>
      <c r="G50" s="197" t="s">
        <v>2087</v>
      </c>
    </row>
    <row r="51" spans="1:7" ht="16.5" customHeight="1">
      <c r="A51" s="1304" t="s">
        <v>2088</v>
      </c>
      <c r="B51" s="173" t="s">
        <v>2089</v>
      </c>
      <c r="C51" s="183">
        <f ca="1">ROUND(C49*F50,0)</f>
        <v>3277</v>
      </c>
      <c r="D51" s="183"/>
      <c r="E51" s="183"/>
      <c r="F51" s="210"/>
      <c r="G51" s="184" t="s">
        <v>2090</v>
      </c>
    </row>
    <row r="52" spans="1:7" s="172" customFormat="1" ht="16.5" thickBot="1">
      <c r="A52" s="211" t="s">
        <v>2091</v>
      </c>
      <c r="B52" s="212"/>
      <c r="C52" s="213">
        <f ca="1">C31+C51</f>
        <v>47439</v>
      </c>
      <c r="D52" s="212"/>
      <c r="E52" s="212"/>
      <c r="F52" s="212"/>
      <c r="G52" s="214"/>
    </row>
    <row r="55" spans="1:7" ht="15">
      <c r="B55" s="216" t="s">
        <v>2092</v>
      </c>
      <c r="C55" s="217"/>
    </row>
    <row r="56" spans="1:7">
      <c r="B56" s="219" t="s">
        <v>2093</v>
      </c>
      <c r="C56" s="220">
        <f ca="1">ROUND(C51/C52,3)</f>
        <v>6.9000000000000006E-2</v>
      </c>
    </row>
    <row r="57" spans="1:7">
      <c r="B57" s="219" t="s">
        <v>2094</v>
      </c>
      <c r="C57" s="221">
        <f ca="1">1-C56</f>
        <v>0.93100000000000005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159</v>
      </c>
      <c r="C2" s="1967" t="str">
        <f>'数据-取费表'!B3</f>
        <v>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0.04</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-160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-160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-3</v>
      </c>
      <c r="D22" s="264"/>
      <c r="E22" s="264"/>
      <c r="F22" s="265">
        <f>'数据-取费表'!E25</f>
        <v>0.02</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-33</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-33</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159</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f>项目基本情况!B4</f>
        <v>0</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3" t="s">
        <v>1022</v>
      </c>
      <c r="B1" s="3034"/>
      <c r="C1" s="3035"/>
      <c r="D1" s="3036">
        <f>SUM(I10,I15,I20,I21,I23)</f>
        <v>0</v>
      </c>
      <c r="E1" s="3036"/>
      <c r="F1" s="3036"/>
      <c r="G1" s="3036"/>
      <c r="H1" s="3036"/>
      <c r="I1" s="3037"/>
    </row>
    <row r="2" spans="1:9">
      <c r="A2" s="3023" t="s">
        <v>1023</v>
      </c>
      <c r="B2" s="3024" t="s">
        <v>972</v>
      </c>
      <c r="C2" s="3024"/>
      <c r="D2" s="1388" t="s">
        <v>973</v>
      </c>
      <c r="E2" s="1388" t="s">
        <v>974</v>
      </c>
      <c r="F2" s="1388" t="s">
        <v>975</v>
      </c>
      <c r="G2" s="1388" t="s">
        <v>976</v>
      </c>
      <c r="H2" s="1388" t="s">
        <v>977</v>
      </c>
      <c r="I2" s="1389" t="s">
        <v>978</v>
      </c>
    </row>
    <row r="3" spans="1:9">
      <c r="A3" s="3023"/>
      <c r="B3" s="3024" t="s">
        <v>979</v>
      </c>
      <c r="C3" s="3024"/>
      <c r="D3" s="1390"/>
      <c r="E3" s="1388"/>
      <c r="F3" s="1391"/>
      <c r="G3" s="1391"/>
      <c r="H3" s="1392"/>
      <c r="I3" s="1393">
        <f>ROUND(D3*E3*F3*G3*H3/10000,0)</f>
        <v>0</v>
      </c>
    </row>
    <row r="4" spans="1:9">
      <c r="A4" s="3023"/>
      <c r="B4" s="3024" t="s">
        <v>980</v>
      </c>
      <c r="C4" s="3024"/>
      <c r="D4" s="1390"/>
      <c r="E4" s="1388"/>
      <c r="F4" s="1391"/>
      <c r="G4" s="1391"/>
      <c r="H4" s="1392"/>
      <c r="I4" s="1393">
        <f t="shared" ref="I4:I9" si="0">ROUND(D4*E4*F4*G4*H4/10000,0)</f>
        <v>0</v>
      </c>
    </row>
    <row r="5" spans="1:9">
      <c r="A5" s="3023"/>
      <c r="B5" s="3024" t="s">
        <v>981</v>
      </c>
      <c r="C5" s="3024"/>
      <c r="D5" s="1390"/>
      <c r="E5" s="1388"/>
      <c r="F5" s="1391"/>
      <c r="G5" s="1391"/>
      <c r="H5" s="1392"/>
      <c r="I5" s="1393">
        <f t="shared" si="0"/>
        <v>0</v>
      </c>
    </row>
    <row r="6" spans="1:9">
      <c r="A6" s="3023"/>
      <c r="B6" s="3024" t="s">
        <v>982</v>
      </c>
      <c r="C6" s="3024"/>
      <c r="D6" s="1390"/>
      <c r="E6" s="1388"/>
      <c r="F6" s="1391"/>
      <c r="G6" s="1391"/>
      <c r="H6" s="1392"/>
      <c r="I6" s="1393">
        <f t="shared" si="0"/>
        <v>0</v>
      </c>
    </row>
    <row r="7" spans="1:9">
      <c r="A7" s="3023"/>
      <c r="B7" s="3024" t="s">
        <v>983</v>
      </c>
      <c r="C7" s="3024"/>
      <c r="D7" s="1390"/>
      <c r="E7" s="1388"/>
      <c r="F7" s="1391"/>
      <c r="G7" s="1391"/>
      <c r="H7" s="1392"/>
      <c r="I7" s="1393">
        <f t="shared" si="0"/>
        <v>0</v>
      </c>
    </row>
    <row r="8" spans="1:9">
      <c r="A8" s="3023"/>
      <c r="B8" s="3024" t="s">
        <v>984</v>
      </c>
      <c r="C8" s="3024"/>
      <c r="D8" s="1390"/>
      <c r="E8" s="1388"/>
      <c r="F8" s="1391"/>
      <c r="G8" s="1391"/>
      <c r="H8" s="1392"/>
      <c r="I8" s="1393">
        <f t="shared" si="0"/>
        <v>0</v>
      </c>
    </row>
    <row r="9" spans="1:9">
      <c r="A9" s="3023"/>
      <c r="B9" s="3024" t="s">
        <v>985</v>
      </c>
      <c r="C9" s="3024"/>
      <c r="D9" s="1390"/>
      <c r="E9" s="1388"/>
      <c r="F9" s="1391"/>
      <c r="G9" s="1391"/>
      <c r="H9" s="1392"/>
      <c r="I9" s="1393">
        <f t="shared" si="0"/>
        <v>0</v>
      </c>
    </row>
    <row r="10" spans="1:9">
      <c r="A10" s="3023"/>
      <c r="B10" s="3025" t="s">
        <v>986</v>
      </c>
      <c r="C10" s="3025"/>
      <c r="D10" s="1394">
        <v>527</v>
      </c>
      <c r="E10" s="1394" t="e">
        <f>ROUND(D1*10000/D10/H9,0)</f>
        <v>#DIV/0!</v>
      </c>
      <c r="F10" s="1395"/>
      <c r="G10" s="1395"/>
      <c r="H10" s="1396"/>
      <c r="I10" s="1397">
        <f>SUM(I3:I9)</f>
        <v>0</v>
      </c>
    </row>
    <row r="11" spans="1:9" ht="14.25">
      <c r="A11" s="3023" t="s">
        <v>1024</v>
      </c>
      <c r="B11" s="3024" t="s">
        <v>987</v>
      </c>
      <c r="C11" s="3024"/>
      <c r="D11" s="1390" t="s">
        <v>988</v>
      </c>
      <c r="E11" s="1390" t="s">
        <v>989</v>
      </c>
      <c r="F11" s="1391" t="s">
        <v>990</v>
      </c>
      <c r="G11" s="1391" t="s">
        <v>977</v>
      </c>
      <c r="H11" s="1398" t="s">
        <v>991</v>
      </c>
      <c r="I11" s="1389" t="s">
        <v>978</v>
      </c>
    </row>
    <row r="12" spans="1:9">
      <c r="A12" s="3023"/>
      <c r="B12" s="3024" t="s">
        <v>992</v>
      </c>
      <c r="C12" s="3024"/>
      <c r="D12" s="1390"/>
      <c r="E12" s="1390"/>
      <c r="F12" s="1391"/>
      <c r="G12" s="1392"/>
      <c r="H12" s="1399"/>
      <c r="I12" s="1389">
        <f>ROUND(D12*E12*F12*G12/10000,0)</f>
        <v>0</v>
      </c>
    </row>
    <row r="13" spans="1:9">
      <c r="A13" s="3023"/>
      <c r="B13" s="3024" t="s">
        <v>993</v>
      </c>
      <c r="C13" s="3024"/>
      <c r="D13" s="1390"/>
      <c r="E13" s="1390"/>
      <c r="F13" s="1391"/>
      <c r="G13" s="1392"/>
      <c r="H13" s="1399"/>
      <c r="I13" s="1389">
        <f>ROUND(D13*E13*F13*G13/10000,0)</f>
        <v>0</v>
      </c>
    </row>
    <row r="14" spans="1:9">
      <c r="A14" s="3023"/>
      <c r="B14" s="3024" t="s">
        <v>994</v>
      </c>
      <c r="C14" s="3024"/>
      <c r="D14" s="1390"/>
      <c r="E14" s="1390"/>
      <c r="F14" s="1391"/>
      <c r="G14" s="1392"/>
      <c r="H14" s="1399"/>
      <c r="I14" s="1389">
        <f>ROUND(D14*E14*F14*G14/10000,0)</f>
        <v>0</v>
      </c>
    </row>
    <row r="15" spans="1:9">
      <c r="A15" s="3023"/>
      <c r="B15" s="3025" t="s">
        <v>986</v>
      </c>
      <c r="C15" s="3025"/>
      <c r="D15" s="1394"/>
      <c r="E15" s="1394">
        <f>SUM(E12:E14)</f>
        <v>0</v>
      </c>
      <c r="F15" s="1395"/>
      <c r="G15" s="1392"/>
      <c r="H15" s="1399"/>
      <c r="I15" s="1400">
        <f>SUM(I12:I14)</f>
        <v>0</v>
      </c>
    </row>
    <row r="16" spans="1:9" ht="24">
      <c r="A16" s="3023" t="s">
        <v>1025</v>
      </c>
      <c r="B16" s="3024" t="s">
        <v>995</v>
      </c>
      <c r="C16" s="3024"/>
      <c r="D16" s="1390" t="s">
        <v>973</v>
      </c>
      <c r="E16" s="1401" t="s">
        <v>996</v>
      </c>
      <c r="F16" s="1391" t="s">
        <v>997</v>
      </c>
      <c r="G16" s="1392" t="s">
        <v>977</v>
      </c>
      <c r="H16" s="1398" t="s">
        <v>991</v>
      </c>
      <c r="I16" s="1389" t="s">
        <v>978</v>
      </c>
    </row>
    <row r="17" spans="1:9" ht="14.25">
      <c r="A17" s="3023"/>
      <c r="B17" s="3024" t="s">
        <v>998</v>
      </c>
      <c r="C17" s="3024"/>
      <c r="D17" s="1390"/>
      <c r="E17" s="1390"/>
      <c r="F17" s="1391"/>
      <c r="G17" s="1392"/>
      <c r="H17" s="1402"/>
      <c r="I17" s="1403">
        <f>ROUND(D17*E17*F17*G17/10000,0)</f>
        <v>0</v>
      </c>
    </row>
    <row r="18" spans="1:9" ht="14.25">
      <c r="A18" s="3023"/>
      <c r="B18" s="3024" t="s">
        <v>999</v>
      </c>
      <c r="C18" s="3024"/>
      <c r="D18" s="1390"/>
      <c r="E18" s="1390"/>
      <c r="F18" s="1391"/>
      <c r="G18" s="1392"/>
      <c r="H18" s="1402"/>
      <c r="I18" s="1403">
        <f>ROUND(D18*E18*F18*G18/10000,0)</f>
        <v>0</v>
      </c>
    </row>
    <row r="19" spans="1:9" ht="14.25">
      <c r="A19" s="3023"/>
      <c r="B19" s="3024" t="s">
        <v>1000</v>
      </c>
      <c r="C19" s="3024"/>
      <c r="D19" s="1390"/>
      <c r="E19" s="1390"/>
      <c r="F19" s="1391"/>
      <c r="G19" s="1392"/>
      <c r="H19" s="1402"/>
      <c r="I19" s="1403">
        <f>ROUND(D19*E19*F19*G19/10000,0)</f>
        <v>0</v>
      </c>
    </row>
    <row r="20" spans="1:9">
      <c r="A20" s="3023"/>
      <c r="B20" s="3025" t="s">
        <v>986</v>
      </c>
      <c r="C20" s="3025"/>
      <c r="D20" s="1394">
        <f>SUM(D17:D19)</f>
        <v>0</v>
      </c>
      <c r="E20" s="1394"/>
      <c r="F20" s="1395"/>
      <c r="G20" s="1392"/>
      <c r="H20" s="1399"/>
      <c r="I20" s="1400">
        <f>SUM(I17:I19)</f>
        <v>0</v>
      </c>
    </row>
    <row r="21" spans="1:9">
      <c r="A21" s="3023" t="s">
        <v>1026</v>
      </c>
      <c r="B21" s="3026"/>
      <c r="C21" s="3026"/>
      <c r="D21" s="3026"/>
      <c r="E21" s="3026"/>
      <c r="F21" s="3026"/>
      <c r="G21" s="3026"/>
      <c r="H21" s="1404">
        <v>0.1</v>
      </c>
      <c r="I21" s="1397">
        <f>ROUND(I10*H21,0)</f>
        <v>0</v>
      </c>
    </row>
    <row r="22" spans="1:9" ht="14.25">
      <c r="A22" s="3027" t="s">
        <v>1027</v>
      </c>
      <c r="B22" s="3028"/>
      <c r="C22" s="3029"/>
      <c r="D22" s="1405" t="s">
        <v>1001</v>
      </c>
      <c r="E22" s="1405" t="s">
        <v>1002</v>
      </c>
      <c r="F22" s="1406" t="s">
        <v>977</v>
      </c>
      <c r="G22" s="1406" t="s">
        <v>1003</v>
      </c>
      <c r="H22" s="1398" t="s">
        <v>991</v>
      </c>
      <c r="I22" s="1389" t="s">
        <v>978</v>
      </c>
    </row>
    <row r="23" spans="1:9" ht="14.25" thickBot="1">
      <c r="A23" s="3030"/>
      <c r="B23" s="3031"/>
      <c r="C23" s="3032"/>
      <c r="D23" s="1407"/>
      <c r="E23" s="1407"/>
      <c r="F23" s="1407"/>
      <c r="G23" s="1408"/>
      <c r="H23" s="1409"/>
      <c r="I23" s="1410">
        <f>ROUND(E23*D23*F23*(1-G23)/10000,0)</f>
        <v>0</v>
      </c>
    </row>
    <row r="26" spans="1:9">
      <c r="A26" s="1411" t="s">
        <v>1004</v>
      </c>
      <c r="B26" s="1411"/>
      <c r="C26" s="1411"/>
      <c r="D26" s="1411"/>
      <c r="E26" s="3020">
        <f>C27-C30-C31-C32</f>
        <v>0</v>
      </c>
      <c r="F26" s="3020"/>
      <c r="G26" s="3020"/>
      <c r="H26" s="1828" t="s">
        <v>1216</v>
      </c>
    </row>
    <row r="27" spans="1:9">
      <c r="A27" s="1412">
        <v>1</v>
      </c>
      <c r="B27" s="1413" t="s">
        <v>1005</v>
      </c>
      <c r="C27" s="1413">
        <f>C28+C29</f>
        <v>0</v>
      </c>
      <c r="D27" s="1413"/>
      <c r="E27" s="3021"/>
      <c r="F27" s="3021"/>
      <c r="G27" s="3021"/>
    </row>
    <row r="28" spans="1:9">
      <c r="A28" s="1414" t="s">
        <v>1006</v>
      </c>
      <c r="B28" s="1413" t="s">
        <v>1007</v>
      </c>
      <c r="C28" s="1413"/>
      <c r="D28" s="1413"/>
      <c r="E28" s="3021"/>
      <c r="F28" s="3021"/>
      <c r="G28" s="3021"/>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22"/>
      <c r="F32" s="3022"/>
      <c r="G32" s="3022"/>
    </row>
    <row r="33" spans="1:7" hidden="1">
      <c r="A33" s="3017" t="s">
        <v>1016</v>
      </c>
      <c r="B33" s="3018"/>
      <c r="C33" s="3018"/>
      <c r="D33" s="3019"/>
      <c r="E33" s="3020"/>
      <c r="F33" s="3020"/>
      <c r="G33" s="3020"/>
    </row>
    <row r="34" spans="1:7" hidden="1">
      <c r="A34" s="1416">
        <v>1</v>
      </c>
      <c r="B34" s="1413" t="s">
        <v>1017</v>
      </c>
      <c r="C34" s="1413"/>
      <c r="D34" s="1413"/>
      <c r="E34" s="3021"/>
      <c r="F34" s="3021"/>
      <c r="G34" s="3021"/>
    </row>
    <row r="35" spans="1:7" hidden="1">
      <c r="A35" s="1416">
        <v>2</v>
      </c>
      <c r="B35" s="1413" t="s">
        <v>1018</v>
      </c>
      <c r="C35" s="1413"/>
      <c r="D35" s="1413"/>
      <c r="E35" s="3021"/>
      <c r="F35" s="3021"/>
      <c r="G35" s="3021"/>
    </row>
    <row r="36" spans="1:7" hidden="1">
      <c r="A36" s="1416">
        <v>3</v>
      </c>
      <c r="B36" s="1413" t="s">
        <v>1019</v>
      </c>
      <c r="C36" s="1413"/>
      <c r="D36" s="1413"/>
      <c r="E36" s="3021"/>
      <c r="F36" s="3021"/>
      <c r="G36" s="3021"/>
    </row>
    <row r="37" spans="1:7" hidden="1">
      <c r="A37" s="1416">
        <v>4</v>
      </c>
      <c r="B37" s="1413" t="s">
        <v>1020</v>
      </c>
      <c r="C37" s="1413"/>
      <c r="D37" s="1413"/>
      <c r="E37" s="3021"/>
      <c r="F37" s="3021"/>
      <c r="G37" s="3021"/>
    </row>
    <row r="38" spans="1:7" hidden="1">
      <c r="A38" s="3017" t="s">
        <v>1021</v>
      </c>
      <c r="B38" s="3018"/>
      <c r="C38" s="3018"/>
      <c r="D38" s="3019"/>
      <c r="E38" s="3020"/>
      <c r="F38" s="3020"/>
      <c r="G38" s="302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41" t="s">
        <v>2304</v>
      </c>
      <c r="D4" s="3042"/>
      <c r="E4" s="3042"/>
      <c r="F4" s="3042"/>
      <c r="G4" s="3042"/>
      <c r="H4" s="3042"/>
      <c r="I4" s="3042"/>
      <c r="J4" s="3042"/>
      <c r="K4" s="3042"/>
      <c r="L4" s="3042"/>
      <c r="M4" s="3042"/>
      <c r="N4" s="3042"/>
      <c r="O4" s="3042"/>
      <c r="P4" s="3042"/>
      <c r="Q4" s="3042"/>
      <c r="R4" s="3042"/>
      <c r="S4" s="3043"/>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2313</v>
      </c>
      <c r="B20" s="2370"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2315</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2" t="str">
        <f>'数据-取费表'!B3</f>
        <v>元</v>
      </c>
      <c r="D23" s="84"/>
      <c r="E23" s="84"/>
      <c r="F23" s="2373" t="s">
        <v>1250</v>
      </c>
      <c r="G23" s="1878"/>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2317</v>
      </c>
      <c r="B24" s="308" t="e">
        <f>R25</f>
        <v>#DIV/0!</v>
      </c>
      <c r="C24" s="1143"/>
      <c r="D24" s="84"/>
      <c r="E24" s="84"/>
      <c r="F24" s="84"/>
      <c r="G24" s="84"/>
      <c r="H24" s="84"/>
      <c r="I24" s="84"/>
      <c r="J24" s="84"/>
      <c r="K24" s="84"/>
      <c r="L24" s="84"/>
      <c r="M24" s="84"/>
      <c r="N24" s="84"/>
      <c r="O24" s="84"/>
      <c r="P24" s="84"/>
      <c r="Q24" s="84"/>
      <c r="R24" s="769"/>
      <c r="S24" s="14" t="s">
        <v>2318</v>
      </c>
      <c r="T24" s="1895" t="s">
        <v>2319</v>
      </c>
      <c r="U24" s="2375" t="s">
        <v>2320</v>
      </c>
      <c r="V24" s="1341"/>
      <c r="W24" s="2376" t="s">
        <v>2321</v>
      </c>
      <c r="X24" s="2375" t="s">
        <v>2322</v>
      </c>
      <c r="Y24" s="1341"/>
      <c r="Z24" s="2377" t="s">
        <v>2321</v>
      </c>
    </row>
    <row r="25" spans="1:45">
      <c r="A25" s="334" t="s">
        <v>2323</v>
      </c>
      <c r="B25" s="14">
        <f>SUM(B27:B10000)</f>
        <v>0</v>
      </c>
      <c r="C25" s="3038" t="s">
        <v>45</v>
      </c>
      <c r="D25" s="3039"/>
      <c r="E25" s="3039"/>
      <c r="F25" s="3039"/>
      <c r="G25" s="3039"/>
      <c r="H25" s="3039"/>
      <c r="I25" s="3039"/>
      <c r="J25" s="3039"/>
      <c r="K25" s="3039"/>
      <c r="L25" s="3039"/>
      <c r="M25" s="3039"/>
      <c r="N25" s="3039"/>
      <c r="O25" s="3039"/>
      <c r="P25" s="3039"/>
      <c r="Q25" s="304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1" t="s">
        <v>2329</v>
      </c>
      <c r="V26" s="2379" t="s">
        <v>2330</v>
      </c>
      <c r="W26" s="2380" t="s">
        <v>2331</v>
      </c>
      <c r="X26" s="1881" t="s">
        <v>2329</v>
      </c>
      <c r="Y26" s="2379" t="s">
        <v>2330</v>
      </c>
      <c r="Z26" s="2380"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0" zoomScale="90" zoomScaleNormal="90" workbookViewId="0">
      <selection activeCell="L53" sqref="L53:L54"/>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2855</v>
      </c>
      <c r="D1" s="2381"/>
      <c r="E1" s="2382" t="s">
        <v>2860</v>
      </c>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2005</v>
      </c>
      <c r="B2" s="1724">
        <f>IF(D2="——",IF(C2="元",ROUND(C49*D3,0),ROUND(C49*D3/10000,0)),IF(C2="元",ROUND(C49*D3,0),ROUND(C49*D3/10000,0))-E2)</f>
        <v>34893</v>
      </c>
      <c r="C2" s="163" t="str">
        <f>'数据-取费表'!B3</f>
        <v>元</v>
      </c>
      <c r="D2" s="2384" t="s">
        <v>1250</v>
      </c>
      <c r="E2" s="1842" t="e">
        <f ca="1">SUMIF(INDIRECT("'"&amp;G2&amp;"'"&amp;"!A:A"),"承租人权益价值",INDIRECT("'"&amp;G2&amp;"'"&amp;"!c:c"))</f>
        <v>#REF!</v>
      </c>
      <c r="F2" s="2385" t="str">
        <f>C2</f>
        <v>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2006</v>
      </c>
      <c r="B3" s="378">
        <f>ROUND(IF(D2="——",C49,IF(C2="万元",B2*10000/D3,B2/D3)),0)</f>
        <v>34893</v>
      </c>
      <c r="C3" s="379" t="s">
        <v>2336</v>
      </c>
      <c r="D3" s="378">
        <f>IF(C1="仅计算典型户型",'数据-取费表'!E5,'数据-取费表'!B5)</f>
        <v>1</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5">
      <c r="A4" s="380" t="s">
        <v>2337</v>
      </c>
      <c r="B4" s="381"/>
      <c r="C4" s="3077" t="s">
        <v>2338</v>
      </c>
      <c r="D4" s="3078"/>
      <c r="E4" s="3079" t="s">
        <v>2339</v>
      </c>
      <c r="F4" s="3080"/>
      <c r="G4" s="3077" t="s">
        <v>2340</v>
      </c>
      <c r="H4" s="3078"/>
      <c r="I4" s="3077" t="s">
        <v>2341</v>
      </c>
      <c r="J4" s="3078"/>
      <c r="K4" s="2395" t="s">
        <v>2342</v>
      </c>
      <c r="L4" s="1242"/>
      <c r="M4" s="1243"/>
      <c r="N4" s="1243"/>
      <c r="O4" s="1243"/>
      <c r="P4" s="3081" t="s">
        <v>2343</v>
      </c>
      <c r="Q4" s="3082"/>
      <c r="R4" s="3066" t="s">
        <v>2339</v>
      </c>
      <c r="S4" s="3067"/>
      <c r="T4" s="3066" t="s">
        <v>2340</v>
      </c>
      <c r="U4" s="3067"/>
      <c r="V4" s="3087" t="s">
        <v>2341</v>
      </c>
      <c r="W4" s="3087"/>
      <c r="X4" s="1898"/>
      <c r="Y4" s="3066" t="s">
        <v>2343</v>
      </c>
      <c r="Z4" s="3067"/>
      <c r="AA4" s="3074" t="s">
        <v>2339</v>
      </c>
      <c r="AB4" s="3074" t="s">
        <v>2340</v>
      </c>
      <c r="AC4" s="3074" t="s">
        <v>2341</v>
      </c>
    </row>
    <row r="5" spans="1:29" ht="29.25" customHeight="1" thickBot="1">
      <c r="A5" s="383"/>
      <c r="B5" s="384"/>
      <c r="C5" s="3062" t="s">
        <v>2861</v>
      </c>
      <c r="D5" s="3063"/>
      <c r="E5" s="3088" t="s">
        <v>2863</v>
      </c>
      <c r="F5" s="3089"/>
      <c r="G5" s="3062" t="s">
        <v>2863</v>
      </c>
      <c r="H5" s="3063"/>
      <c r="I5" s="3062" t="s">
        <v>2915</v>
      </c>
      <c r="J5" s="3063"/>
      <c r="K5" s="2396"/>
      <c r="L5" s="1242"/>
      <c r="M5" s="1243"/>
      <c r="N5" s="1243"/>
      <c r="O5" s="1243"/>
      <c r="P5" s="3083"/>
      <c r="Q5" s="3084"/>
      <c r="R5" s="3068"/>
      <c r="S5" s="3069"/>
      <c r="T5" s="3068"/>
      <c r="U5" s="3069"/>
      <c r="V5" s="3087"/>
      <c r="W5" s="3087"/>
      <c r="X5" s="1898"/>
      <c r="Y5" s="3068"/>
      <c r="Z5" s="3069"/>
      <c r="AA5" s="3075"/>
      <c r="AB5" s="3075"/>
      <c r="AC5" s="3075"/>
    </row>
    <row r="6" spans="1:29" ht="15.75" hidden="1" thickBot="1">
      <c r="A6" s="385"/>
      <c r="B6" s="386"/>
      <c r="C6" s="3060" t="s">
        <v>2862</v>
      </c>
      <c r="D6" s="3061"/>
      <c r="E6" s="3060" t="s">
        <v>2862</v>
      </c>
      <c r="F6" s="3061"/>
      <c r="G6" s="3060" t="s">
        <v>2862</v>
      </c>
      <c r="H6" s="3061"/>
      <c r="I6" s="3060" t="s">
        <v>2862</v>
      </c>
      <c r="J6" s="3061"/>
      <c r="K6" s="2396" t="s">
        <v>2349</v>
      </c>
      <c r="L6" s="1242"/>
      <c r="M6" s="1243"/>
      <c r="N6" s="1243"/>
      <c r="O6" s="1243"/>
      <c r="P6" s="3085"/>
      <c r="Q6" s="3086"/>
      <c r="R6" s="3068"/>
      <c r="S6" s="3069"/>
      <c r="T6" s="3070"/>
      <c r="U6" s="3071"/>
      <c r="V6" s="3087"/>
      <c r="W6" s="3087"/>
      <c r="X6" s="1898"/>
      <c r="Y6" s="3070"/>
      <c r="Z6" s="3071"/>
      <c r="AA6" s="3076"/>
      <c r="AB6" s="3076"/>
      <c r="AC6" s="3076"/>
    </row>
    <row r="7" spans="1:29" s="35" customFormat="1" ht="15.75" thickBot="1">
      <c r="A7" s="387" t="s">
        <v>2350</v>
      </c>
      <c r="B7" s="388"/>
      <c r="C7" s="389">
        <f>'数据-取费表'!B2</f>
        <v>43516</v>
      </c>
      <c r="D7" s="390">
        <v>100</v>
      </c>
      <c r="E7" s="391">
        <v>43403</v>
      </c>
      <c r="F7" s="392">
        <f>SUMIF(58:58,YEAR(E7)&amp;"-"&amp;MONTH(E7),59:59)</f>
        <v>99</v>
      </c>
      <c r="G7" s="391">
        <v>43397</v>
      </c>
      <c r="H7" s="390">
        <f>SUMIF(58:58,YEAR(G7)&amp;"-"&amp;MONTH(G7),59:59)</f>
        <v>99</v>
      </c>
      <c r="I7" s="391">
        <v>43208</v>
      </c>
      <c r="J7" s="390">
        <f>SUMIF(58:58,YEAR(I7)&amp;"-"&amp;MONTH(I7),59:59)</f>
        <v>98</v>
      </c>
      <c r="K7" s="2397"/>
      <c r="L7" s="1244"/>
      <c r="M7" s="1245"/>
      <c r="N7" s="1245"/>
      <c r="O7" s="1245"/>
      <c r="P7" s="3064" t="s">
        <v>2351</v>
      </c>
      <c r="Q7" s="3072"/>
      <c r="R7" s="749" t="s">
        <v>34</v>
      </c>
      <c r="S7" s="750">
        <f t="shared" ref="S7:S15" si="0">F7</f>
        <v>99</v>
      </c>
      <c r="T7" s="749" t="s">
        <v>34</v>
      </c>
      <c r="U7" s="750">
        <f t="shared" ref="U7:U15" si="1">H7</f>
        <v>99</v>
      </c>
      <c r="V7" s="749" t="s">
        <v>34</v>
      </c>
      <c r="W7" s="750">
        <f t="shared" ref="W7:W15" si="2">J7</f>
        <v>98</v>
      </c>
      <c r="X7" s="751"/>
      <c r="Y7" s="3064" t="s">
        <v>2351</v>
      </c>
      <c r="Z7" s="3065"/>
      <c r="AA7" s="752">
        <f>D7/F7</f>
        <v>1.0101010101010102</v>
      </c>
      <c r="AB7" s="752">
        <f>D7/H7</f>
        <v>1.0101010101010102</v>
      </c>
      <c r="AC7" s="752">
        <f>D7/J7</f>
        <v>1.0204081632653061</v>
      </c>
    </row>
    <row r="8" spans="1:29" s="35" customFormat="1" ht="15.75" thickBot="1">
      <c r="A8" s="387" t="s">
        <v>2352</v>
      </c>
      <c r="B8" s="388"/>
      <c r="C8" s="394" t="s">
        <v>2353</v>
      </c>
      <c r="D8" s="390">
        <v>100</v>
      </c>
      <c r="E8" s="2398" t="s">
        <v>2864</v>
      </c>
      <c r="F8" s="392">
        <f>SUMIF(61:61,E8,62:62)-SUMIF(61:61,C8,62:62)+100</f>
        <v>100</v>
      </c>
      <c r="G8" s="394" t="s">
        <v>2864</v>
      </c>
      <c r="H8" s="390">
        <f>SUMIF(61:61,G8,62:62)-SUMIF(61:61,C8,62:62)+100</f>
        <v>100</v>
      </c>
      <c r="I8" s="2398" t="s">
        <v>2864</v>
      </c>
      <c r="J8" s="390">
        <f>SUMIF(61:61,I8,62:62)-SUMIF(61:61,C8,62:62)+100</f>
        <v>100</v>
      </c>
      <c r="K8" s="2397"/>
      <c r="L8" s="1244"/>
      <c r="M8" s="1245"/>
      <c r="N8" s="1245"/>
      <c r="O8" s="1245"/>
      <c r="P8" s="3064" t="s">
        <v>2354</v>
      </c>
      <c r="Q8" s="3065"/>
      <c r="R8" s="749" t="s">
        <v>34</v>
      </c>
      <c r="S8" s="750">
        <f t="shared" si="0"/>
        <v>100</v>
      </c>
      <c r="T8" s="749" t="s">
        <v>34</v>
      </c>
      <c r="U8" s="750">
        <f t="shared" si="1"/>
        <v>100</v>
      </c>
      <c r="V8" s="749" t="s">
        <v>34</v>
      </c>
      <c r="W8" s="750">
        <f t="shared" si="2"/>
        <v>100</v>
      </c>
      <c r="X8" s="751"/>
      <c r="Y8" s="3064" t="s">
        <v>2354</v>
      </c>
      <c r="Z8" s="3065"/>
      <c r="AA8" s="752">
        <f t="shared" ref="AA8:AA46" si="3">D8/F8</f>
        <v>1</v>
      </c>
      <c r="AB8" s="752">
        <f t="shared" ref="AB8:AB46" si="4">D8/H8</f>
        <v>1</v>
      </c>
      <c r="AC8" s="752">
        <f t="shared" ref="AC8:AC46" si="5">D8/J8</f>
        <v>1</v>
      </c>
    </row>
    <row r="9" spans="1:29" s="35" customFormat="1">
      <c r="A9" s="395" t="s">
        <v>2355</v>
      </c>
      <c r="B9" s="28" t="s">
        <v>2356</v>
      </c>
      <c r="C9" s="2763" t="s">
        <v>2866</v>
      </c>
      <c r="D9" s="51">
        <v>100</v>
      </c>
      <c r="E9" s="2764" t="s">
        <v>2866</v>
      </c>
      <c r="F9" s="398">
        <f>SUMIF(63:63,E9,64:64)-SUMIF(63:63,C9,64:64)+100</f>
        <v>100</v>
      </c>
      <c r="G9" s="2765" t="s">
        <v>2866</v>
      </c>
      <c r="H9" s="51">
        <f>SUMIF(63:63,G9,64:64)-SUMIF(63:63,C9,64:64)+100</f>
        <v>100</v>
      </c>
      <c r="I9" s="2765" t="s">
        <v>2866</v>
      </c>
      <c r="J9" s="51">
        <f>SUMIF(63:63,I9,64:64)-SUMIF(63:63,C9,64:64)+100</f>
        <v>100</v>
      </c>
      <c r="K9" s="2397"/>
      <c r="L9" s="1244"/>
      <c r="M9" s="1245"/>
      <c r="N9" s="1245"/>
      <c r="O9" s="1245"/>
      <c r="P9" s="3073" t="s">
        <v>2357</v>
      </c>
      <c r="Q9" s="1885"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75" thickBot="1">
      <c r="A10" s="401"/>
      <c r="B10" s="402" t="s">
        <v>2359</v>
      </c>
      <c r="C10" s="403" t="s">
        <v>2867</v>
      </c>
      <c r="D10" s="52">
        <v>100</v>
      </c>
      <c r="E10" s="404" t="s">
        <v>2867</v>
      </c>
      <c r="F10" s="405">
        <f>SUMIF(65:65,E10,66:66)-SUMIF(65:65,C10,66:66)+100</f>
        <v>100</v>
      </c>
      <c r="G10" s="403" t="s">
        <v>2867</v>
      </c>
      <c r="H10" s="52">
        <f>SUMIF(65:65,G10,66:66)-SUMIF(65:65,C10,66:66)+100</f>
        <v>100</v>
      </c>
      <c r="I10" s="403" t="s">
        <v>2867</v>
      </c>
      <c r="J10" s="52">
        <f>SUMIF(65:65,I10,66:66)-SUMIF(65:65,C10,66:66)+100</f>
        <v>100</v>
      </c>
      <c r="K10" s="406"/>
      <c r="L10" s="1247"/>
      <c r="M10" s="1248"/>
      <c r="N10" s="1248"/>
      <c r="O10" s="1248"/>
      <c r="P10" s="3073"/>
      <c r="Q10" s="1885"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hidden="1">
      <c r="A11" s="408"/>
      <c r="B11" s="402" t="s">
        <v>2360</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73"/>
      <c r="Q11" s="1885" t="str">
        <f t="shared" si="6"/>
        <v>容积率</v>
      </c>
      <c r="R11" s="749" t="s">
        <v>28</v>
      </c>
      <c r="S11" s="750">
        <f t="shared" si="0"/>
        <v>100</v>
      </c>
      <c r="T11" s="749" t="s">
        <v>28</v>
      </c>
      <c r="U11" s="750">
        <f t="shared" si="1"/>
        <v>100</v>
      </c>
      <c r="V11" s="749" t="s">
        <v>28</v>
      </c>
      <c r="W11" s="750">
        <f t="shared" si="2"/>
        <v>100</v>
      </c>
      <c r="X11" s="751"/>
      <c r="Y11" s="2876"/>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73"/>
      <c r="Q12" s="1885">
        <f t="shared" si="6"/>
        <v>111</v>
      </c>
      <c r="R12" s="749" t="s">
        <v>28</v>
      </c>
      <c r="S12" s="750">
        <f t="shared" si="0"/>
        <v>100</v>
      </c>
      <c r="T12" s="749" t="s">
        <v>28</v>
      </c>
      <c r="U12" s="750">
        <f t="shared" si="1"/>
        <v>100</v>
      </c>
      <c r="V12" s="749" t="s">
        <v>28</v>
      </c>
      <c r="W12" s="750">
        <f t="shared" si="2"/>
        <v>100</v>
      </c>
      <c r="X12" s="751"/>
      <c r="Y12" s="2876"/>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73"/>
      <c r="Q13" s="1885">
        <f t="shared" si="6"/>
        <v>111</v>
      </c>
      <c r="R13" s="749" t="s">
        <v>28</v>
      </c>
      <c r="S13" s="750">
        <f t="shared" si="0"/>
        <v>100</v>
      </c>
      <c r="T13" s="749" t="s">
        <v>28</v>
      </c>
      <c r="U13" s="750">
        <f t="shared" si="1"/>
        <v>100</v>
      </c>
      <c r="V13" s="749" t="s">
        <v>28</v>
      </c>
      <c r="W13" s="750">
        <f t="shared" si="2"/>
        <v>100</v>
      </c>
      <c r="X13" s="751"/>
      <c r="Y13" s="2876"/>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73"/>
      <c r="Q14" s="1885">
        <f t="shared" si="6"/>
        <v>111</v>
      </c>
      <c r="R14" s="749" t="s">
        <v>28</v>
      </c>
      <c r="S14" s="750">
        <f t="shared" si="0"/>
        <v>100</v>
      </c>
      <c r="T14" s="749" t="s">
        <v>28</v>
      </c>
      <c r="U14" s="750">
        <f t="shared" si="1"/>
        <v>100</v>
      </c>
      <c r="V14" s="749" t="s">
        <v>28</v>
      </c>
      <c r="W14" s="750">
        <f t="shared" si="2"/>
        <v>100</v>
      </c>
      <c r="X14" s="751"/>
      <c r="Y14" s="2876"/>
      <c r="Z14" s="23">
        <f t="shared" si="7"/>
        <v>111</v>
      </c>
      <c r="AA14" s="752">
        <f t="shared" si="3"/>
        <v>1</v>
      </c>
      <c r="AB14" s="752">
        <f t="shared" si="4"/>
        <v>1</v>
      </c>
      <c r="AC14" s="752">
        <f t="shared" si="5"/>
        <v>1</v>
      </c>
    </row>
    <row r="15" spans="1:29" ht="99.75">
      <c r="A15" s="419" t="s">
        <v>2361</v>
      </c>
      <c r="B15" s="26" t="s">
        <v>1735</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51" t="s">
        <v>2362</v>
      </c>
      <c r="Q15" s="1897" t="str">
        <f t="shared" si="6"/>
        <v>居住社区成熟度</v>
      </c>
      <c r="R15" s="753" t="s">
        <v>28</v>
      </c>
      <c r="S15" s="754">
        <f t="shared" si="0"/>
        <v>100</v>
      </c>
      <c r="T15" s="753" t="s">
        <v>28</v>
      </c>
      <c r="U15" s="754">
        <f t="shared" si="1"/>
        <v>100</v>
      </c>
      <c r="V15" s="753" t="s">
        <v>28</v>
      </c>
      <c r="W15" s="754">
        <f t="shared" si="2"/>
        <v>100</v>
      </c>
      <c r="X15" s="1898"/>
      <c r="Y15" s="3053" t="s">
        <v>2362</v>
      </c>
      <c r="Z15" s="1900" t="str">
        <f t="shared" si="7"/>
        <v>居住社区成熟度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2405"/>
      <c r="L16" s="1252"/>
      <c r="M16" s="1243"/>
      <c r="N16" s="1243"/>
      <c r="O16" s="1243"/>
      <c r="P16" s="3052"/>
      <c r="Q16" s="1897"/>
      <c r="R16" s="753"/>
      <c r="S16" s="754"/>
      <c r="T16" s="753"/>
      <c r="U16" s="754"/>
      <c r="V16" s="753"/>
      <c r="W16" s="754"/>
      <c r="X16" s="1898"/>
      <c r="Y16" s="3054"/>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52"/>
      <c r="Q17" s="1897" t="str">
        <f>B17</f>
        <v>交通便捷度</v>
      </c>
      <c r="R17" s="753" t="s">
        <v>28</v>
      </c>
      <c r="S17" s="754">
        <f>F17</f>
        <v>100</v>
      </c>
      <c r="T17" s="753" t="s">
        <v>28</v>
      </c>
      <c r="U17" s="754">
        <f>H17</f>
        <v>100</v>
      </c>
      <c r="V17" s="753" t="s">
        <v>28</v>
      </c>
      <c r="W17" s="754">
        <f>J17</f>
        <v>100</v>
      </c>
      <c r="X17" s="1898"/>
      <c r="Y17" s="3054"/>
      <c r="Z17" s="1900" t="str">
        <f>Q17</f>
        <v>交通便捷度</v>
      </c>
      <c r="AA17" s="1901">
        <f t="shared" si="3"/>
        <v>1</v>
      </c>
      <c r="AB17" s="1901">
        <f t="shared" si="4"/>
        <v>1</v>
      </c>
      <c r="AC17" s="1901">
        <f t="shared" si="5"/>
        <v>1</v>
      </c>
    </row>
    <row r="18" spans="1:29" ht="15">
      <c r="A18" s="408"/>
      <c r="B18" s="436"/>
      <c r="C18" s="437" t="s">
        <v>30</v>
      </c>
      <c r="D18" s="430"/>
      <c r="E18" s="426" t="s">
        <v>30</v>
      </c>
      <c r="F18" s="433"/>
      <c r="G18" s="426" t="s">
        <v>30</v>
      </c>
      <c r="H18" s="427"/>
      <c r="I18" s="426" t="s">
        <v>30</v>
      </c>
      <c r="J18" s="427"/>
      <c r="K18" s="2405"/>
      <c r="L18" s="1252"/>
      <c r="M18" s="1243"/>
      <c r="N18" s="1243"/>
      <c r="O18" s="1243"/>
      <c r="P18" s="3052"/>
      <c r="Q18" s="1897"/>
      <c r="R18" s="753"/>
      <c r="S18" s="754"/>
      <c r="T18" s="753"/>
      <c r="U18" s="754"/>
      <c r="V18" s="753"/>
      <c r="W18" s="754"/>
      <c r="X18" s="1898"/>
      <c r="Y18" s="3054"/>
      <c r="Z18" s="1900"/>
      <c r="AA18" s="1901">
        <v>1</v>
      </c>
      <c r="AB18" s="1901">
        <v>1</v>
      </c>
      <c r="AC18" s="1901">
        <v>1</v>
      </c>
    </row>
    <row r="19" spans="1:29" ht="42.75">
      <c r="A19" s="408"/>
      <c r="B19" s="431" t="s">
        <v>1745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52"/>
      <c r="Q19" s="1897" t="str">
        <f>B19</f>
        <v>公共配套设施</v>
      </c>
      <c r="R19" s="753" t="s">
        <v>28</v>
      </c>
      <c r="S19" s="754">
        <f>F19</f>
        <v>100</v>
      </c>
      <c r="T19" s="753" t="s">
        <v>28</v>
      </c>
      <c r="U19" s="754">
        <f>H19</f>
        <v>100</v>
      </c>
      <c r="V19" s="753" t="s">
        <v>28</v>
      </c>
      <c r="W19" s="754">
        <f>J19</f>
        <v>100</v>
      </c>
      <c r="X19" s="1898"/>
      <c r="Y19" s="3054"/>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2405"/>
      <c r="L20" s="1252"/>
      <c r="M20" s="1243"/>
      <c r="N20" s="1243"/>
      <c r="O20" s="1243"/>
      <c r="P20" s="3052"/>
      <c r="Q20" s="1897"/>
      <c r="R20" s="753"/>
      <c r="S20" s="754"/>
      <c r="T20" s="753"/>
      <c r="U20" s="754"/>
      <c r="V20" s="753"/>
      <c r="W20" s="754"/>
      <c r="X20" s="1898"/>
      <c r="Y20" s="3054"/>
      <c r="Z20" s="1900"/>
      <c r="AA20" s="1901">
        <v>1</v>
      </c>
      <c r="AB20" s="1901">
        <v>1</v>
      </c>
      <c r="AC20" s="1901">
        <v>1</v>
      </c>
    </row>
    <row r="21" spans="1:29" ht="28.5">
      <c r="A21" s="408"/>
      <c r="B21" s="2408" t="s">
        <v>1748</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52"/>
      <c r="Q21" s="1897" t="str">
        <f>B21</f>
        <v>基础设施水平</v>
      </c>
      <c r="R21" s="753" t="s">
        <v>28</v>
      </c>
      <c r="S21" s="754">
        <f>F21</f>
        <v>100</v>
      </c>
      <c r="T21" s="753" t="s">
        <v>28</v>
      </c>
      <c r="U21" s="754">
        <f>H21</f>
        <v>100</v>
      </c>
      <c r="V21" s="753" t="s">
        <v>28</v>
      </c>
      <c r="W21" s="754">
        <f>J21</f>
        <v>100</v>
      </c>
      <c r="X21" s="1898"/>
      <c r="Y21" s="3054"/>
      <c r="Z21" s="1900" t="str">
        <f>Q21</f>
        <v>基础设施水平</v>
      </c>
      <c r="AA21" s="1901">
        <f t="shared" ref="AA21" si="8">D21/F21</f>
        <v>1</v>
      </c>
      <c r="AB21" s="1901">
        <f t="shared" ref="AB21" si="9">D21/H21</f>
        <v>1</v>
      </c>
      <c r="AC21" s="1901">
        <f t="shared" ref="AC21" si="10">D21/J21</f>
        <v>1</v>
      </c>
    </row>
    <row r="22" spans="1:29" ht="15">
      <c r="A22" s="408"/>
      <c r="B22" s="2408"/>
      <c r="C22" s="437" t="s">
        <v>2868</v>
      </c>
      <c r="D22" s="427"/>
      <c r="E22" s="437" t="s">
        <v>2868</v>
      </c>
      <c r="F22" s="429"/>
      <c r="G22" s="437" t="s">
        <v>2868</v>
      </c>
      <c r="H22" s="427"/>
      <c r="I22" s="437" t="s">
        <v>2868</v>
      </c>
      <c r="J22" s="427"/>
      <c r="K22" s="2409"/>
      <c r="L22" s="1252"/>
      <c r="M22" s="1243"/>
      <c r="N22" s="1243"/>
      <c r="O22" s="1243"/>
      <c r="P22" s="3052"/>
      <c r="Q22" s="1897"/>
      <c r="R22" s="753"/>
      <c r="S22" s="754"/>
      <c r="T22" s="753"/>
      <c r="U22" s="754"/>
      <c r="V22" s="753"/>
      <c r="W22" s="754"/>
      <c r="X22" s="1898"/>
      <c r="Y22" s="3054"/>
      <c r="Z22" s="1900"/>
      <c r="AA22" s="1901">
        <v>1</v>
      </c>
      <c r="AB22" s="1901">
        <v>1</v>
      </c>
      <c r="AC22" s="1901">
        <v>1</v>
      </c>
    </row>
    <row r="23" spans="1:29" ht="54.75" customHeight="1">
      <c r="A23" s="408"/>
      <c r="B23" s="431" t="s">
        <v>1752</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52"/>
      <c r="Q23" s="1897" t="str">
        <f>B23</f>
        <v>自然及人文环境</v>
      </c>
      <c r="R23" s="753" t="s">
        <v>28</v>
      </c>
      <c r="S23" s="754">
        <f>F23</f>
        <v>100</v>
      </c>
      <c r="T23" s="753" t="s">
        <v>28</v>
      </c>
      <c r="U23" s="754">
        <f>H23</f>
        <v>100</v>
      </c>
      <c r="V23" s="753" t="s">
        <v>28</v>
      </c>
      <c r="W23" s="754">
        <f>J23</f>
        <v>100</v>
      </c>
      <c r="X23" s="1898"/>
      <c r="Y23" s="3054"/>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2405"/>
      <c r="L24" s="1252"/>
      <c r="M24" s="1243"/>
      <c r="N24" s="1243"/>
      <c r="O24" s="1243"/>
      <c r="P24" s="3052"/>
      <c r="Q24" s="1897"/>
      <c r="R24" s="753"/>
      <c r="S24" s="754"/>
      <c r="T24" s="753"/>
      <c r="U24" s="754"/>
      <c r="V24" s="753"/>
      <c r="W24" s="754"/>
      <c r="X24" s="1898"/>
      <c r="Y24" s="3054"/>
      <c r="Z24" s="1900"/>
      <c r="AA24" s="1901">
        <v>1</v>
      </c>
      <c r="AB24" s="1901">
        <v>1</v>
      </c>
      <c r="AC24" s="1901">
        <v>1</v>
      </c>
    </row>
    <row r="25" spans="1:29" ht="15" hidden="1">
      <c r="A25" s="408"/>
      <c r="B25" s="402" t="s">
        <v>2363</v>
      </c>
      <c r="C25" s="2411"/>
      <c r="D25" s="415">
        <v>100</v>
      </c>
      <c r="E25" s="2411"/>
      <c r="F25" s="442">
        <f>SUMIF(86:86,E25,87:87)-SUMIF(86:86,C25,87:87)+100</f>
        <v>100</v>
      </c>
      <c r="G25" s="2771"/>
      <c r="H25" s="415">
        <f>SUMIF(86:86,G28,87:87)-SUMIF(86:86,C25,87:87)+100</f>
        <v>100</v>
      </c>
      <c r="I25" s="2411"/>
      <c r="J25" s="415">
        <f>SUMIF(86:86,I25,87:87)-SUMIF(86:86,C25,87:87)+100</f>
        <v>100</v>
      </c>
      <c r="K25" s="406">
        <v>2</v>
      </c>
      <c r="L25" s="1252"/>
      <c r="M25" s="1243"/>
      <c r="N25" s="1243"/>
      <c r="O25" s="1243"/>
      <c r="P25" s="3052"/>
      <c r="Q25" s="1897" t="str">
        <f t="shared" ref="Q25:Q46" si="11">B25</f>
        <v>楼层-1</v>
      </c>
      <c r="R25" s="753" t="s">
        <v>28</v>
      </c>
      <c r="S25" s="754">
        <f>F25</f>
        <v>100</v>
      </c>
      <c r="T25" s="753" t="s">
        <v>28</v>
      </c>
      <c r="U25" s="754">
        <f>H25</f>
        <v>100</v>
      </c>
      <c r="V25" s="753" t="s">
        <v>28</v>
      </c>
      <c r="W25" s="754">
        <f>J25</f>
        <v>100</v>
      </c>
      <c r="X25" s="1898"/>
      <c r="Y25" s="3054"/>
      <c r="Z25" s="1900" t="str">
        <f>Q25</f>
        <v>楼层-1</v>
      </c>
      <c r="AA25" s="1901">
        <f t="shared" si="3"/>
        <v>1</v>
      </c>
      <c r="AB25" s="1901">
        <f t="shared" si="4"/>
        <v>1</v>
      </c>
      <c r="AC25" s="1901">
        <f t="shared" si="5"/>
        <v>1</v>
      </c>
    </row>
    <row r="26" spans="1:29" ht="15">
      <c r="A26" s="408"/>
      <c r="B26" s="402" t="s">
        <v>2364</v>
      </c>
      <c r="C26" s="441" t="s">
        <v>2879</v>
      </c>
      <c r="D26" s="415">
        <v>100</v>
      </c>
      <c r="E26" s="2410" t="s">
        <v>2880</v>
      </c>
      <c r="F26" s="442">
        <f>SUMIF(88:88,E26,89:89)-SUMIF(88:88,C26,89:89)+100</f>
        <v>97</v>
      </c>
      <c r="G26" s="2411" t="s">
        <v>2882</v>
      </c>
      <c r="H26" s="415">
        <f>SUMIF(88:88,G26,89:89)-SUMIF(88:88,C26,89:89)+100</f>
        <v>97.5</v>
      </c>
      <c r="I26" s="2778" t="s">
        <v>2913</v>
      </c>
      <c r="J26" s="415">
        <f>SUMIF(88:88,I26,89:89)-SUMIF(88:88,C26,89:89)+100</f>
        <v>101</v>
      </c>
      <c r="K26" s="406">
        <v>0.5</v>
      </c>
      <c r="L26" s="1252"/>
      <c r="M26" s="1243"/>
      <c r="N26" s="1243"/>
      <c r="O26" s="1243"/>
      <c r="P26" s="3052"/>
      <c r="Q26" s="1897" t="str">
        <f t="shared" si="11"/>
        <v>朝向</v>
      </c>
      <c r="R26" s="753" t="s">
        <v>28</v>
      </c>
      <c r="S26" s="754">
        <f>F26</f>
        <v>97</v>
      </c>
      <c r="T26" s="753" t="s">
        <v>28</v>
      </c>
      <c r="U26" s="754">
        <f>H26</f>
        <v>97.5</v>
      </c>
      <c r="V26" s="753" t="s">
        <v>28</v>
      </c>
      <c r="W26" s="754">
        <f>J26</f>
        <v>101</v>
      </c>
      <c r="X26" s="1898"/>
      <c r="Y26" s="3054"/>
      <c r="Z26" s="1900" t="str">
        <f>Q26</f>
        <v>朝向</v>
      </c>
      <c r="AA26" s="1901">
        <f t="shared" si="3"/>
        <v>1.0309278350515463</v>
      </c>
      <c r="AB26" s="1901">
        <f t="shared" si="4"/>
        <v>1.0256410256410255</v>
      </c>
      <c r="AC26" s="1901">
        <f t="shared" si="5"/>
        <v>0.99009900990099009</v>
      </c>
    </row>
    <row r="27" spans="1:29" s="35" customFormat="1" ht="15">
      <c r="A27" s="411"/>
      <c r="B27" s="2776" t="s">
        <v>2904</v>
      </c>
      <c r="C27" s="2411" t="s">
        <v>2869</v>
      </c>
      <c r="D27" s="443">
        <v>100</v>
      </c>
      <c r="E27" s="2411" t="s">
        <v>2903</v>
      </c>
      <c r="F27" s="445">
        <f>SUMIF(90:90,E27,91:91)-SUMIF(90:90,C27,91:91)+100</f>
        <v>99</v>
      </c>
      <c r="G27" s="2769" t="s">
        <v>2905</v>
      </c>
      <c r="H27" s="443">
        <f>SUMIF(90:90,G27,91:91)-SUMIF(90:90,C27,91:91)+100</f>
        <v>101</v>
      </c>
      <c r="I27" s="2769" t="s">
        <v>2914</v>
      </c>
      <c r="J27" s="443">
        <f>SUMIF(90:90,I27,91:91)-SUMIF(90:90,C27,91:91)+100</f>
        <v>100</v>
      </c>
      <c r="K27" s="2400"/>
      <c r="L27" s="1244"/>
      <c r="M27" s="1245"/>
      <c r="N27" s="1245"/>
      <c r="O27" s="1245"/>
      <c r="P27" s="3052"/>
      <c r="Q27" s="1885" t="str">
        <f t="shared" si="11"/>
        <v>楼层</v>
      </c>
      <c r="R27" s="749" t="s">
        <v>28</v>
      </c>
      <c r="S27" s="750">
        <f>F27</f>
        <v>99</v>
      </c>
      <c r="T27" s="749" t="s">
        <v>28</v>
      </c>
      <c r="U27" s="750">
        <f>H27</f>
        <v>101</v>
      </c>
      <c r="V27" s="749" t="s">
        <v>28</v>
      </c>
      <c r="W27" s="750">
        <f>J27</f>
        <v>100</v>
      </c>
      <c r="X27" s="751"/>
      <c r="Y27" s="3054"/>
      <c r="Z27" s="23" t="str">
        <f>Q27</f>
        <v>楼层</v>
      </c>
      <c r="AA27" s="1901">
        <f>D27/F27</f>
        <v>1.0101010101010102</v>
      </c>
      <c r="AB27" s="1901">
        <f>D27/H27</f>
        <v>0.99009900990099009</v>
      </c>
      <c r="AC27" s="1901">
        <f>D27/J27</f>
        <v>1</v>
      </c>
    </row>
    <row r="28" spans="1:29" ht="15.75" hidden="1" thickBot="1">
      <c r="A28" s="408"/>
      <c r="B28" s="2770"/>
      <c r="C28" s="450"/>
      <c r="D28" s="415">
        <v>100</v>
      </c>
      <c r="E28" s="414"/>
      <c r="F28" s="442">
        <f>SUMIF(92:92,E28,93:93)-SUMIF(92:92,C28,93:93)+100</f>
        <v>100</v>
      </c>
      <c r="G28" s="414"/>
      <c r="H28" s="415">
        <f>SUMIF(92:92,#REF!,93:93)-SUMIF(92:92,C28,93:93)+100</f>
        <v>100</v>
      </c>
      <c r="I28" s="2402"/>
      <c r="J28" s="415">
        <f>SUMIF(92:92,I28,93:93)-SUMIF(92:92,C28,93:93)+100</f>
        <v>100</v>
      </c>
      <c r="K28" s="2400"/>
      <c r="L28" s="1252"/>
      <c r="M28" s="1243"/>
      <c r="N28" s="1243"/>
      <c r="O28" s="1243"/>
      <c r="P28" s="3052"/>
      <c r="Q28" s="1897">
        <f t="shared" si="11"/>
        <v>0</v>
      </c>
      <c r="R28" s="753" t="s">
        <v>28</v>
      </c>
      <c r="S28" s="754">
        <f t="shared" ref="S28:S46" si="12">F28</f>
        <v>100</v>
      </c>
      <c r="T28" s="753" t="s">
        <v>28</v>
      </c>
      <c r="U28" s="754">
        <f t="shared" ref="U28:U46" si="13">H28</f>
        <v>100</v>
      </c>
      <c r="V28" s="753" t="s">
        <v>28</v>
      </c>
      <c r="W28" s="754">
        <f t="shared" ref="W28:W46" si="14">J28</f>
        <v>100</v>
      </c>
      <c r="X28" s="1898"/>
      <c r="Y28" s="3054"/>
      <c r="Z28" s="1900">
        <f t="shared" ref="Z28:Z46" si="15">Q28</f>
        <v>0</v>
      </c>
      <c r="AA28" s="1901">
        <f t="shared" si="3"/>
        <v>1</v>
      </c>
      <c r="AB28" s="1901">
        <f t="shared" si="4"/>
        <v>1</v>
      </c>
      <c r="AC28" s="1901">
        <f t="shared" si="5"/>
        <v>1</v>
      </c>
    </row>
    <row r="29" spans="1:29" ht="15.75" thickBot="1">
      <c r="A29" s="408"/>
      <c r="B29" s="2399" t="s">
        <v>2365</v>
      </c>
      <c r="C29" s="2769" t="s">
        <v>2883</v>
      </c>
      <c r="D29" s="415">
        <v>100</v>
      </c>
      <c r="E29" s="2769" t="s">
        <v>2883</v>
      </c>
      <c r="F29" s="442">
        <f>SUMIF(94:94,E29,95:95)-SUMIF(94:94,C29,95:95)+100</f>
        <v>100</v>
      </c>
      <c r="G29" s="2769" t="s">
        <v>2883</v>
      </c>
      <c r="H29" s="415">
        <f>SUMIF(94:94,G29,95:95)-SUMIF(94:94,C29,95:95)+100</f>
        <v>100</v>
      </c>
      <c r="I29" s="2769" t="s">
        <v>2920</v>
      </c>
      <c r="J29" s="415">
        <f>SUMIF(94:94,I29,95:95)-SUMIF(94:94,C29,95:95)+100</f>
        <v>100</v>
      </c>
      <c r="K29" s="2400"/>
      <c r="L29" s="1252"/>
      <c r="M29" s="1243"/>
      <c r="N29" s="1243"/>
      <c r="O29" s="1243"/>
      <c r="P29" s="3052"/>
      <c r="Q29" s="1897" t="str">
        <f t="shared" si="11"/>
        <v>道路级别</v>
      </c>
      <c r="R29" s="753" t="s">
        <v>28</v>
      </c>
      <c r="S29" s="754">
        <f t="shared" si="12"/>
        <v>100</v>
      </c>
      <c r="T29" s="753" t="s">
        <v>28</v>
      </c>
      <c r="U29" s="754">
        <f t="shared" si="13"/>
        <v>100</v>
      </c>
      <c r="V29" s="753" t="s">
        <v>28</v>
      </c>
      <c r="W29" s="754">
        <f t="shared" si="14"/>
        <v>100</v>
      </c>
      <c r="X29" s="1898"/>
      <c r="Y29" s="3054"/>
      <c r="Z29" s="1900" t="str">
        <f t="shared" si="15"/>
        <v>道路级别</v>
      </c>
      <c r="AA29" s="1901">
        <f t="shared" si="3"/>
        <v>1</v>
      </c>
      <c r="AB29" s="1901">
        <f t="shared" si="4"/>
        <v>1</v>
      </c>
      <c r="AC29" s="1901">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52"/>
      <c r="Q30" s="1897">
        <f t="shared" si="11"/>
        <v>111</v>
      </c>
      <c r="R30" s="753" t="s">
        <v>28</v>
      </c>
      <c r="S30" s="754">
        <f t="shared" si="12"/>
        <v>100</v>
      </c>
      <c r="T30" s="753" t="s">
        <v>28</v>
      </c>
      <c r="U30" s="754">
        <f t="shared" si="13"/>
        <v>100</v>
      </c>
      <c r="V30" s="753" t="s">
        <v>28</v>
      </c>
      <c r="W30" s="754">
        <f t="shared" si="14"/>
        <v>100</v>
      </c>
      <c r="X30" s="1898"/>
      <c r="Y30" s="3054"/>
      <c r="Z30" s="1900">
        <f t="shared" si="15"/>
        <v>111</v>
      </c>
      <c r="AA30" s="1901">
        <f t="shared" si="3"/>
        <v>1</v>
      </c>
      <c r="AB30" s="1901">
        <f t="shared" si="4"/>
        <v>1</v>
      </c>
      <c r="AC30" s="1901">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52"/>
      <c r="Q31" s="1897">
        <f t="shared" si="11"/>
        <v>111</v>
      </c>
      <c r="R31" s="753" t="s">
        <v>28</v>
      </c>
      <c r="S31" s="754">
        <f t="shared" si="12"/>
        <v>100</v>
      </c>
      <c r="T31" s="753" t="s">
        <v>28</v>
      </c>
      <c r="U31" s="754">
        <f t="shared" si="13"/>
        <v>100</v>
      </c>
      <c r="V31" s="753" t="s">
        <v>28</v>
      </c>
      <c r="W31" s="754">
        <f t="shared" si="14"/>
        <v>100</v>
      </c>
      <c r="X31" s="1898"/>
      <c r="Y31" s="3054"/>
      <c r="Z31" s="1900">
        <f t="shared" si="15"/>
        <v>111</v>
      </c>
      <c r="AA31" s="1901">
        <f t="shared" si="3"/>
        <v>1</v>
      </c>
      <c r="AB31" s="1901">
        <f t="shared" si="4"/>
        <v>1</v>
      </c>
      <c r="AC31" s="1901">
        <f t="shared" si="5"/>
        <v>1</v>
      </c>
    </row>
    <row r="32" spans="1:29" ht="15">
      <c r="A32" s="419" t="s">
        <v>2366</v>
      </c>
      <c r="B32" s="28" t="s">
        <v>2367</v>
      </c>
      <c r="C32" s="2413" t="s">
        <v>2906</v>
      </c>
      <c r="D32" s="448">
        <v>100</v>
      </c>
      <c r="E32" s="2414" t="s">
        <v>2906</v>
      </c>
      <c r="F32" s="442">
        <f>SUMIF(100:100,E32,101:101)-SUMIF(100:100,C32,101:101)+100</f>
        <v>100</v>
      </c>
      <c r="G32" s="2413" t="s">
        <v>2906</v>
      </c>
      <c r="H32" s="448">
        <f>SUMIF(100:100,G32,101:101)-SUMIF(100:100,C32,101:101)+100</f>
        <v>100</v>
      </c>
      <c r="I32" s="2414" t="s">
        <v>2906</v>
      </c>
      <c r="J32" s="415">
        <f>SUMIF(100:100,I32,101:101)-SUMIF(100:100,C32,101:101)+100</f>
        <v>100</v>
      </c>
      <c r="K32" s="406"/>
      <c r="L32" s="1252"/>
      <c r="M32" s="1243"/>
      <c r="N32" s="1243"/>
      <c r="O32" s="1243"/>
      <c r="P32" s="3055" t="s">
        <v>2368</v>
      </c>
      <c r="Q32" s="1897" t="str">
        <f t="shared" si="11"/>
        <v>建筑类型</v>
      </c>
      <c r="R32" s="753" t="s">
        <v>28</v>
      </c>
      <c r="S32" s="754">
        <f t="shared" si="12"/>
        <v>100</v>
      </c>
      <c r="T32" s="753" t="s">
        <v>28</v>
      </c>
      <c r="U32" s="754">
        <f t="shared" si="13"/>
        <v>100</v>
      </c>
      <c r="V32" s="753" t="s">
        <v>28</v>
      </c>
      <c r="W32" s="754">
        <f t="shared" si="14"/>
        <v>100</v>
      </c>
      <c r="X32" s="1898"/>
      <c r="Y32" s="3058" t="s">
        <v>2368</v>
      </c>
      <c r="Z32" s="1900" t="str">
        <f t="shared" si="15"/>
        <v>建筑类型</v>
      </c>
      <c r="AA32" s="1901">
        <f t="shared" si="3"/>
        <v>1</v>
      </c>
      <c r="AB32" s="1901">
        <f t="shared" si="4"/>
        <v>1</v>
      </c>
      <c r="AC32" s="1901">
        <f t="shared" si="5"/>
        <v>1</v>
      </c>
    </row>
    <row r="33" spans="1:29" s="452" customFormat="1" ht="15">
      <c r="A33" s="449"/>
      <c r="B33" s="402" t="s">
        <v>2369</v>
      </c>
      <c r="C33" s="450">
        <v>118.42</v>
      </c>
      <c r="D33" s="52">
        <v>100</v>
      </c>
      <c r="E33" s="410">
        <v>54.88</v>
      </c>
      <c r="F33" s="405">
        <f>LOOKUP(E33,103:103,104:104)-LOOKUP(C33,103:103,104:104)+100</f>
        <v>101</v>
      </c>
      <c r="G33" s="409">
        <v>59.21</v>
      </c>
      <c r="H33" s="52">
        <f>LOOKUP(G33,103:103,104:104)-LOOKUP(C33,103:103,104:104)+100</f>
        <v>101</v>
      </c>
      <c r="I33" s="410">
        <v>125.51</v>
      </c>
      <c r="J33" s="52">
        <f>LOOKUP(I33,103:103,104:104)-LOOKUP(C33,103:103,104:104)+100</f>
        <v>100</v>
      </c>
      <c r="K33" s="2400"/>
      <c r="L33" s="1250"/>
      <c r="M33" s="1253"/>
      <c r="N33" s="1253"/>
      <c r="O33" s="1253"/>
      <c r="P33" s="3056"/>
      <c r="Q33" s="755" t="str">
        <f t="shared" si="11"/>
        <v>项目建筑规模</v>
      </c>
      <c r="R33" s="756" t="s">
        <v>28</v>
      </c>
      <c r="S33" s="757">
        <f t="shared" si="12"/>
        <v>101</v>
      </c>
      <c r="T33" s="756" t="s">
        <v>28</v>
      </c>
      <c r="U33" s="757">
        <f t="shared" si="13"/>
        <v>101</v>
      </c>
      <c r="V33" s="756" t="s">
        <v>28</v>
      </c>
      <c r="W33" s="757">
        <f t="shared" si="14"/>
        <v>100</v>
      </c>
      <c r="X33" s="758"/>
      <c r="Y33" s="3058"/>
      <c r="Z33" s="759" t="str">
        <f t="shared" si="15"/>
        <v>项目建筑规模</v>
      </c>
      <c r="AA33" s="1901">
        <f t="shared" si="3"/>
        <v>0.99009900990099009</v>
      </c>
      <c r="AB33" s="1901">
        <f t="shared" si="4"/>
        <v>0.99009900990099009</v>
      </c>
      <c r="AC33" s="1901">
        <f t="shared" si="5"/>
        <v>1</v>
      </c>
    </row>
    <row r="34" spans="1:29" ht="15">
      <c r="A34" s="453"/>
      <c r="B34" s="402" t="s">
        <v>2370</v>
      </c>
      <c r="C34" s="2415" t="s">
        <v>2899</v>
      </c>
      <c r="D34" s="415">
        <v>100</v>
      </c>
      <c r="E34" s="2415" t="s">
        <v>2899</v>
      </c>
      <c r="F34" s="442">
        <f>SUMIF(105:105,E34,106:106)-SUMIF(105:105,C34,106:106)+100</f>
        <v>100</v>
      </c>
      <c r="G34" s="2415" t="s">
        <v>2899</v>
      </c>
      <c r="H34" s="415">
        <f>SUMIF(105:105,G34,106:106)-SUMIF(105:105,C34,106:106)+100</f>
        <v>100</v>
      </c>
      <c r="I34" s="2415" t="s">
        <v>2899</v>
      </c>
      <c r="J34" s="415">
        <f>SUMIF(105:105,I34,106:106)-SUMIF(105:105,C34,106:106)+100</f>
        <v>100</v>
      </c>
      <c r="K34" s="406"/>
      <c r="L34" s="1252"/>
      <c r="M34" s="1243"/>
      <c r="N34" s="1243"/>
      <c r="O34" s="1243"/>
      <c r="P34" s="3056"/>
      <c r="Q34" s="1897" t="str">
        <f t="shared" si="11"/>
        <v>建筑结构</v>
      </c>
      <c r="R34" s="753" t="s">
        <v>28</v>
      </c>
      <c r="S34" s="754">
        <f t="shared" si="12"/>
        <v>100</v>
      </c>
      <c r="T34" s="753" t="s">
        <v>28</v>
      </c>
      <c r="U34" s="754">
        <f t="shared" si="13"/>
        <v>100</v>
      </c>
      <c r="V34" s="753" t="s">
        <v>28</v>
      </c>
      <c r="W34" s="754">
        <f t="shared" si="14"/>
        <v>100</v>
      </c>
      <c r="X34" s="1898"/>
      <c r="Y34" s="3058"/>
      <c r="Z34" s="1900" t="str">
        <f t="shared" si="15"/>
        <v>建筑结构</v>
      </c>
      <c r="AA34" s="1901">
        <f t="shared" si="3"/>
        <v>1</v>
      </c>
      <c r="AB34" s="1901">
        <f t="shared" si="4"/>
        <v>1</v>
      </c>
      <c r="AC34" s="1901">
        <f t="shared" si="5"/>
        <v>1</v>
      </c>
    </row>
    <row r="35" spans="1:29" ht="15" hidden="1">
      <c r="A35" s="453"/>
      <c r="B35" s="402" t="s">
        <v>2371</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406"/>
      <c r="L35" s="1252"/>
      <c r="M35" s="1243"/>
      <c r="N35" s="1243"/>
      <c r="O35" s="1243"/>
      <c r="P35" s="3056"/>
      <c r="Q35" s="1897" t="str">
        <f t="shared" si="11"/>
        <v>建筑品质</v>
      </c>
      <c r="R35" s="753" t="s">
        <v>28</v>
      </c>
      <c r="S35" s="754">
        <f t="shared" si="12"/>
        <v>100</v>
      </c>
      <c r="T35" s="753" t="s">
        <v>28</v>
      </c>
      <c r="U35" s="754">
        <f t="shared" si="13"/>
        <v>100</v>
      </c>
      <c r="V35" s="753" t="s">
        <v>28</v>
      </c>
      <c r="W35" s="754">
        <f t="shared" si="14"/>
        <v>100</v>
      </c>
      <c r="X35" s="1898"/>
      <c r="Y35" s="3058"/>
      <c r="Z35" s="1900" t="str">
        <f t="shared" si="15"/>
        <v>建筑品质</v>
      </c>
      <c r="AA35" s="1901">
        <f t="shared" si="3"/>
        <v>1</v>
      </c>
      <c r="AB35" s="1901">
        <f t="shared" si="4"/>
        <v>1</v>
      </c>
      <c r="AC35" s="1901">
        <f t="shared" si="5"/>
        <v>1</v>
      </c>
    </row>
    <row r="36" spans="1:29" ht="15">
      <c r="A36" s="453"/>
      <c r="B36" s="402" t="s">
        <v>2372</v>
      </c>
      <c r="C36" s="2411" t="s">
        <v>2900</v>
      </c>
      <c r="D36" s="415">
        <v>100</v>
      </c>
      <c r="E36" s="2411" t="s">
        <v>2900</v>
      </c>
      <c r="F36" s="442">
        <f>SUMIF(109:109,E36,110:110)-SUMIF(109:109,C36,110:110)+100</f>
        <v>100</v>
      </c>
      <c r="G36" s="2411" t="s">
        <v>2900</v>
      </c>
      <c r="H36" s="415">
        <f>SUMIF(109:109,G36,110:110)-SUMIF(109:109,C36,110:110)+100</f>
        <v>100</v>
      </c>
      <c r="I36" s="2411" t="s">
        <v>2900</v>
      </c>
      <c r="J36" s="415">
        <f>SUMIF(109:109,I36,110:110)-SUMIF(109:109,C36,110:110)+100</f>
        <v>100</v>
      </c>
      <c r="K36" s="406"/>
      <c r="L36" s="1252"/>
      <c r="M36" s="1243"/>
      <c r="N36" s="1243"/>
      <c r="O36" s="1243"/>
      <c r="P36" s="3056"/>
      <c r="Q36" s="1897" t="str">
        <f t="shared" si="11"/>
        <v>公共部分装修</v>
      </c>
      <c r="R36" s="753" t="s">
        <v>28</v>
      </c>
      <c r="S36" s="754">
        <f t="shared" si="12"/>
        <v>100</v>
      </c>
      <c r="T36" s="753" t="s">
        <v>28</v>
      </c>
      <c r="U36" s="754">
        <f t="shared" si="13"/>
        <v>100</v>
      </c>
      <c r="V36" s="753" t="s">
        <v>28</v>
      </c>
      <c r="W36" s="754">
        <f t="shared" si="14"/>
        <v>100</v>
      </c>
      <c r="X36" s="1898"/>
      <c r="Y36" s="3058"/>
      <c r="Z36" s="1900" t="str">
        <f t="shared" si="15"/>
        <v>公共部分装修</v>
      </c>
      <c r="AA36" s="1901">
        <f t="shared" si="3"/>
        <v>1</v>
      </c>
      <c r="AB36" s="1901">
        <f t="shared" si="4"/>
        <v>1</v>
      </c>
      <c r="AC36" s="1901">
        <f t="shared" si="5"/>
        <v>1</v>
      </c>
    </row>
    <row r="37" spans="1:29" s="35" customFormat="1" ht="15" hidden="1">
      <c r="A37" s="454"/>
      <c r="B37" s="402" t="s">
        <v>2373</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4"/>
      <c r="M37" s="1245"/>
      <c r="N37" s="1245"/>
      <c r="O37" s="1245"/>
      <c r="P37" s="3056"/>
      <c r="Q37" s="1885" t="str">
        <f t="shared" si="11"/>
        <v>成新度</v>
      </c>
      <c r="R37" s="749" t="s">
        <v>28</v>
      </c>
      <c r="S37" s="750">
        <f t="shared" si="12"/>
        <v>100</v>
      </c>
      <c r="T37" s="749" t="s">
        <v>28</v>
      </c>
      <c r="U37" s="750">
        <f t="shared" si="13"/>
        <v>100</v>
      </c>
      <c r="V37" s="749" t="s">
        <v>28</v>
      </c>
      <c r="W37" s="750">
        <f t="shared" si="14"/>
        <v>100</v>
      </c>
      <c r="X37" s="751"/>
      <c r="Y37" s="3058"/>
      <c r="Z37" s="23" t="str">
        <f t="shared" si="15"/>
        <v>成新度</v>
      </c>
      <c r="AA37" s="752">
        <f t="shared" si="3"/>
        <v>1</v>
      </c>
      <c r="AB37" s="752">
        <f t="shared" si="4"/>
        <v>1</v>
      </c>
      <c r="AC37" s="752">
        <f t="shared" si="5"/>
        <v>1</v>
      </c>
    </row>
    <row r="38" spans="1:29" ht="15">
      <c r="A38" s="453"/>
      <c r="B38" s="402" t="s">
        <v>2374</v>
      </c>
      <c r="C38" s="2411" t="s">
        <v>2901</v>
      </c>
      <c r="D38" s="415">
        <v>100</v>
      </c>
      <c r="E38" s="2410" t="s">
        <v>2901</v>
      </c>
      <c r="F38" s="442">
        <f>SUMIF(114:114,E38,115:115)-SUMIF(114:114,C38,115:115)+100</f>
        <v>100</v>
      </c>
      <c r="G38" s="2411" t="s">
        <v>2901</v>
      </c>
      <c r="H38" s="415">
        <f>SUMIF(114:114,G38,115:115)-SUMIF(114:114,C38,115:115)+100</f>
        <v>100</v>
      </c>
      <c r="I38" s="2410" t="s">
        <v>2901</v>
      </c>
      <c r="J38" s="415">
        <f>SUMIF(114:114,I38,115:115)-SUMIF(114:114,C38,115:115)+100</f>
        <v>100</v>
      </c>
      <c r="K38" s="406"/>
      <c r="L38" s="1252"/>
      <c r="M38" s="1243"/>
      <c r="N38" s="1243"/>
      <c r="O38" s="1243"/>
      <c r="P38" s="3056" t="s">
        <v>2368</v>
      </c>
      <c r="Q38" s="1897" t="str">
        <f t="shared" si="11"/>
        <v>物业管理</v>
      </c>
      <c r="R38" s="753" t="s">
        <v>28</v>
      </c>
      <c r="S38" s="754">
        <f t="shared" si="12"/>
        <v>100</v>
      </c>
      <c r="T38" s="753" t="s">
        <v>28</v>
      </c>
      <c r="U38" s="754">
        <f t="shared" si="13"/>
        <v>100</v>
      </c>
      <c r="V38" s="753" t="s">
        <v>28</v>
      </c>
      <c r="W38" s="754">
        <f t="shared" si="14"/>
        <v>100</v>
      </c>
      <c r="X38" s="1898"/>
      <c r="Y38" s="3058" t="s">
        <v>2368</v>
      </c>
      <c r="Z38" s="1900" t="str">
        <f t="shared" si="15"/>
        <v>物业管理</v>
      </c>
      <c r="AA38" s="1901">
        <f t="shared" si="3"/>
        <v>1</v>
      </c>
      <c r="AB38" s="1901">
        <f t="shared" si="4"/>
        <v>1</v>
      </c>
      <c r="AC38" s="1901">
        <f t="shared" si="5"/>
        <v>1</v>
      </c>
    </row>
    <row r="39" spans="1:29" ht="15">
      <c r="A39" s="453"/>
      <c r="B39" s="402" t="s">
        <v>2375</v>
      </c>
      <c r="C39" s="2411" t="s">
        <v>2895</v>
      </c>
      <c r="D39" s="415">
        <v>100</v>
      </c>
      <c r="E39" s="2410" t="s">
        <v>2895</v>
      </c>
      <c r="F39" s="442">
        <f>SUMIF(116:116,E39,117:117)-SUMIF(116:116,C39,117:117)+100</f>
        <v>100</v>
      </c>
      <c r="G39" s="2411" t="s">
        <v>2895</v>
      </c>
      <c r="H39" s="415">
        <f>SUMIF(116:116,G39,117:117)-SUMIF(116:116,C39,117:117)+100</f>
        <v>100</v>
      </c>
      <c r="I39" s="2410" t="s">
        <v>2895</v>
      </c>
      <c r="J39" s="415">
        <f>SUMIF(116:116,I39,117:117)-SUMIF(116:116,C39,117:117)+100</f>
        <v>100</v>
      </c>
      <c r="K39" s="406"/>
      <c r="L39" s="1252"/>
      <c r="M39" s="1243"/>
      <c r="N39" s="1243"/>
      <c r="O39" s="1243"/>
      <c r="P39" s="3056"/>
      <c r="Q39" s="1897" t="str">
        <f t="shared" si="11"/>
        <v>市政基础设施</v>
      </c>
      <c r="R39" s="753" t="s">
        <v>28</v>
      </c>
      <c r="S39" s="754">
        <f t="shared" si="12"/>
        <v>100</v>
      </c>
      <c r="T39" s="753" t="s">
        <v>28</v>
      </c>
      <c r="U39" s="754">
        <f t="shared" si="13"/>
        <v>100</v>
      </c>
      <c r="V39" s="753" t="s">
        <v>28</v>
      </c>
      <c r="W39" s="754">
        <f t="shared" si="14"/>
        <v>100</v>
      </c>
      <c r="X39" s="1898"/>
      <c r="Y39" s="3058"/>
      <c r="Z39" s="1900" t="str">
        <f t="shared" si="15"/>
        <v>市政基础设施</v>
      </c>
      <c r="AA39" s="1901">
        <f t="shared" si="3"/>
        <v>1</v>
      </c>
      <c r="AB39" s="1901">
        <f t="shared" si="4"/>
        <v>1</v>
      </c>
      <c r="AC39" s="1901">
        <f t="shared" si="5"/>
        <v>1</v>
      </c>
    </row>
    <row r="40" spans="1:29" ht="15">
      <c r="A40" s="453"/>
      <c r="B40" s="402" t="s">
        <v>2376</v>
      </c>
      <c r="C40" s="2411" t="s">
        <v>2897</v>
      </c>
      <c r="D40" s="415">
        <v>100</v>
      </c>
      <c r="E40" s="2410" t="s">
        <v>2897</v>
      </c>
      <c r="F40" s="442">
        <f>SUMIF(118:118,E40,119:119)-SUMIF(118:118,C40,119:119)+100</f>
        <v>100</v>
      </c>
      <c r="G40" s="2411" t="s">
        <v>2897</v>
      </c>
      <c r="H40" s="415">
        <f>SUMIF(118:118,G40,119:119)-SUMIF(118:118,C40,119:119)+100</f>
        <v>100</v>
      </c>
      <c r="I40" s="2410" t="s">
        <v>2897</v>
      </c>
      <c r="J40" s="415">
        <f>SUMIF(118:118,I40,119:119)-SUMIF(118:118,C40,119:119)+100</f>
        <v>100</v>
      </c>
      <c r="K40" s="406"/>
      <c r="L40" s="1252"/>
      <c r="M40" s="1243"/>
      <c r="N40" s="1243"/>
      <c r="O40" s="1243"/>
      <c r="P40" s="3056"/>
      <c r="Q40" s="1897" t="str">
        <f t="shared" si="11"/>
        <v>房型</v>
      </c>
      <c r="R40" s="753" t="s">
        <v>28</v>
      </c>
      <c r="S40" s="754">
        <f t="shared" si="12"/>
        <v>100</v>
      </c>
      <c r="T40" s="753" t="s">
        <v>28</v>
      </c>
      <c r="U40" s="754">
        <f t="shared" si="13"/>
        <v>100</v>
      </c>
      <c r="V40" s="753" t="s">
        <v>28</v>
      </c>
      <c r="W40" s="754">
        <f t="shared" si="14"/>
        <v>100</v>
      </c>
      <c r="X40" s="1898"/>
      <c r="Y40" s="3058"/>
      <c r="Z40" s="1900" t="str">
        <f t="shared" si="15"/>
        <v>房型</v>
      </c>
      <c r="AA40" s="1901">
        <f t="shared" si="3"/>
        <v>1</v>
      </c>
      <c r="AB40" s="1901">
        <f t="shared" si="4"/>
        <v>1</v>
      </c>
      <c r="AC40" s="1901">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56"/>
      <c r="Q41" s="755" t="str">
        <f t="shared" si="11"/>
        <v>单套/主力户型建筑面积</v>
      </c>
      <c r="R41" s="756" t="s">
        <v>28</v>
      </c>
      <c r="S41" s="757">
        <f t="shared" si="12"/>
        <v>100</v>
      </c>
      <c r="T41" s="756" t="s">
        <v>28</v>
      </c>
      <c r="U41" s="757">
        <f t="shared" si="13"/>
        <v>100</v>
      </c>
      <c r="V41" s="756" t="s">
        <v>28</v>
      </c>
      <c r="W41" s="757">
        <f t="shared" si="14"/>
        <v>100</v>
      </c>
      <c r="X41" s="758"/>
      <c r="Y41" s="3058"/>
      <c r="Z41" s="759" t="str">
        <f t="shared" si="15"/>
        <v>单套/主力户型建筑面积</v>
      </c>
      <c r="AA41" s="1901">
        <f t="shared" si="3"/>
        <v>1</v>
      </c>
      <c r="AB41" s="1901">
        <f t="shared" si="4"/>
        <v>1</v>
      </c>
      <c r="AC41" s="1901">
        <f t="shared" si="5"/>
        <v>1</v>
      </c>
    </row>
    <row r="42" spans="1:29" ht="15">
      <c r="A42" s="453"/>
      <c r="B42" s="402" t="s">
        <v>2378</v>
      </c>
      <c r="C42" s="2411" t="s">
        <v>2907</v>
      </c>
      <c r="D42" s="415">
        <v>100</v>
      </c>
      <c r="E42" s="2410" t="s">
        <v>2907</v>
      </c>
      <c r="F42" s="442">
        <f>SUMIF(122:122,E42,123:123)-SUMIF(122:122,C42,123:123)+100</f>
        <v>100</v>
      </c>
      <c r="G42" s="2411" t="s">
        <v>2907</v>
      </c>
      <c r="H42" s="415">
        <f>SUMIF(122:122,G42,123:123)-SUMIF(122:122,C42,123:123)+100</f>
        <v>100</v>
      </c>
      <c r="I42" s="2778" t="s">
        <v>2907</v>
      </c>
      <c r="J42" s="415">
        <f>SUMIF(122:122,I42,123:123)-SUMIF(122:122,C42,123:123)+100</f>
        <v>100</v>
      </c>
      <c r="K42" s="406">
        <v>0</v>
      </c>
      <c r="L42" s="1252"/>
      <c r="M42" s="1243"/>
      <c r="N42" s="1243"/>
      <c r="O42" s="1243"/>
      <c r="P42" s="3056"/>
      <c r="Q42" s="1897" t="str">
        <f t="shared" si="11"/>
        <v>内部装修</v>
      </c>
      <c r="R42" s="753" t="s">
        <v>28</v>
      </c>
      <c r="S42" s="754">
        <f t="shared" si="12"/>
        <v>100</v>
      </c>
      <c r="T42" s="753" t="s">
        <v>28</v>
      </c>
      <c r="U42" s="754">
        <f t="shared" si="13"/>
        <v>100</v>
      </c>
      <c r="V42" s="753" t="s">
        <v>28</v>
      </c>
      <c r="W42" s="754">
        <f t="shared" si="14"/>
        <v>100</v>
      </c>
      <c r="X42" s="1898"/>
      <c r="Y42" s="3058"/>
      <c r="Z42" s="1900" t="str">
        <f t="shared" si="15"/>
        <v>内部装修</v>
      </c>
      <c r="AA42" s="1901">
        <f t="shared" si="3"/>
        <v>1</v>
      </c>
      <c r="AB42" s="1901">
        <f t="shared" si="4"/>
        <v>1</v>
      </c>
      <c r="AC42" s="1901">
        <f t="shared" si="5"/>
        <v>1</v>
      </c>
    </row>
    <row r="43" spans="1:29" ht="15">
      <c r="A43" s="453"/>
      <c r="B43" s="402" t="s">
        <v>2379</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2"/>
      <c r="M43" s="1243"/>
      <c r="N43" s="1243"/>
      <c r="O43" s="1243"/>
      <c r="P43" s="3056"/>
      <c r="Q43" s="1897" t="str">
        <f t="shared" si="11"/>
        <v>内部装修维护情况</v>
      </c>
      <c r="R43" s="753" t="s">
        <v>28</v>
      </c>
      <c r="S43" s="754">
        <f t="shared" si="12"/>
        <v>100</v>
      </c>
      <c r="T43" s="753" t="s">
        <v>28</v>
      </c>
      <c r="U43" s="754">
        <f t="shared" si="13"/>
        <v>100</v>
      </c>
      <c r="V43" s="753" t="s">
        <v>28</v>
      </c>
      <c r="W43" s="754">
        <f t="shared" si="14"/>
        <v>100</v>
      </c>
      <c r="X43" s="1898"/>
      <c r="Y43" s="3058"/>
      <c r="Z43" s="1900" t="str">
        <f t="shared" si="15"/>
        <v>内部装修维护情况</v>
      </c>
      <c r="AA43" s="1901">
        <f t="shared" si="3"/>
        <v>1</v>
      </c>
      <c r="AB43" s="1901">
        <f t="shared" si="4"/>
        <v>1</v>
      </c>
      <c r="AC43" s="1901">
        <f t="shared" si="5"/>
        <v>1</v>
      </c>
    </row>
    <row r="44" spans="1:29" s="35" customFormat="1" ht="21" customHeight="1">
      <c r="A44" s="454"/>
      <c r="B44" s="2770" t="s">
        <v>2919</v>
      </c>
      <c r="C44" s="450">
        <v>2007</v>
      </c>
      <c r="D44" s="52">
        <v>100</v>
      </c>
      <c r="E44" s="450">
        <v>2007</v>
      </c>
      <c r="F44" s="405">
        <f>SUMIF(126:126,E44,127:127)-SUMIF(126:126,C44,127:127)+100</f>
        <v>100</v>
      </c>
      <c r="G44" s="450">
        <v>2007</v>
      </c>
      <c r="H44" s="52">
        <f>SUMIF(126:126,G44,127:127)-SUMIF(126:126,C44,127:127)+100</f>
        <v>100</v>
      </c>
      <c r="I44" s="450">
        <v>2002</v>
      </c>
      <c r="J44" s="52">
        <f>SUMIF(126:126,I44,127:127)-SUMIF(126:126,C44,127:127)+100</f>
        <v>99</v>
      </c>
      <c r="K44" s="2400"/>
      <c r="L44" s="1244"/>
      <c r="M44" s="1245"/>
      <c r="N44" s="1245"/>
      <c r="O44" s="1245"/>
      <c r="P44" s="3056"/>
      <c r="Q44" s="1885" t="str">
        <f t="shared" si="11"/>
        <v>建成年代</v>
      </c>
      <c r="R44" s="749" t="s">
        <v>28</v>
      </c>
      <c r="S44" s="750">
        <f t="shared" si="12"/>
        <v>100</v>
      </c>
      <c r="T44" s="749" t="s">
        <v>28</v>
      </c>
      <c r="U44" s="750">
        <f t="shared" si="13"/>
        <v>100</v>
      </c>
      <c r="V44" s="749" t="s">
        <v>28</v>
      </c>
      <c r="W44" s="750">
        <f t="shared" si="14"/>
        <v>99</v>
      </c>
      <c r="X44" s="751"/>
      <c r="Y44" s="3058"/>
      <c r="Z44" s="23" t="str">
        <f t="shared" si="15"/>
        <v>建成年代</v>
      </c>
      <c r="AA44" s="752">
        <f t="shared" si="3"/>
        <v>1</v>
      </c>
      <c r="AB44" s="752">
        <f t="shared" si="4"/>
        <v>1</v>
      </c>
      <c r="AC44" s="752">
        <f t="shared" si="5"/>
        <v>1.0101010101010102</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56"/>
      <c r="Q45" s="1897">
        <f t="shared" si="11"/>
        <v>111</v>
      </c>
      <c r="R45" s="753" t="s">
        <v>28</v>
      </c>
      <c r="S45" s="754">
        <f t="shared" si="12"/>
        <v>100</v>
      </c>
      <c r="T45" s="753" t="s">
        <v>28</v>
      </c>
      <c r="U45" s="754">
        <f t="shared" si="13"/>
        <v>100</v>
      </c>
      <c r="V45" s="753" t="s">
        <v>28</v>
      </c>
      <c r="W45" s="754">
        <f t="shared" si="14"/>
        <v>100</v>
      </c>
      <c r="X45" s="1898"/>
      <c r="Y45" s="3058"/>
      <c r="Z45" s="1900">
        <f t="shared" si="15"/>
        <v>111</v>
      </c>
      <c r="AA45" s="1901">
        <f t="shared" si="3"/>
        <v>1</v>
      </c>
      <c r="AB45" s="1901">
        <f t="shared" si="4"/>
        <v>1</v>
      </c>
      <c r="AC45" s="1901">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57"/>
      <c r="Q46" s="1897">
        <f t="shared" si="11"/>
        <v>111</v>
      </c>
      <c r="R46" s="753" t="s">
        <v>27</v>
      </c>
      <c r="S46" s="754">
        <f t="shared" si="12"/>
        <v>100</v>
      </c>
      <c r="T46" s="753" t="s">
        <v>27</v>
      </c>
      <c r="U46" s="754">
        <f t="shared" si="13"/>
        <v>100</v>
      </c>
      <c r="V46" s="753" t="s">
        <v>27</v>
      </c>
      <c r="W46" s="754">
        <f t="shared" si="14"/>
        <v>100</v>
      </c>
      <c r="X46" s="1898"/>
      <c r="Y46" s="3059"/>
      <c r="Z46" s="1900">
        <f t="shared" si="15"/>
        <v>111</v>
      </c>
      <c r="AA46" s="1901">
        <f t="shared" si="3"/>
        <v>1</v>
      </c>
      <c r="AB46" s="1901">
        <f t="shared" si="4"/>
        <v>1</v>
      </c>
      <c r="AC46" s="1901">
        <f t="shared" si="5"/>
        <v>1</v>
      </c>
    </row>
    <row r="47" spans="1:29" ht="15">
      <c r="A47" s="460" t="s">
        <v>2380</v>
      </c>
      <c r="B47" s="461"/>
      <c r="C47" s="1501" t="s">
        <v>26</v>
      </c>
      <c r="D47" s="1502"/>
      <c r="E47" s="1503">
        <v>34439</v>
      </c>
      <c r="F47" s="1504"/>
      <c r="G47" s="1505">
        <v>33272</v>
      </c>
      <c r="H47" s="1506"/>
      <c r="I47" s="1503">
        <v>34317</v>
      </c>
      <c r="J47" s="1506"/>
      <c r="K47" s="2417"/>
      <c r="L47" s="1255"/>
      <c r="M47" s="1256"/>
      <c r="N47" s="1243"/>
      <c r="O47" s="1256"/>
      <c r="P47" s="3050" t="str">
        <f>A47</f>
        <v>成交单价（元/平方米）</v>
      </c>
      <c r="Q47" s="3050"/>
      <c r="R47" s="3046">
        <f>E47</f>
        <v>34439</v>
      </c>
      <c r="S47" s="3046"/>
      <c r="T47" s="3046">
        <f>G47</f>
        <v>33272</v>
      </c>
      <c r="U47" s="3046"/>
      <c r="V47" s="3046">
        <f>I47</f>
        <v>34317</v>
      </c>
      <c r="W47" s="3046"/>
      <c r="X47" s="738"/>
      <c r="Y47" s="760"/>
      <c r="Z47" s="738"/>
      <c r="AA47" s="738"/>
      <c r="AB47" s="738"/>
      <c r="AC47" s="738"/>
    </row>
    <row r="48" spans="1:29" ht="15.75" thickBot="1">
      <c r="A48" s="467" t="s">
        <v>2381</v>
      </c>
      <c r="B48" s="468"/>
      <c r="C48" s="1507">
        <f>R49</f>
        <v>34893</v>
      </c>
      <c r="D48" s="1508"/>
      <c r="E48" s="1509">
        <f>R48</f>
        <v>35866</v>
      </c>
      <c r="F48" s="1509"/>
      <c r="G48" s="1507">
        <f>T48</f>
        <v>33791</v>
      </c>
      <c r="H48" s="1508"/>
      <c r="I48" s="1509">
        <f>V48</f>
        <v>35021</v>
      </c>
      <c r="J48" s="1508"/>
      <c r="K48" s="2418"/>
      <c r="L48" s="1255"/>
      <c r="M48" s="1256"/>
      <c r="N48" s="1256"/>
      <c r="O48" s="1256"/>
      <c r="P48" s="3050" t="str">
        <f>A48</f>
        <v>比较价值（元/平方米）</v>
      </c>
      <c r="Q48" s="3050"/>
      <c r="R48" s="3046">
        <f>IF(E1="售价",ROUND(PRODUCT(R47,AA7:AA46),0),ROUND(PRODUCT(R47,AA7:AA46),1))</f>
        <v>35866</v>
      </c>
      <c r="S48" s="3046"/>
      <c r="T48" s="3044">
        <f>IF(E1="售价",ROUND(PRODUCT(T47,AB7:AB46),0),ROUND(PRODUCT(T47,AB7:AB46),1))</f>
        <v>33791</v>
      </c>
      <c r="U48" s="3045"/>
      <c r="V48" s="3046">
        <f>IF(E1="售价",ROUND(PRODUCT(V47,AC7:AC46),0),ROUND(PRODUCT(V47,AC7:AC46),1))</f>
        <v>35021</v>
      </c>
      <c r="W48" s="3046"/>
      <c r="X48" s="738"/>
      <c r="Y48" s="738"/>
      <c r="Z48" s="738"/>
      <c r="AA48" s="738"/>
      <c r="AB48" s="738"/>
      <c r="AC48" s="738"/>
    </row>
    <row r="49" spans="1:29" ht="15.75" thickBot="1">
      <c r="A49" s="473" t="s">
        <v>2382</v>
      </c>
      <c r="B49" s="474"/>
      <c r="C49" s="1510">
        <f>R49</f>
        <v>34893</v>
      </c>
      <c r="D49" s="1511"/>
      <c r="E49" s="1511"/>
      <c r="F49" s="1511"/>
      <c r="G49" s="1511"/>
      <c r="H49" s="1511"/>
      <c r="I49" s="1511"/>
      <c r="J49" s="1511"/>
      <c r="K49" s="2419"/>
      <c r="L49" s="1255"/>
      <c r="M49" s="1256"/>
      <c r="N49" s="1256"/>
      <c r="O49" s="1256"/>
      <c r="P49" s="3047" t="str">
        <f>A49</f>
        <v>估价对象XX用房的比较价值（楼面单价，元/平方米）</v>
      </c>
      <c r="Q49" s="3048"/>
      <c r="R49" s="3049">
        <f>IF(E1="售价",ROUND(AVERAGE(R48:V48),0),ROUND(AVERAGE(R48:V48),1))</f>
        <v>34893</v>
      </c>
      <c r="S49" s="3049"/>
      <c r="T49" s="3049"/>
      <c r="U49" s="3049"/>
      <c r="V49" s="3049"/>
      <c r="W49" s="304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4.1435581753244799E-2</v>
      </c>
      <c r="F52" s="481" t="str">
        <f>IF(OR(E52&gt;=0.3,E52&lt;=-0.3),"超过30%","")</f>
        <v/>
      </c>
      <c r="G52" s="480">
        <f>IF(G47&lt;G48,G48/G47-1,G47/G48-1)</f>
        <v>1.5598701610964216E-2</v>
      </c>
      <c r="H52" s="481" t="str">
        <f>IF(OR(G52&gt;=0.3,G52&lt;=-0.3),"超过30%","")</f>
        <v/>
      </c>
      <c r="I52" s="480">
        <f>IF(I47&lt;I48,I48/I47-1,I47/I48-1)</f>
        <v>2.0514613748288113E-2</v>
      </c>
      <c r="J52" s="481" t="str">
        <f>IF(OR(I52&gt;=0.3,I52&lt;=-0.3),"超过30%","")</f>
        <v/>
      </c>
      <c r="K52" s="1261"/>
      <c r="L52" s="1257"/>
      <c r="M52" s="1256"/>
      <c r="N52" s="1256"/>
      <c r="O52" s="1256"/>
    </row>
    <row r="53" spans="1:29" ht="13.5" customHeight="1">
      <c r="A53" s="1256"/>
      <c r="B53" s="1256"/>
      <c r="C53" s="478" t="s">
        <v>2384</v>
      </c>
      <c r="D53" s="482"/>
      <c r="E53" s="480">
        <f>IF(E48&lt;G48,G48/E48-1,E48/G48-1)</f>
        <v>6.1406883489686592E-2</v>
      </c>
      <c r="F53" s="481" t="str">
        <f>IF(OR(E53&gt;=0.2,E53&lt;=-0.2),"超过20%","")</f>
        <v/>
      </c>
      <c r="G53" s="480">
        <f>IF(G48&lt;I48,I48/G48-1,G48/I48-1)</f>
        <v>3.6400224911958823E-2</v>
      </c>
      <c r="H53" s="481" t="str">
        <f>IF(OR(G53&gt;=0.2,G53&lt;=-0.2),"超过20%","")</f>
        <v/>
      </c>
      <c r="I53" s="480">
        <f>IF(I48&lt;E48,E48/I48-1,I48/E48-1)</f>
        <v>2.4128380114788239E-2</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3.5074537148352958E-2</v>
      </c>
      <c r="F54" s="481" t="str">
        <f>IF(OR(E54&gt;=0.3,E54&lt;=-0.3),"超过30%","")</f>
        <v/>
      </c>
      <c r="G54" s="480">
        <f>IF(G47&lt;I47,I47/G47-1,G47/I47-1)</f>
        <v>3.1407790334214924E-2</v>
      </c>
      <c r="H54" s="481" t="str">
        <f>IF(OR(G54&gt;=0.3,G54&lt;=-0.3),"超过30%","")</f>
        <v/>
      </c>
      <c r="I54" s="480">
        <f>IF(I47&lt;E47,E47/I47-1,I47/E47-1)</f>
        <v>3.5550893143339035E-3</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2"/>
      <c r="Q57" s="485"/>
    </row>
    <row r="58" spans="1:29" s="489" customFormat="1" ht="15">
      <c r="A58" s="486" t="s">
        <v>2387</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v>100</v>
      </c>
      <c r="E59" s="493">
        <v>99</v>
      </c>
      <c r="F59" s="493">
        <v>99</v>
      </c>
      <c r="G59" s="493">
        <v>99</v>
      </c>
      <c r="H59" s="493">
        <v>99</v>
      </c>
      <c r="I59" s="493">
        <v>99</v>
      </c>
      <c r="J59" s="493">
        <v>99</v>
      </c>
      <c r="K59" s="493">
        <v>99</v>
      </c>
      <c r="L59" s="493">
        <v>98</v>
      </c>
      <c r="M59" s="494">
        <v>98</v>
      </c>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2389</v>
      </c>
      <c r="B61" s="491"/>
      <c r="C61" s="503" t="s">
        <v>2390</v>
      </c>
      <c r="D61" s="2762" t="s">
        <v>2865</v>
      </c>
      <c r="E61" s="504"/>
      <c r="F61" s="504"/>
      <c r="G61" s="504"/>
      <c r="H61" s="504"/>
      <c r="I61" s="504"/>
      <c r="J61" s="504"/>
      <c r="K61" s="504"/>
      <c r="L61" s="505"/>
      <c r="M61" s="506"/>
      <c r="N61" s="1265"/>
      <c r="O61" s="1265"/>
      <c r="P61" s="2425"/>
      <c r="Q61" s="485"/>
    </row>
    <row r="62" spans="1:29" s="35" customFormat="1" ht="15.75" thickBot="1">
      <c r="A62" s="502"/>
      <c r="B62" s="491"/>
      <c r="C62" s="492">
        <v>100</v>
      </c>
      <c r="D62" s="493">
        <v>108</v>
      </c>
      <c r="E62" s="493"/>
      <c r="F62" s="493"/>
      <c r="G62" s="493"/>
      <c r="H62" s="493"/>
      <c r="I62" s="493"/>
      <c r="J62" s="493"/>
      <c r="K62" s="493"/>
      <c r="L62" s="493"/>
      <c r="M62" s="495"/>
      <c r="N62" s="1265"/>
      <c r="O62" s="1265"/>
      <c r="P62" s="2424"/>
      <c r="Q62" s="485"/>
    </row>
    <row r="63" spans="1:29">
      <c r="A63" s="508" t="s">
        <v>2391</v>
      </c>
      <c r="B63" s="509" t="s">
        <v>2356</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2360</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2.5</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1748</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2414</v>
      </c>
      <c r="C88" s="2766" t="s">
        <v>2870</v>
      </c>
      <c r="D88" s="2766" t="s">
        <v>2871</v>
      </c>
      <c r="E88" s="2766" t="s">
        <v>2872</v>
      </c>
      <c r="F88" s="2767" t="s">
        <v>2873</v>
      </c>
      <c r="G88" s="2766" t="s">
        <v>2874</v>
      </c>
      <c r="H88" s="2766" t="s">
        <v>2875</v>
      </c>
      <c r="I88" s="2766" t="s">
        <v>2876</v>
      </c>
      <c r="J88" s="2766" t="s">
        <v>2877</v>
      </c>
      <c r="K88" s="2768" t="s">
        <v>2878</v>
      </c>
      <c r="L88" s="2766" t="s">
        <v>2881</v>
      </c>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楼层</v>
      </c>
      <c r="C90" s="2777" t="s">
        <v>2869</v>
      </c>
      <c r="D90" s="2777" t="s">
        <v>2917</v>
      </c>
      <c r="E90" s="2777" t="s">
        <v>2916</v>
      </c>
      <c r="F90" s="2777" t="s">
        <v>2918</v>
      </c>
      <c r="G90" s="537"/>
      <c r="H90" s="538"/>
      <c r="I90" s="538"/>
      <c r="J90" s="538"/>
      <c r="K90" s="538"/>
      <c r="L90" s="539"/>
      <c r="M90" s="540"/>
      <c r="N90" s="1268"/>
      <c r="O90" s="1268"/>
      <c r="P90" s="2427"/>
      <c r="Q90" s="543"/>
    </row>
    <row r="91" spans="1:17" s="452" customFormat="1" ht="15.75" thickBot="1">
      <c r="A91" s="536"/>
      <c r="B91" s="526"/>
      <c r="C91" s="544">
        <v>100</v>
      </c>
      <c r="D91" s="544">
        <v>99</v>
      </c>
      <c r="E91" s="544">
        <v>100</v>
      </c>
      <c r="F91" s="544">
        <v>101</v>
      </c>
      <c r="G91" s="544"/>
      <c r="H91" s="546"/>
      <c r="I91" s="546"/>
      <c r="J91" s="546"/>
      <c r="K91" s="546"/>
      <c r="L91" s="546"/>
      <c r="M91" s="547"/>
      <c r="N91" s="1268"/>
      <c r="O91" s="1268"/>
      <c r="P91" s="2427"/>
      <c r="Q91" s="543"/>
    </row>
    <row r="92" spans="1:17" ht="15.75" thickTop="1">
      <c r="A92" s="516"/>
      <c r="B92" s="521">
        <f>B28</f>
        <v>0</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t="str">
        <f>B29</f>
        <v>道路级别</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2366</v>
      </c>
      <c r="B100" s="509" t="s">
        <v>2415</v>
      </c>
      <c r="C100" s="2773" t="s">
        <v>2884</v>
      </c>
      <c r="D100" s="2773" t="s">
        <v>2885</v>
      </c>
      <c r="E100" s="2773" t="s">
        <v>2886</v>
      </c>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2416</v>
      </c>
      <c r="C102" s="562" t="str">
        <f>C103&amp;"(含)"&amp;"-"&amp;D103</f>
        <v>0(含)-50</v>
      </c>
      <c r="D102" s="562" t="str">
        <f t="shared" ref="D102:L102" si="23">D103&amp;"(含)"&amp;"-"&amp;E103</f>
        <v>50(含)-90</v>
      </c>
      <c r="E102" s="562" t="str">
        <f t="shared" si="23"/>
        <v>90(含)-130</v>
      </c>
      <c r="F102" s="562" t="str">
        <f t="shared" si="23"/>
        <v>130(含)-150</v>
      </c>
      <c r="G102" s="562" t="str">
        <f t="shared" si="23"/>
        <v>150(含)-180</v>
      </c>
      <c r="H102" s="562" t="str">
        <f t="shared" si="23"/>
        <v>180(含)-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50</v>
      </c>
      <c r="E103" s="579">
        <v>90</v>
      </c>
      <c r="F103" s="579">
        <v>130</v>
      </c>
      <c r="G103" s="579">
        <v>150</v>
      </c>
      <c r="H103" s="579">
        <v>180</v>
      </c>
      <c r="I103" s="579"/>
      <c r="J103" s="580"/>
      <c r="K103" s="580"/>
      <c r="L103" s="581"/>
      <c r="M103" s="582"/>
      <c r="N103" s="1268"/>
      <c r="O103" s="1268"/>
      <c r="P103" s="2427"/>
      <c r="Q103" s="543"/>
    </row>
    <row r="104" spans="1:17" s="452" customFormat="1" ht="15.75" thickBot="1">
      <c r="A104" s="536"/>
      <c r="B104" s="526"/>
      <c r="C104" s="544">
        <v>102</v>
      </c>
      <c r="D104" s="518">
        <v>101</v>
      </c>
      <c r="E104" s="518">
        <v>100</v>
      </c>
      <c r="F104" s="518">
        <v>99</v>
      </c>
      <c r="G104" s="518">
        <v>98</v>
      </c>
      <c r="H104" s="518">
        <v>97</v>
      </c>
      <c r="I104" s="518"/>
      <c r="J104" s="518"/>
      <c r="K104" s="518"/>
      <c r="L104" s="518"/>
      <c r="M104" s="518"/>
      <c r="N104" s="1267"/>
      <c r="O104" s="1267"/>
      <c r="P104" s="2427"/>
      <c r="Q104" s="543"/>
    </row>
    <row r="105" spans="1:17" ht="15" thickTop="1">
      <c r="A105" s="583"/>
      <c r="B105" s="521" t="s">
        <v>2417</v>
      </c>
      <c r="C105" s="2766" t="s">
        <v>2887</v>
      </c>
      <c r="D105" s="2774" t="s">
        <v>2888</v>
      </c>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2418</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2419</v>
      </c>
      <c r="C109" s="2766" t="s">
        <v>2889</v>
      </c>
      <c r="D109" s="2766" t="s">
        <v>2890</v>
      </c>
      <c r="E109" s="2766" t="s">
        <v>2891</v>
      </c>
      <c r="F109" s="2774" t="s">
        <v>2892</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2421</v>
      </c>
      <c r="C114" s="2772" t="s">
        <v>2902</v>
      </c>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2422</v>
      </c>
      <c r="C116" s="2772" t="s">
        <v>2893</v>
      </c>
      <c r="D116" s="2772" t="s">
        <v>2894</v>
      </c>
      <c r="E116" s="2772" t="s">
        <v>2896</v>
      </c>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2423</v>
      </c>
      <c r="C118" s="2775" t="s">
        <v>2898</v>
      </c>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2424</v>
      </c>
      <c r="C122" s="2766" t="s">
        <v>2889</v>
      </c>
      <c r="D122" s="2766" t="s">
        <v>2890</v>
      </c>
      <c r="E122" s="2766" t="s">
        <v>2891</v>
      </c>
      <c r="F122" s="2774" t="s">
        <v>2892</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t="str">
        <f>B44</f>
        <v>建成年代</v>
      </c>
      <c r="C126" s="537">
        <v>2007</v>
      </c>
      <c r="D126" s="537">
        <v>2006</v>
      </c>
      <c r="E126" s="537">
        <v>2005</v>
      </c>
      <c r="F126" s="537">
        <v>2004</v>
      </c>
      <c r="G126" s="537">
        <v>2003</v>
      </c>
      <c r="H126" s="538">
        <v>2002</v>
      </c>
      <c r="I126" s="538">
        <v>2001</v>
      </c>
      <c r="J126" s="538"/>
      <c r="K126" s="538"/>
      <c r="L126" s="539"/>
      <c r="M126" s="540"/>
      <c r="N126" s="1268"/>
      <c r="O126" s="1268"/>
      <c r="P126" s="2427"/>
      <c r="Q126" s="543"/>
    </row>
    <row r="127" spans="1:17" s="452" customFormat="1" ht="15.75" thickBot="1">
      <c r="A127" s="536"/>
      <c r="B127" s="526"/>
      <c r="C127" s="544">
        <v>100</v>
      </c>
      <c r="D127" s="518">
        <v>99.8</v>
      </c>
      <c r="E127" s="518">
        <v>99.6</v>
      </c>
      <c r="F127" s="544">
        <v>99.4</v>
      </c>
      <c r="G127" s="518">
        <v>99.2</v>
      </c>
      <c r="H127" s="518">
        <v>99</v>
      </c>
      <c r="I127" s="544">
        <v>98.8</v>
      </c>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2426</v>
      </c>
    </row>
    <row r="137" spans="1:17" ht="15">
      <c r="B137" s="2434" t="s">
        <v>2427</v>
      </c>
      <c r="C137" s="2435"/>
      <c r="D137" s="2435"/>
      <c r="E137" s="2435"/>
      <c r="F137" s="2435"/>
      <c r="G137" s="2436"/>
      <c r="H137" s="2437"/>
      <c r="I137" s="2438" t="s">
        <v>2428</v>
      </c>
      <c r="J137" s="2435"/>
      <c r="K137" s="2439"/>
    </row>
    <row r="138" spans="1:17" ht="15">
      <c r="B138" s="2440"/>
      <c r="C138" s="62" t="s">
        <v>2429</v>
      </c>
      <c r="D138" s="62" t="s">
        <v>2430</v>
      </c>
      <c r="E138" s="2441" t="s">
        <v>2431</v>
      </c>
      <c r="F138" s="2442" t="s">
        <v>2432</v>
      </c>
      <c r="G138" s="62" t="s">
        <v>2430</v>
      </c>
      <c r="H138" s="63" t="s">
        <v>2431</v>
      </c>
      <c r="I138" s="2443"/>
      <c r="J138" s="62" t="s">
        <v>2433</v>
      </c>
      <c r="K138" s="63" t="s">
        <v>2434</v>
      </c>
    </row>
    <row r="139" spans="1:17" ht="15">
      <c r="B139" s="1124">
        <v>6</v>
      </c>
      <c r="C139" s="1132">
        <v>96</v>
      </c>
      <c r="D139" s="2444" t="s">
        <v>2435</v>
      </c>
      <c r="E139" s="1133">
        <v>100</v>
      </c>
      <c r="F139" s="1134">
        <v>102.5</v>
      </c>
      <c r="G139" s="2444" t="s">
        <v>2435</v>
      </c>
      <c r="H139" s="1135">
        <v>105</v>
      </c>
      <c r="I139" s="2445" t="s">
        <v>2436</v>
      </c>
      <c r="J139" s="1132">
        <v>20</v>
      </c>
      <c r="K139" s="1126">
        <f>C145/(J139-2)</f>
        <v>4.0555555555555553E-3</v>
      </c>
    </row>
    <row r="140" spans="1:17" ht="15">
      <c r="B140" s="1125">
        <v>5</v>
      </c>
      <c r="C140" s="1136">
        <v>100</v>
      </c>
      <c r="D140" s="1136"/>
      <c r="E140" s="1137"/>
      <c r="F140" s="1138">
        <v>102</v>
      </c>
      <c r="G140" s="1136"/>
      <c r="H140" s="1139"/>
      <c r="I140" s="2446" t="s">
        <v>2437</v>
      </c>
      <c r="J140" s="217">
        <f>ROUNDUP((J139-1)/2,0)</f>
        <v>10</v>
      </c>
      <c r="K140" s="1127">
        <v>100</v>
      </c>
    </row>
    <row r="141" spans="1:17" ht="15">
      <c r="B141" s="1125">
        <v>4</v>
      </c>
      <c r="C141" s="1136">
        <v>102</v>
      </c>
      <c r="D141" s="1136"/>
      <c r="E141" s="1137"/>
      <c r="F141" s="1138">
        <v>101.5</v>
      </c>
      <c r="G141" s="1136"/>
      <c r="H141" s="1139"/>
      <c r="I141" s="2446" t="s">
        <v>2438</v>
      </c>
      <c r="J141" s="217">
        <v>1</v>
      </c>
      <c r="K141" s="1128">
        <f>ROUND(100+(J141-J140)*K139*100,1)</f>
        <v>96.4</v>
      </c>
    </row>
    <row r="142" spans="1:17" ht="15">
      <c r="B142" s="1125">
        <v>3</v>
      </c>
      <c r="C142" s="1136">
        <v>103</v>
      </c>
      <c r="D142" s="1136"/>
      <c r="E142" s="1137"/>
      <c r="F142" s="1138">
        <v>101</v>
      </c>
      <c r="G142" s="1136"/>
      <c r="H142" s="1139"/>
      <c r="I142" s="2446" t="s">
        <v>2439</v>
      </c>
      <c r="J142" s="217">
        <f>J139</f>
        <v>20</v>
      </c>
      <c r="K142" s="1141">
        <v>95</v>
      </c>
    </row>
    <row r="143" spans="1:17" ht="15">
      <c r="B143" s="1125">
        <v>2</v>
      </c>
      <c r="C143" s="1136">
        <v>100</v>
      </c>
      <c r="D143" s="1136"/>
      <c r="E143" s="1137"/>
      <c r="F143" s="1138">
        <v>100.5</v>
      </c>
      <c r="G143" s="1136"/>
      <c r="H143" s="1139"/>
      <c r="I143" s="2446" t="s">
        <v>2440</v>
      </c>
      <c r="J143" s="1136">
        <v>15</v>
      </c>
      <c r="K143" s="1128">
        <f>ROUND(100+(J143-J140)*K139*100,1)</f>
        <v>102</v>
      </c>
    </row>
    <row r="144" spans="1:17" ht="15">
      <c r="B144" s="1125">
        <v>1</v>
      </c>
      <c r="C144" s="1136">
        <v>98</v>
      </c>
      <c r="D144" s="2447" t="s">
        <v>2441</v>
      </c>
      <c r="E144" s="1137">
        <v>102</v>
      </c>
      <c r="F144" s="1140">
        <v>100</v>
      </c>
      <c r="G144" s="2447" t="s">
        <v>2441</v>
      </c>
      <c r="H144" s="1139">
        <v>105</v>
      </c>
      <c r="I144" s="2446" t="s">
        <v>2440</v>
      </c>
      <c r="J144" s="1136">
        <v>18</v>
      </c>
      <c r="K144" s="1128">
        <f>ROUND(100+(J144-J140)*K139*100,1)</f>
        <v>103.2</v>
      </c>
    </row>
    <row r="145" spans="2:11" ht="15.75" thickBot="1">
      <c r="B145" s="2448" t="s">
        <v>2442</v>
      </c>
      <c r="C145" s="1130">
        <f>ROUND(MAX(C139:C144)/MIN(C139:C144)-1,3)</f>
        <v>7.2999999999999995E-2</v>
      </c>
      <c r="D145" s="1131"/>
      <c r="E145" s="1131"/>
      <c r="F145" s="2449" t="s">
        <v>2443</v>
      </c>
      <c r="G145" s="2450"/>
      <c r="H145" s="2451"/>
      <c r="I145" s="2452" t="s">
        <v>2440</v>
      </c>
      <c r="J145" s="1142">
        <v>8</v>
      </c>
      <c r="K145" s="1129">
        <f>ROUND(100+(J145-J140)*K139*100,1)</f>
        <v>99.2</v>
      </c>
    </row>
    <row r="147" spans="2:11">
      <c r="B147" s="2433" t="s">
        <v>2444</v>
      </c>
    </row>
    <row r="148" spans="2:11">
      <c r="B148" s="2433"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3"/>
      <c r="E1" s="2382"/>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0"/>
      <c r="I2" s="980"/>
      <c r="J2" s="980"/>
      <c r="K2" s="980"/>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1</v>
      </c>
      <c r="E3" s="2456"/>
      <c r="F3" s="981"/>
      <c r="G3" s="980"/>
      <c r="H3" s="980"/>
      <c r="I3" s="980"/>
      <c r="J3" s="980"/>
      <c r="K3" s="982"/>
      <c r="L3" s="1240"/>
      <c r="M3" s="1241"/>
      <c r="N3" s="1241"/>
      <c r="O3" s="1241"/>
      <c r="P3" s="2455"/>
      <c r="Q3" s="747"/>
      <c r="R3" s="747"/>
      <c r="S3" s="747"/>
      <c r="T3" s="747"/>
      <c r="U3" s="747"/>
      <c r="V3" s="747"/>
      <c r="W3" s="747"/>
      <c r="X3" s="747"/>
      <c r="Y3" s="747"/>
      <c r="Z3" s="747"/>
      <c r="AA3" s="747"/>
      <c r="AB3" s="747"/>
      <c r="AC3" s="761"/>
    </row>
    <row r="4" spans="1:29" ht="15">
      <c r="A4" s="380" t="s">
        <v>2337</v>
      </c>
      <c r="B4" s="381"/>
      <c r="C4" s="3077" t="s">
        <v>2338</v>
      </c>
      <c r="D4" s="3078"/>
      <c r="E4" s="3079" t="s">
        <v>2339</v>
      </c>
      <c r="F4" s="3080"/>
      <c r="G4" s="3077" t="s">
        <v>2340</v>
      </c>
      <c r="H4" s="3078"/>
      <c r="I4" s="3077" t="s">
        <v>2341</v>
      </c>
      <c r="J4" s="3078"/>
      <c r="K4" s="594" t="s">
        <v>2342</v>
      </c>
      <c r="L4" s="1242"/>
      <c r="M4" s="1243"/>
      <c r="N4" s="1243"/>
      <c r="O4" s="1243"/>
      <c r="P4" s="3081" t="s">
        <v>2343</v>
      </c>
      <c r="Q4" s="3082"/>
      <c r="R4" s="3066" t="s">
        <v>2339</v>
      </c>
      <c r="S4" s="3067"/>
      <c r="T4" s="3066" t="s">
        <v>2340</v>
      </c>
      <c r="U4" s="3067"/>
      <c r="V4" s="3087" t="s">
        <v>2341</v>
      </c>
      <c r="W4" s="3087"/>
      <c r="X4" s="1898"/>
      <c r="Y4" s="3066" t="s">
        <v>2343</v>
      </c>
      <c r="Z4" s="3067"/>
      <c r="AA4" s="3074" t="s">
        <v>2339</v>
      </c>
      <c r="AB4" s="3087" t="s">
        <v>2340</v>
      </c>
      <c r="AC4" s="3074" t="s">
        <v>2341</v>
      </c>
    </row>
    <row r="5" spans="1:29" ht="15">
      <c r="A5" s="383"/>
      <c r="B5" s="384"/>
      <c r="C5" s="3091" t="s">
        <v>2344</v>
      </c>
      <c r="D5" s="3063"/>
      <c r="E5" s="3090" t="s">
        <v>2345</v>
      </c>
      <c r="F5" s="3089"/>
      <c r="G5" s="3091" t="s">
        <v>2346</v>
      </c>
      <c r="H5" s="3063"/>
      <c r="I5" s="3091" t="s">
        <v>2347</v>
      </c>
      <c r="J5" s="3063"/>
      <c r="K5" s="594"/>
      <c r="L5" s="1242"/>
      <c r="M5" s="1243"/>
      <c r="N5" s="1243"/>
      <c r="O5" s="1243"/>
      <c r="P5" s="3083"/>
      <c r="Q5" s="3084"/>
      <c r="R5" s="3068"/>
      <c r="S5" s="3069"/>
      <c r="T5" s="3068"/>
      <c r="U5" s="3069"/>
      <c r="V5" s="3087"/>
      <c r="W5" s="3087"/>
      <c r="X5" s="1898"/>
      <c r="Y5" s="3068"/>
      <c r="Z5" s="3069"/>
      <c r="AA5" s="3075"/>
      <c r="AB5" s="3087"/>
      <c r="AC5" s="3075"/>
    </row>
    <row r="6" spans="1:29" ht="15.75" thickBot="1">
      <c r="A6" s="385"/>
      <c r="B6" s="386"/>
      <c r="C6" s="3092" t="s">
        <v>2348</v>
      </c>
      <c r="D6" s="3061"/>
      <c r="E6" s="3093" t="s">
        <v>2348</v>
      </c>
      <c r="F6" s="3094"/>
      <c r="G6" s="3092" t="s">
        <v>2348</v>
      </c>
      <c r="H6" s="3061"/>
      <c r="I6" s="3092" t="s">
        <v>2348</v>
      </c>
      <c r="J6" s="3061"/>
      <c r="K6" s="594" t="s">
        <v>2349</v>
      </c>
      <c r="L6" s="1242"/>
      <c r="M6" s="1243"/>
      <c r="N6" s="1243"/>
      <c r="O6" s="1243"/>
      <c r="P6" s="3085"/>
      <c r="Q6" s="3086"/>
      <c r="R6" s="3068"/>
      <c r="S6" s="3069"/>
      <c r="T6" s="3070"/>
      <c r="U6" s="3071"/>
      <c r="V6" s="3087"/>
      <c r="W6" s="3087"/>
      <c r="X6" s="1898"/>
      <c r="Y6" s="3070"/>
      <c r="Z6" s="3071"/>
      <c r="AA6" s="3076"/>
      <c r="AB6" s="3087"/>
      <c r="AC6" s="3076"/>
    </row>
    <row r="7" spans="1:29" s="35" customFormat="1" ht="15.75" thickBot="1">
      <c r="A7" s="387" t="s">
        <v>2350</v>
      </c>
      <c r="B7" s="388"/>
      <c r="C7" s="389">
        <f>'数据-取费表'!B2</f>
        <v>43516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64" t="s">
        <v>2351</v>
      </c>
      <c r="Q7" s="3072"/>
      <c r="R7" s="749" t="s">
        <v>25</v>
      </c>
      <c r="S7" s="750">
        <f t="shared" ref="S7:S15" si="0">F7</f>
        <v>0</v>
      </c>
      <c r="T7" s="749" t="s">
        <v>25</v>
      </c>
      <c r="U7" s="750">
        <f t="shared" ref="U7:U15" si="1">H7</f>
        <v>0</v>
      </c>
      <c r="V7" s="749" t="s">
        <v>25</v>
      </c>
      <c r="W7" s="750">
        <f t="shared" ref="W7:W15" si="2">J7</f>
        <v>0</v>
      </c>
      <c r="X7" s="751"/>
      <c r="Y7" s="3064" t="s">
        <v>2351</v>
      </c>
      <c r="Z7" s="3065"/>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64" t="s">
        <v>2354</v>
      </c>
      <c r="Q8" s="3065"/>
      <c r="R8" s="749" t="s">
        <v>25</v>
      </c>
      <c r="S8" s="750">
        <f t="shared" si="0"/>
        <v>0</v>
      </c>
      <c r="T8" s="749" t="s">
        <v>25</v>
      </c>
      <c r="U8" s="750">
        <f t="shared" si="1"/>
        <v>0</v>
      </c>
      <c r="V8" s="749" t="s">
        <v>25</v>
      </c>
      <c r="W8" s="750">
        <f t="shared" si="2"/>
        <v>0</v>
      </c>
      <c r="X8" s="751"/>
      <c r="Y8" s="3064" t="s">
        <v>2354</v>
      </c>
      <c r="Z8" s="3065"/>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73" t="s">
        <v>2357</v>
      </c>
      <c r="Q9" s="1885"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73"/>
      <c r="Q10" s="1885"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73"/>
      <c r="Q11" s="1885"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73"/>
      <c r="Q12" s="1885">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73"/>
      <c r="Q13" s="1885">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73"/>
      <c r="Q14" s="1885">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71.25">
      <c r="A15" s="419" t="s">
        <v>2361</v>
      </c>
      <c r="B15" s="26" t="s">
        <v>2447</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1" t="s">
        <v>2362</v>
      </c>
      <c r="Q15" s="1897" t="str">
        <f t="shared" si="6"/>
        <v>商业繁华度</v>
      </c>
      <c r="R15" s="753" t="s">
        <v>25</v>
      </c>
      <c r="S15" s="754">
        <f t="shared" si="0"/>
        <v>100</v>
      </c>
      <c r="T15" s="753" t="s">
        <v>25</v>
      </c>
      <c r="U15" s="754">
        <f t="shared" si="1"/>
        <v>100</v>
      </c>
      <c r="V15" s="753" t="s">
        <v>25</v>
      </c>
      <c r="W15" s="754">
        <f t="shared" si="2"/>
        <v>100</v>
      </c>
      <c r="X15" s="1898"/>
      <c r="Y15" s="3053" t="s">
        <v>2362</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52"/>
      <c r="Q16" s="1897"/>
      <c r="R16" s="753"/>
      <c r="S16" s="754"/>
      <c r="T16" s="753"/>
      <c r="U16" s="754"/>
      <c r="V16" s="753"/>
      <c r="W16" s="754"/>
      <c r="X16" s="1898"/>
      <c r="Y16" s="3054"/>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2"/>
      <c r="Q17" s="1897" t="str">
        <f>B17</f>
        <v>交通便捷度</v>
      </c>
      <c r="R17" s="753" t="s">
        <v>25</v>
      </c>
      <c r="S17" s="754">
        <f>F17</f>
        <v>100</v>
      </c>
      <c r="T17" s="753" t="s">
        <v>25</v>
      </c>
      <c r="U17" s="754">
        <f>H17</f>
        <v>100</v>
      </c>
      <c r="V17" s="753" t="s">
        <v>25</v>
      </c>
      <c r="W17" s="754">
        <f>J17</f>
        <v>100</v>
      </c>
      <c r="X17" s="1898"/>
      <c r="Y17" s="3054"/>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43"/>
      <c r="P18" s="3052"/>
      <c r="Q18" s="1897"/>
      <c r="R18" s="753"/>
      <c r="S18" s="754"/>
      <c r="T18" s="753"/>
      <c r="U18" s="754"/>
      <c r="V18" s="753"/>
      <c r="W18" s="754"/>
      <c r="X18" s="1898"/>
      <c r="Y18" s="3054"/>
      <c r="Z18" s="1900"/>
      <c r="AA18" s="1901">
        <v>1</v>
      </c>
      <c r="AB18" s="1901">
        <v>1</v>
      </c>
      <c r="AC18" s="1901">
        <v>1</v>
      </c>
    </row>
    <row r="19" spans="1:29" ht="42.75">
      <c r="A19" s="408"/>
      <c r="B19" s="431" t="s">
        <v>2448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2"/>
      <c r="Q19" s="1897" t="str">
        <f>B19</f>
        <v>公共配套设施</v>
      </c>
      <c r="R19" s="753" t="s">
        <v>25</v>
      </c>
      <c r="S19" s="754">
        <f>F19</f>
        <v>100</v>
      </c>
      <c r="T19" s="753" t="s">
        <v>25</v>
      </c>
      <c r="U19" s="754">
        <f>H19</f>
        <v>100</v>
      </c>
      <c r="V19" s="753" t="s">
        <v>25</v>
      </c>
      <c r="W19" s="754">
        <f>J19</f>
        <v>100</v>
      </c>
      <c r="X19" s="1898"/>
      <c r="Y19" s="3054"/>
      <c r="Z19" s="1900" t="str">
        <f>Q19</f>
        <v>公共配套设施</v>
      </c>
      <c r="AA19" s="1901">
        <f t="shared" si="3"/>
        <v>1</v>
      </c>
      <c r="AB19" s="1901">
        <f t="shared" si="4"/>
        <v>1</v>
      </c>
      <c r="AC19" s="1901">
        <f t="shared" si="5"/>
        <v>1</v>
      </c>
    </row>
    <row r="20" spans="1:29" ht="15">
      <c r="A20" s="408"/>
      <c r="B20" s="436"/>
      <c r="C20" s="426"/>
      <c r="D20" s="427"/>
      <c r="E20" s="428"/>
      <c r="F20" s="429"/>
      <c r="G20" s="2404"/>
      <c r="H20" s="427"/>
      <c r="I20" s="428"/>
      <c r="J20" s="427"/>
      <c r="K20" s="599"/>
      <c r="L20" s="1252"/>
      <c r="M20" s="1243"/>
      <c r="N20" s="1243"/>
      <c r="O20" s="1243"/>
      <c r="P20" s="3052"/>
      <c r="Q20" s="1897"/>
      <c r="R20" s="753"/>
      <c r="S20" s="754"/>
      <c r="T20" s="753"/>
      <c r="U20" s="754"/>
      <c r="V20" s="753"/>
      <c r="W20" s="754"/>
      <c r="X20" s="1898"/>
      <c r="Y20" s="3054"/>
      <c r="Z20" s="1900"/>
      <c r="AA20" s="1901">
        <v>1</v>
      </c>
      <c r="AB20" s="1901">
        <v>1</v>
      </c>
      <c r="AC20" s="1901">
        <v>1</v>
      </c>
    </row>
    <row r="21" spans="1:29" ht="28.5">
      <c r="A21" s="408"/>
      <c r="B21" s="2408" t="s">
        <v>2449</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2"/>
      <c r="Q21" s="1897" t="str">
        <f>B21</f>
        <v>基础设施水平</v>
      </c>
      <c r="R21" s="753" t="s">
        <v>25</v>
      </c>
      <c r="S21" s="754">
        <f>F21</f>
        <v>100</v>
      </c>
      <c r="T21" s="753" t="s">
        <v>25</v>
      </c>
      <c r="U21" s="754">
        <f>H21</f>
        <v>100</v>
      </c>
      <c r="V21" s="753" t="s">
        <v>25</v>
      </c>
      <c r="W21" s="754">
        <f>J21</f>
        <v>100</v>
      </c>
      <c r="X21" s="1898"/>
      <c r="Y21" s="3054"/>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43"/>
      <c r="P22" s="3052"/>
      <c r="Q22" s="1897"/>
      <c r="R22" s="753"/>
      <c r="S22" s="754"/>
      <c r="T22" s="753"/>
      <c r="U22" s="754"/>
      <c r="V22" s="753"/>
      <c r="W22" s="754"/>
      <c r="X22" s="1898"/>
      <c r="Y22" s="3054"/>
      <c r="Z22" s="1900"/>
      <c r="AA22" s="1901">
        <v>1</v>
      </c>
      <c r="AB22" s="1901">
        <v>1</v>
      </c>
      <c r="AC22" s="1901">
        <v>1</v>
      </c>
    </row>
    <row r="23" spans="1:29" ht="57">
      <c r="A23" s="408"/>
      <c r="B23" s="431" t="s">
        <v>1752</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2"/>
      <c r="Q23" s="1897" t="str">
        <f>B23</f>
        <v>自然及人文环境</v>
      </c>
      <c r="R23" s="753" t="s">
        <v>25</v>
      </c>
      <c r="S23" s="754">
        <f>F23</f>
        <v>100</v>
      </c>
      <c r="T23" s="753" t="s">
        <v>25</v>
      </c>
      <c r="U23" s="754">
        <f>H23</f>
        <v>100</v>
      </c>
      <c r="V23" s="753" t="s">
        <v>25</v>
      </c>
      <c r="W23" s="754">
        <f>J23</f>
        <v>100</v>
      </c>
      <c r="X23" s="1898"/>
      <c r="Y23" s="3054"/>
      <c r="Z23" s="1900" t="str">
        <f>Q23</f>
        <v>自然及人文环境</v>
      </c>
      <c r="AA23" s="1901">
        <f t="shared" si="3"/>
        <v>1</v>
      </c>
      <c r="AB23" s="1901">
        <f t="shared" si="4"/>
        <v>1</v>
      </c>
      <c r="AC23" s="1901">
        <f t="shared" si="5"/>
        <v>1</v>
      </c>
    </row>
    <row r="24" spans="1:29" ht="15">
      <c r="A24" s="408"/>
      <c r="B24" s="436"/>
      <c r="C24" s="426"/>
      <c r="D24" s="427"/>
      <c r="E24" s="428"/>
      <c r="F24" s="429"/>
      <c r="G24" s="2404"/>
      <c r="H24" s="427"/>
      <c r="I24" s="428"/>
      <c r="J24" s="427"/>
      <c r="K24" s="599"/>
      <c r="L24" s="1252"/>
      <c r="M24" s="1243"/>
      <c r="N24" s="1243"/>
      <c r="O24" s="1243"/>
      <c r="P24" s="3052"/>
      <c r="Q24" s="1897"/>
      <c r="R24" s="753"/>
      <c r="S24" s="754"/>
      <c r="T24" s="753"/>
      <c r="U24" s="754"/>
      <c r="V24" s="753"/>
      <c r="W24" s="754"/>
      <c r="X24" s="1898"/>
      <c r="Y24" s="3054"/>
      <c r="Z24" s="1900"/>
      <c r="AA24" s="1901">
        <v>1</v>
      </c>
      <c r="AB24" s="1901">
        <v>1</v>
      </c>
      <c r="AC24" s="1901">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2"/>
      <c r="Q25" s="1897" t="str">
        <f t="shared" ref="Q25:Q46" si="11">B25</f>
        <v>临街状况</v>
      </c>
      <c r="R25" s="753" t="s">
        <v>25</v>
      </c>
      <c r="S25" s="754">
        <f>F25</f>
        <v>100</v>
      </c>
      <c r="T25" s="753" t="s">
        <v>25</v>
      </c>
      <c r="U25" s="754">
        <f>H25</f>
        <v>100</v>
      </c>
      <c r="V25" s="753" t="s">
        <v>25</v>
      </c>
      <c r="W25" s="754">
        <f>J25</f>
        <v>100</v>
      </c>
      <c r="X25" s="1898"/>
      <c r="Y25" s="3054"/>
      <c r="Z25" s="1900" t="str">
        <f>Q25</f>
        <v>临街状况</v>
      </c>
      <c r="AA25" s="1901">
        <f t="shared" si="3"/>
        <v>1</v>
      </c>
      <c r="AB25" s="1901">
        <f t="shared" si="4"/>
        <v>1</v>
      </c>
      <c r="AC25" s="1901">
        <f t="shared" si="5"/>
        <v>1</v>
      </c>
    </row>
    <row r="26" spans="1:29" ht="15">
      <c r="A26" s="408"/>
      <c r="B26" s="2412"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2"/>
      <c r="Q26" s="1897" t="str">
        <f t="shared" si="11"/>
        <v>平面位置/可视性</v>
      </c>
      <c r="R26" s="753" t="s">
        <v>25</v>
      </c>
      <c r="S26" s="754">
        <f>F26</f>
        <v>100</v>
      </c>
      <c r="T26" s="753" t="s">
        <v>25</v>
      </c>
      <c r="U26" s="754">
        <f>H26</f>
        <v>100</v>
      </c>
      <c r="V26" s="753" t="s">
        <v>25</v>
      </c>
      <c r="W26" s="754">
        <f>J26</f>
        <v>100</v>
      </c>
      <c r="X26" s="1898"/>
      <c r="Y26" s="3054"/>
      <c r="Z26" s="1900" t="str">
        <f>Q26</f>
        <v>平面位置/可视性</v>
      </c>
      <c r="AA26" s="1901">
        <f t="shared" si="3"/>
        <v>1</v>
      </c>
      <c r="AB26" s="1901">
        <f t="shared" si="4"/>
        <v>1</v>
      </c>
      <c r="AC26" s="1901">
        <f t="shared" si="5"/>
        <v>1</v>
      </c>
    </row>
    <row r="27" spans="1:29" s="35" customFormat="1" ht="15">
      <c r="A27" s="411"/>
      <c r="B27" s="431" t="s">
        <v>2452</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52"/>
      <c r="Q27" s="1885" t="str">
        <f t="shared" si="11"/>
        <v>人流量</v>
      </c>
      <c r="R27" s="749" t="s">
        <v>25</v>
      </c>
      <c r="S27" s="750">
        <f>F27</f>
        <v>100</v>
      </c>
      <c r="T27" s="749" t="s">
        <v>25</v>
      </c>
      <c r="U27" s="750">
        <f>H27</f>
        <v>100</v>
      </c>
      <c r="V27" s="749" t="s">
        <v>25</v>
      </c>
      <c r="W27" s="750">
        <f>J27</f>
        <v>100</v>
      </c>
      <c r="X27" s="751"/>
      <c r="Y27" s="3054"/>
      <c r="Z27" s="23" t="str">
        <f>Q27</f>
        <v>人流量</v>
      </c>
      <c r="AA27" s="1901">
        <f>D27/F27</f>
        <v>1</v>
      </c>
      <c r="AB27" s="1901">
        <f>D27/H27</f>
        <v>1</v>
      </c>
      <c r="AC27" s="1901">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2"/>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54"/>
      <c r="Z28" s="1900" t="str">
        <f t="shared" ref="Z28:Z46" si="15">Q28</f>
        <v>楼层</v>
      </c>
      <c r="AA28" s="1901">
        <f t="shared" si="3"/>
        <v>1</v>
      </c>
      <c r="AB28" s="1901">
        <f t="shared" si="4"/>
        <v>1</v>
      </c>
      <c r="AC28" s="1901">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2"/>
      <c r="Q29" s="1897">
        <f t="shared" si="11"/>
        <v>111</v>
      </c>
      <c r="R29" s="753" t="s">
        <v>25</v>
      </c>
      <c r="S29" s="754">
        <f t="shared" si="12"/>
        <v>100</v>
      </c>
      <c r="T29" s="753" t="s">
        <v>25</v>
      </c>
      <c r="U29" s="754">
        <f t="shared" si="13"/>
        <v>100</v>
      </c>
      <c r="V29" s="753" t="s">
        <v>25</v>
      </c>
      <c r="W29" s="754">
        <f t="shared" si="14"/>
        <v>100</v>
      </c>
      <c r="X29" s="1898"/>
      <c r="Y29" s="3054"/>
      <c r="Z29" s="1900">
        <f t="shared" si="15"/>
        <v>111</v>
      </c>
      <c r="AA29" s="1901">
        <f t="shared" si="3"/>
        <v>1</v>
      </c>
      <c r="AB29" s="1901">
        <f t="shared" si="4"/>
        <v>1</v>
      </c>
      <c r="AC29" s="1901">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2"/>
      <c r="Q30" s="1897">
        <f t="shared" si="11"/>
        <v>111</v>
      </c>
      <c r="R30" s="753" t="s">
        <v>25</v>
      </c>
      <c r="S30" s="754">
        <f t="shared" si="12"/>
        <v>100</v>
      </c>
      <c r="T30" s="753" t="s">
        <v>25</v>
      </c>
      <c r="U30" s="754">
        <f t="shared" si="13"/>
        <v>100</v>
      </c>
      <c r="V30" s="753" t="s">
        <v>25</v>
      </c>
      <c r="W30" s="754">
        <f t="shared" si="14"/>
        <v>100</v>
      </c>
      <c r="X30" s="1898"/>
      <c r="Y30" s="3054"/>
      <c r="Z30" s="1900">
        <f t="shared" si="15"/>
        <v>111</v>
      </c>
      <c r="AA30" s="1901">
        <f t="shared" si="3"/>
        <v>1</v>
      </c>
      <c r="AB30" s="1901">
        <f t="shared" si="4"/>
        <v>1</v>
      </c>
      <c r="AC30" s="1901">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2"/>
      <c r="Q31" s="1897">
        <f t="shared" si="11"/>
        <v>111</v>
      </c>
      <c r="R31" s="753" t="s">
        <v>25</v>
      </c>
      <c r="S31" s="754">
        <f t="shared" si="12"/>
        <v>100</v>
      </c>
      <c r="T31" s="753" t="s">
        <v>25</v>
      </c>
      <c r="U31" s="754">
        <f t="shared" si="13"/>
        <v>100</v>
      </c>
      <c r="V31" s="753" t="s">
        <v>25</v>
      </c>
      <c r="W31" s="754">
        <f t="shared" si="14"/>
        <v>100</v>
      </c>
      <c r="X31" s="1898"/>
      <c r="Y31" s="3054"/>
      <c r="Z31" s="1900">
        <f t="shared" si="15"/>
        <v>111</v>
      </c>
      <c r="AA31" s="1901">
        <f t="shared" si="3"/>
        <v>1</v>
      </c>
      <c r="AB31" s="1901">
        <f t="shared" si="4"/>
        <v>1</v>
      </c>
      <c r="AC31" s="1901">
        <f t="shared" si="5"/>
        <v>1</v>
      </c>
    </row>
    <row r="32" spans="1:29" ht="15">
      <c r="A32" s="419" t="s">
        <v>2366</v>
      </c>
      <c r="B32" s="28" t="s">
        <v>2454</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55" t="s">
        <v>2368</v>
      </c>
      <c r="Q32" s="1897" t="str">
        <f t="shared" si="11"/>
        <v>商业类型</v>
      </c>
      <c r="R32" s="753" t="s">
        <v>25</v>
      </c>
      <c r="S32" s="754">
        <f t="shared" si="12"/>
        <v>100</v>
      </c>
      <c r="T32" s="753" t="s">
        <v>25</v>
      </c>
      <c r="U32" s="754">
        <f t="shared" si="13"/>
        <v>100</v>
      </c>
      <c r="V32" s="753" t="s">
        <v>25</v>
      </c>
      <c r="W32" s="754">
        <f t="shared" si="14"/>
        <v>100</v>
      </c>
      <c r="X32" s="1898"/>
      <c r="Y32" s="3058" t="s">
        <v>2368</v>
      </c>
      <c r="Z32" s="1900" t="str">
        <f t="shared" si="15"/>
        <v>商业类型</v>
      </c>
      <c r="AA32" s="1901">
        <f t="shared" si="3"/>
        <v>1</v>
      </c>
      <c r="AB32" s="1901">
        <f t="shared" si="4"/>
        <v>1</v>
      </c>
      <c r="AC32" s="1901">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56"/>
      <c r="Q33" s="755" t="str">
        <f t="shared" si="11"/>
        <v>项目建筑规模</v>
      </c>
      <c r="R33" s="756" t="s">
        <v>25</v>
      </c>
      <c r="S33" s="757" t="e">
        <f t="shared" si="12"/>
        <v>#N/A</v>
      </c>
      <c r="T33" s="756" t="s">
        <v>25</v>
      </c>
      <c r="U33" s="757" t="e">
        <f t="shared" si="13"/>
        <v>#N/A</v>
      </c>
      <c r="V33" s="756" t="s">
        <v>25</v>
      </c>
      <c r="W33" s="757" t="e">
        <f t="shared" si="14"/>
        <v>#N/A</v>
      </c>
      <c r="X33" s="758"/>
      <c r="Y33" s="3058"/>
      <c r="Z33" s="759" t="str">
        <f t="shared" si="15"/>
        <v>项目建筑规模</v>
      </c>
      <c r="AA33" s="1901" t="e">
        <f t="shared" si="3"/>
        <v>#N/A</v>
      </c>
      <c r="AB33" s="1901" t="e">
        <f t="shared" si="4"/>
        <v>#N/A</v>
      </c>
      <c r="AC33" s="1901" t="e">
        <f t="shared" si="5"/>
        <v>#N/A</v>
      </c>
    </row>
    <row r="34" spans="1:29" ht="15">
      <c r="A34" s="453"/>
      <c r="B34" s="402" t="s">
        <v>2370</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56"/>
      <c r="Q34" s="1897" t="str">
        <f t="shared" si="11"/>
        <v>建筑结构</v>
      </c>
      <c r="R34" s="753" t="s">
        <v>25</v>
      </c>
      <c r="S34" s="754">
        <f t="shared" si="12"/>
        <v>100</v>
      </c>
      <c r="T34" s="753" t="s">
        <v>25</v>
      </c>
      <c r="U34" s="754">
        <f t="shared" si="13"/>
        <v>100</v>
      </c>
      <c r="V34" s="753" t="s">
        <v>25</v>
      </c>
      <c r="W34" s="754">
        <f t="shared" si="14"/>
        <v>100</v>
      </c>
      <c r="X34" s="1898"/>
      <c r="Y34" s="3058"/>
      <c r="Z34" s="1900" t="str">
        <f t="shared" si="15"/>
        <v>建筑结构</v>
      </c>
      <c r="AA34" s="1901">
        <f t="shared" si="3"/>
        <v>1</v>
      </c>
      <c r="AB34" s="1901">
        <f t="shared" si="4"/>
        <v>1</v>
      </c>
      <c r="AC34" s="1901">
        <f t="shared" si="5"/>
        <v>1</v>
      </c>
    </row>
    <row r="35" spans="1:29" ht="15">
      <c r="A35" s="453"/>
      <c r="B35" s="402" t="s">
        <v>2455</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56"/>
      <c r="Q35" s="1897" t="str">
        <f t="shared" si="11"/>
        <v>公共部分装修</v>
      </c>
      <c r="R35" s="753" t="s">
        <v>25</v>
      </c>
      <c r="S35" s="754">
        <f t="shared" si="12"/>
        <v>100</v>
      </c>
      <c r="T35" s="753" t="s">
        <v>25</v>
      </c>
      <c r="U35" s="754">
        <f t="shared" si="13"/>
        <v>100</v>
      </c>
      <c r="V35" s="753" t="s">
        <v>25</v>
      </c>
      <c r="W35" s="754">
        <f t="shared" si="14"/>
        <v>100</v>
      </c>
      <c r="X35" s="1898"/>
      <c r="Y35" s="3058"/>
      <c r="Z35" s="1900" t="str">
        <f t="shared" si="15"/>
        <v>公共部分装修</v>
      </c>
      <c r="AA35" s="1901">
        <f t="shared" si="3"/>
        <v>1</v>
      </c>
      <c r="AB35" s="1901">
        <f t="shared" si="4"/>
        <v>1</v>
      </c>
      <c r="AC35" s="1901">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56"/>
      <c r="Q36" s="1897" t="str">
        <f t="shared" si="11"/>
        <v>成新度</v>
      </c>
      <c r="R36" s="753" t="s">
        <v>25</v>
      </c>
      <c r="S36" s="754" t="e">
        <f t="shared" si="12"/>
        <v>#N/A</v>
      </c>
      <c r="T36" s="753" t="s">
        <v>25</v>
      </c>
      <c r="U36" s="754" t="e">
        <f t="shared" si="13"/>
        <v>#N/A</v>
      </c>
      <c r="V36" s="753" t="s">
        <v>25</v>
      </c>
      <c r="W36" s="754" t="e">
        <f t="shared" si="14"/>
        <v>#N/A</v>
      </c>
      <c r="X36" s="1898"/>
      <c r="Y36" s="3058"/>
      <c r="Z36" s="1900" t="str">
        <f t="shared" si="15"/>
        <v>成新度</v>
      </c>
      <c r="AA36" s="1901" t="e">
        <f t="shared" si="3"/>
        <v>#N/A</v>
      </c>
      <c r="AB36" s="1901" t="e">
        <f t="shared" si="4"/>
        <v>#N/A</v>
      </c>
      <c r="AC36" s="1901" t="e">
        <f t="shared" si="5"/>
        <v>#N/A</v>
      </c>
    </row>
    <row r="37" spans="1:29" s="35" customFormat="1" ht="15">
      <c r="A37" s="454"/>
      <c r="B37" s="402" t="s">
        <v>2457</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56"/>
      <c r="Q37" s="1885" t="str">
        <f t="shared" si="11"/>
        <v>市政基础设施</v>
      </c>
      <c r="R37" s="749" t="s">
        <v>25</v>
      </c>
      <c r="S37" s="750">
        <f t="shared" si="12"/>
        <v>100</v>
      </c>
      <c r="T37" s="749" t="s">
        <v>25</v>
      </c>
      <c r="U37" s="750">
        <f t="shared" si="13"/>
        <v>100</v>
      </c>
      <c r="V37" s="749" t="s">
        <v>25</v>
      </c>
      <c r="W37" s="750">
        <f t="shared" si="14"/>
        <v>100</v>
      </c>
      <c r="X37" s="751"/>
      <c r="Y37" s="3058"/>
      <c r="Z37" s="23" t="str">
        <f t="shared" si="15"/>
        <v>市政基础设施</v>
      </c>
      <c r="AA37" s="752">
        <f t="shared" si="3"/>
        <v>1</v>
      </c>
      <c r="AB37" s="752">
        <f t="shared" si="4"/>
        <v>1</v>
      </c>
      <c r="AC37" s="752">
        <f t="shared" si="5"/>
        <v>1</v>
      </c>
    </row>
    <row r="38" spans="1:29" ht="15">
      <c r="A38" s="453"/>
      <c r="B38" s="402" t="s">
        <v>2458</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56" t="s">
        <v>2368</v>
      </c>
      <c r="Q38" s="1897" t="str">
        <f t="shared" si="11"/>
        <v>业态</v>
      </c>
      <c r="R38" s="753" t="s">
        <v>25</v>
      </c>
      <c r="S38" s="754">
        <f t="shared" si="12"/>
        <v>100</v>
      </c>
      <c r="T38" s="753" t="s">
        <v>25</v>
      </c>
      <c r="U38" s="754">
        <f t="shared" si="13"/>
        <v>100</v>
      </c>
      <c r="V38" s="753" t="s">
        <v>25</v>
      </c>
      <c r="W38" s="754">
        <f t="shared" si="14"/>
        <v>100</v>
      </c>
      <c r="X38" s="1898"/>
      <c r="Y38" s="3058" t="s">
        <v>2368</v>
      </c>
      <c r="Z38" s="1900" t="str">
        <f t="shared" si="15"/>
        <v>业态</v>
      </c>
      <c r="AA38" s="1901">
        <f t="shared" si="3"/>
        <v>1</v>
      </c>
      <c r="AB38" s="1901">
        <f t="shared" si="4"/>
        <v>1</v>
      </c>
      <c r="AC38" s="1901">
        <f t="shared" si="5"/>
        <v>1</v>
      </c>
    </row>
    <row r="39" spans="1:29" ht="15">
      <c r="A39" s="453"/>
      <c r="B39" s="402" t="s">
        <v>2459</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56"/>
      <c r="Q39" s="1897" t="str">
        <f t="shared" si="11"/>
        <v>层高</v>
      </c>
      <c r="R39" s="753" t="s">
        <v>25</v>
      </c>
      <c r="S39" s="754">
        <f t="shared" si="12"/>
        <v>100</v>
      </c>
      <c r="T39" s="753" t="s">
        <v>25</v>
      </c>
      <c r="U39" s="754">
        <f t="shared" si="13"/>
        <v>100</v>
      </c>
      <c r="V39" s="753" t="s">
        <v>25</v>
      </c>
      <c r="W39" s="754">
        <f t="shared" si="14"/>
        <v>100</v>
      </c>
      <c r="X39" s="1898"/>
      <c r="Y39" s="3058"/>
      <c r="Z39" s="1900" t="str">
        <f t="shared" si="15"/>
        <v>层高</v>
      </c>
      <c r="AA39" s="1901">
        <f t="shared" si="3"/>
        <v>1</v>
      </c>
      <c r="AB39" s="1901">
        <f t="shared" si="4"/>
        <v>1</v>
      </c>
      <c r="AC39" s="1901">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56"/>
      <c r="Q40" s="1897" t="str">
        <f t="shared" si="11"/>
        <v>单套建筑面积</v>
      </c>
      <c r="R40" s="753" t="s">
        <v>25</v>
      </c>
      <c r="S40" s="754">
        <f t="shared" si="12"/>
        <v>100</v>
      </c>
      <c r="T40" s="753" t="s">
        <v>25</v>
      </c>
      <c r="U40" s="754">
        <f t="shared" si="13"/>
        <v>100</v>
      </c>
      <c r="V40" s="753" t="s">
        <v>25</v>
      </c>
      <c r="W40" s="754">
        <f t="shared" si="14"/>
        <v>100</v>
      </c>
      <c r="X40" s="1898"/>
      <c r="Y40" s="3058"/>
      <c r="Z40" s="1900" t="str">
        <f t="shared" si="15"/>
        <v>单套建筑面积</v>
      </c>
      <c r="AA40" s="1901">
        <f t="shared" si="3"/>
        <v>1</v>
      </c>
      <c r="AB40" s="1901">
        <f t="shared" si="4"/>
        <v>1</v>
      </c>
      <c r="AC40" s="1901">
        <f t="shared" si="5"/>
        <v>1</v>
      </c>
    </row>
    <row r="41" spans="1:29" s="452" customFormat="1" ht="15">
      <c r="A41" s="449"/>
      <c r="B41" s="1902"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56"/>
      <c r="Q41" s="755" t="str">
        <f t="shared" si="11"/>
        <v>进深比</v>
      </c>
      <c r="R41" s="756" t="s">
        <v>25</v>
      </c>
      <c r="S41" s="757">
        <f t="shared" si="12"/>
        <v>100</v>
      </c>
      <c r="T41" s="756" t="s">
        <v>25</v>
      </c>
      <c r="U41" s="757">
        <f t="shared" si="13"/>
        <v>100</v>
      </c>
      <c r="V41" s="756" t="s">
        <v>25</v>
      </c>
      <c r="W41" s="757">
        <f t="shared" si="14"/>
        <v>100</v>
      </c>
      <c r="X41" s="758"/>
      <c r="Y41" s="3058"/>
      <c r="Z41" s="759" t="str">
        <f t="shared" si="15"/>
        <v>进深比</v>
      </c>
      <c r="AA41" s="1901">
        <f t="shared" si="3"/>
        <v>1</v>
      </c>
      <c r="AB41" s="1901">
        <f t="shared" si="4"/>
        <v>1</v>
      </c>
      <c r="AC41" s="1901">
        <f t="shared" si="5"/>
        <v>1</v>
      </c>
    </row>
    <row r="42" spans="1:29" ht="15">
      <c r="A42" s="453"/>
      <c r="B42" s="402" t="s">
        <v>2462</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56"/>
      <c r="Q42" s="1897" t="str">
        <f t="shared" si="11"/>
        <v>内部装修</v>
      </c>
      <c r="R42" s="753" t="s">
        <v>25</v>
      </c>
      <c r="S42" s="754">
        <f t="shared" si="12"/>
        <v>100</v>
      </c>
      <c r="T42" s="753" t="s">
        <v>25</v>
      </c>
      <c r="U42" s="754">
        <f t="shared" si="13"/>
        <v>100</v>
      </c>
      <c r="V42" s="753" t="s">
        <v>25</v>
      </c>
      <c r="W42" s="754">
        <f t="shared" si="14"/>
        <v>100</v>
      </c>
      <c r="X42" s="1898"/>
      <c r="Y42" s="3058"/>
      <c r="Z42" s="1900" t="str">
        <f t="shared" si="15"/>
        <v>内部装修</v>
      </c>
      <c r="AA42" s="1901">
        <f t="shared" si="3"/>
        <v>1</v>
      </c>
      <c r="AB42" s="1901">
        <f t="shared" si="4"/>
        <v>1</v>
      </c>
      <c r="AC42" s="1901">
        <f t="shared" si="5"/>
        <v>1</v>
      </c>
    </row>
    <row r="43" spans="1:29" ht="15">
      <c r="A43" s="453"/>
      <c r="B43" s="402" t="s">
        <v>2379</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56"/>
      <c r="Q43" s="1897" t="str">
        <f t="shared" si="11"/>
        <v>内部装修维护情况</v>
      </c>
      <c r="R43" s="753" t="s">
        <v>25</v>
      </c>
      <c r="S43" s="754">
        <f t="shared" si="12"/>
        <v>100</v>
      </c>
      <c r="T43" s="753" t="s">
        <v>25</v>
      </c>
      <c r="U43" s="754">
        <f t="shared" si="13"/>
        <v>100</v>
      </c>
      <c r="V43" s="753" t="s">
        <v>25</v>
      </c>
      <c r="W43" s="754">
        <f t="shared" si="14"/>
        <v>100</v>
      </c>
      <c r="X43" s="1898"/>
      <c r="Y43" s="3058"/>
      <c r="Z43" s="1900" t="str">
        <f t="shared" si="15"/>
        <v>内部装修维护情况</v>
      </c>
      <c r="AA43" s="1901">
        <f t="shared" si="3"/>
        <v>1</v>
      </c>
      <c r="AB43" s="1901">
        <f t="shared" si="4"/>
        <v>1</v>
      </c>
      <c r="AC43" s="1901">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56"/>
      <c r="Q44" s="1885">
        <f t="shared" si="11"/>
        <v>111</v>
      </c>
      <c r="R44" s="749" t="s">
        <v>25</v>
      </c>
      <c r="S44" s="750">
        <f t="shared" si="12"/>
        <v>100</v>
      </c>
      <c r="T44" s="749" t="s">
        <v>25</v>
      </c>
      <c r="U44" s="750">
        <f t="shared" si="13"/>
        <v>100</v>
      </c>
      <c r="V44" s="749" t="s">
        <v>25</v>
      </c>
      <c r="W44" s="750">
        <f t="shared" si="14"/>
        <v>100</v>
      </c>
      <c r="X44" s="751"/>
      <c r="Y44" s="3058"/>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56"/>
      <c r="Q45" s="1897">
        <f t="shared" si="11"/>
        <v>111</v>
      </c>
      <c r="R45" s="753" t="s">
        <v>25</v>
      </c>
      <c r="S45" s="754">
        <f t="shared" si="12"/>
        <v>100</v>
      </c>
      <c r="T45" s="753" t="s">
        <v>25</v>
      </c>
      <c r="U45" s="754">
        <f t="shared" si="13"/>
        <v>100</v>
      </c>
      <c r="V45" s="753" t="s">
        <v>25</v>
      </c>
      <c r="W45" s="754">
        <f t="shared" si="14"/>
        <v>100</v>
      </c>
      <c r="X45" s="1898"/>
      <c r="Y45" s="3058"/>
      <c r="Z45" s="1900">
        <f t="shared" si="15"/>
        <v>111</v>
      </c>
      <c r="AA45" s="1901">
        <f t="shared" si="3"/>
        <v>1</v>
      </c>
      <c r="AB45" s="1901">
        <f t="shared" si="4"/>
        <v>1</v>
      </c>
      <c r="AC45" s="1901">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57"/>
      <c r="Q46" s="1897">
        <f t="shared" si="11"/>
        <v>111</v>
      </c>
      <c r="R46" s="753" t="s">
        <v>25</v>
      </c>
      <c r="S46" s="754">
        <f t="shared" si="12"/>
        <v>100</v>
      </c>
      <c r="T46" s="753" t="s">
        <v>25</v>
      </c>
      <c r="U46" s="754">
        <f t="shared" si="13"/>
        <v>100</v>
      </c>
      <c r="V46" s="753" t="s">
        <v>25</v>
      </c>
      <c r="W46" s="754">
        <f t="shared" si="14"/>
        <v>100</v>
      </c>
      <c r="X46" s="1898"/>
      <c r="Y46" s="3059"/>
      <c r="Z46" s="1900">
        <f t="shared" si="15"/>
        <v>111</v>
      </c>
      <c r="AA46" s="1901">
        <f t="shared" si="3"/>
        <v>1</v>
      </c>
      <c r="AB46" s="1901">
        <f t="shared" si="4"/>
        <v>1</v>
      </c>
      <c r="AC46" s="1901">
        <f t="shared" si="5"/>
        <v>1</v>
      </c>
    </row>
    <row r="47" spans="1:29" ht="15">
      <c r="A47" s="460" t="s">
        <v>2380</v>
      </c>
      <c r="B47" s="461"/>
      <c r="C47" s="1501" t="s">
        <v>1</v>
      </c>
      <c r="D47" s="1502"/>
      <c r="E47" s="1503"/>
      <c r="F47" s="1504"/>
      <c r="G47" s="1505"/>
      <c r="H47" s="1506"/>
      <c r="I47" s="1503"/>
      <c r="J47" s="1506"/>
      <c r="K47" s="762"/>
      <c r="L47" s="1255"/>
      <c r="M47" s="1256"/>
      <c r="N47" s="1243"/>
      <c r="O47" s="1256"/>
      <c r="P47" s="3050" t="str">
        <f>A47</f>
        <v>成交单价（元/平方米）</v>
      </c>
      <c r="Q47" s="3050"/>
      <c r="R47" s="3046">
        <f>E47</f>
        <v>0</v>
      </c>
      <c r="S47" s="3046"/>
      <c r="T47" s="3046">
        <f>G47</f>
        <v>0</v>
      </c>
      <c r="U47" s="3046"/>
      <c r="V47" s="3046">
        <f>I47</f>
        <v>0</v>
      </c>
      <c r="W47" s="3046"/>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50" t="str">
        <f>A48</f>
        <v>比较价值（元/平方米）</v>
      </c>
      <c r="Q48" s="3050"/>
      <c r="R48" s="3046" t="e">
        <f>IF(E1="售价",ROUND(PRODUCT(R47,AA7:AA46),0),ROUND(PRODUCT(R47,AA7:AA46),1))</f>
        <v>#DIV/0!</v>
      </c>
      <c r="S48" s="3046"/>
      <c r="T48" s="3046" t="e">
        <f>IF(E1="售价",ROUND(PRODUCT(T47,AB7:AB46),0),ROUND(PRODUCT(T47,AB7:AB46),1))</f>
        <v>#DIV/0!</v>
      </c>
      <c r="U48" s="3046"/>
      <c r="V48" s="3046" t="e">
        <f>IF(E1="售价",ROUND(PRODUCT(V47,AC7:AC46),0),ROUND(PRODUCT(V47,AC7:AC46),1))</f>
        <v>#DIV/0!</v>
      </c>
      <c r="W48" s="3046"/>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47" t="str">
        <f>A49</f>
        <v>估价对象XX用房的比较价值（楼面单价，元/平方米）</v>
      </c>
      <c r="Q49" s="3048"/>
      <c r="R49" s="3049" t="e">
        <f>IF(E1="售价",ROUND(AVERAGE(R48:V48),0),ROUND(AVERAGE(R48:V48),1))</f>
        <v>#DIV/0!</v>
      </c>
      <c r="S49" s="3049"/>
      <c r="T49" s="3049"/>
      <c r="U49" s="3049"/>
      <c r="V49" s="3049"/>
      <c r="W49" s="304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2352</v>
      </c>
      <c r="B61" s="491"/>
      <c r="C61" s="503" t="s">
        <v>2353</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2391</v>
      </c>
      <c r="B63" s="509" t="s">
        <v>2356</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2469</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2366</v>
      </c>
      <c r="B100" s="509" t="s">
        <v>2470</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2417</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2419</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2471</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2472</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2473</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2424</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2"/>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2005</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2006</v>
      </c>
      <c r="B3" s="593" t="e">
        <f ca="1">ROUND(IF(D2="——",C50,IF(C2="万元",B2*10000/D3,B2/D3)),0)</f>
        <v>#DIV/0!</v>
      </c>
      <c r="C3" s="379" t="s">
        <v>2336</v>
      </c>
      <c r="D3" s="378">
        <f>IF(C1="仅计算典型户型",'数据-取费表'!E5,'数据-取费表'!B5)</f>
        <v>1</v>
      </c>
      <c r="E3" s="2456"/>
      <c r="F3" s="981"/>
      <c r="G3" s="980"/>
      <c r="H3" s="980"/>
      <c r="I3" s="980"/>
      <c r="J3" s="980"/>
      <c r="K3" s="982"/>
      <c r="L3" s="1240"/>
      <c r="M3" s="1241"/>
      <c r="N3" s="1241"/>
      <c r="O3" s="1241"/>
      <c r="P3" s="737"/>
      <c r="Q3" s="737"/>
      <c r="R3" s="737"/>
      <c r="S3" s="737"/>
      <c r="T3" s="737"/>
      <c r="U3" s="737"/>
      <c r="V3" s="737"/>
      <c r="W3" s="737"/>
      <c r="X3" s="747"/>
      <c r="Y3" s="737"/>
      <c r="Z3" s="737"/>
      <c r="AA3" s="737"/>
      <c r="AB3" s="2465"/>
      <c r="AC3" s="761"/>
    </row>
    <row r="4" spans="1:29" ht="15">
      <c r="A4" s="380" t="s">
        <v>2337</v>
      </c>
      <c r="B4" s="381"/>
      <c r="C4" s="3077" t="s">
        <v>2338</v>
      </c>
      <c r="D4" s="3078"/>
      <c r="E4" s="3079" t="s">
        <v>2339</v>
      </c>
      <c r="F4" s="3080"/>
      <c r="G4" s="3077" t="s">
        <v>2340</v>
      </c>
      <c r="H4" s="3078"/>
      <c r="I4" s="3077" t="s">
        <v>2341</v>
      </c>
      <c r="J4" s="3078"/>
      <c r="K4" s="594" t="s">
        <v>2342</v>
      </c>
      <c r="L4" s="1242"/>
      <c r="M4" s="1243"/>
      <c r="N4" s="1243"/>
      <c r="O4" s="1243"/>
      <c r="P4" s="3099" t="s">
        <v>2343</v>
      </c>
      <c r="Q4" s="3082"/>
      <c r="R4" s="3066" t="s">
        <v>2339</v>
      </c>
      <c r="S4" s="3067"/>
      <c r="T4" s="3066" t="s">
        <v>2340</v>
      </c>
      <c r="U4" s="3067"/>
      <c r="V4" s="3087" t="s">
        <v>2341</v>
      </c>
      <c r="W4" s="3087"/>
      <c r="X4" s="1898"/>
      <c r="Y4" s="3066" t="s">
        <v>2343</v>
      </c>
      <c r="Z4" s="3067"/>
      <c r="AA4" s="3074" t="s">
        <v>2339</v>
      </c>
      <c r="AB4" s="3074" t="s">
        <v>2340</v>
      </c>
      <c r="AC4" s="3074" t="s">
        <v>2341</v>
      </c>
    </row>
    <row r="5" spans="1:29" ht="15">
      <c r="A5" s="383"/>
      <c r="B5" s="384"/>
      <c r="C5" s="3091" t="s">
        <v>2344</v>
      </c>
      <c r="D5" s="3063"/>
      <c r="E5" s="3090" t="s">
        <v>2345</v>
      </c>
      <c r="F5" s="3089"/>
      <c r="G5" s="3091" t="s">
        <v>2346</v>
      </c>
      <c r="H5" s="3063"/>
      <c r="I5" s="3091" t="s">
        <v>2347</v>
      </c>
      <c r="J5" s="3063"/>
      <c r="K5" s="594"/>
      <c r="L5" s="1242"/>
      <c r="M5" s="1243"/>
      <c r="N5" s="1243"/>
      <c r="O5" s="1243"/>
      <c r="P5" s="3100"/>
      <c r="Q5" s="3084"/>
      <c r="R5" s="3068"/>
      <c r="S5" s="3069"/>
      <c r="T5" s="3068"/>
      <c r="U5" s="3069"/>
      <c r="V5" s="3087"/>
      <c r="W5" s="3087"/>
      <c r="X5" s="1898"/>
      <c r="Y5" s="3068"/>
      <c r="Z5" s="3069"/>
      <c r="AA5" s="3075"/>
      <c r="AB5" s="3075"/>
      <c r="AC5" s="3075"/>
    </row>
    <row r="6" spans="1:29" ht="15.75" thickBot="1">
      <c r="A6" s="385"/>
      <c r="B6" s="386"/>
      <c r="C6" s="3092" t="s">
        <v>2348</v>
      </c>
      <c r="D6" s="3061"/>
      <c r="E6" s="3093" t="s">
        <v>2348</v>
      </c>
      <c r="F6" s="3094"/>
      <c r="G6" s="3092" t="s">
        <v>2348</v>
      </c>
      <c r="H6" s="3061"/>
      <c r="I6" s="3092" t="s">
        <v>2348</v>
      </c>
      <c r="J6" s="3061"/>
      <c r="K6" s="594" t="s">
        <v>2349</v>
      </c>
      <c r="L6" s="1242"/>
      <c r="M6" s="1243"/>
      <c r="N6" s="1243"/>
      <c r="O6" s="1243"/>
      <c r="P6" s="3101"/>
      <c r="Q6" s="3086"/>
      <c r="R6" s="3068"/>
      <c r="S6" s="3069"/>
      <c r="T6" s="3070"/>
      <c r="U6" s="3071"/>
      <c r="V6" s="3087"/>
      <c r="W6" s="3087"/>
      <c r="X6" s="1898"/>
      <c r="Y6" s="3070"/>
      <c r="Z6" s="3071"/>
      <c r="AA6" s="3076"/>
      <c r="AB6" s="3076"/>
      <c r="AC6" s="3076"/>
    </row>
    <row r="7" spans="1:29" s="35" customFormat="1" ht="15.75" thickBot="1">
      <c r="A7" s="387" t="s">
        <v>2350</v>
      </c>
      <c r="B7" s="388"/>
      <c r="C7" s="389">
        <f>'数据-取费表'!B2</f>
        <v>43516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72" t="s">
        <v>2351</v>
      </c>
      <c r="Q7" s="3072"/>
      <c r="R7" s="749" t="s">
        <v>25</v>
      </c>
      <c r="S7" s="750">
        <f t="shared" ref="S7:S15" si="0">F7</f>
        <v>0</v>
      </c>
      <c r="T7" s="749" t="s">
        <v>25</v>
      </c>
      <c r="U7" s="750">
        <f t="shared" ref="U7:U15" si="1">H7</f>
        <v>0</v>
      </c>
      <c r="V7" s="749" t="s">
        <v>25</v>
      </c>
      <c r="W7" s="750">
        <f t="shared" ref="W7:W15" si="2">J7</f>
        <v>0</v>
      </c>
      <c r="X7" s="751"/>
      <c r="Y7" s="3064" t="s">
        <v>2351</v>
      </c>
      <c r="Z7" s="3065"/>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72" t="s">
        <v>2354</v>
      </c>
      <c r="Q8" s="3065"/>
      <c r="R8" s="749" t="s">
        <v>25</v>
      </c>
      <c r="S8" s="750">
        <f t="shared" si="0"/>
        <v>0</v>
      </c>
      <c r="T8" s="749" t="s">
        <v>25</v>
      </c>
      <c r="U8" s="750">
        <f t="shared" si="1"/>
        <v>0</v>
      </c>
      <c r="V8" s="749" t="s">
        <v>25</v>
      </c>
      <c r="W8" s="750">
        <f t="shared" si="2"/>
        <v>0</v>
      </c>
      <c r="X8" s="751"/>
      <c r="Y8" s="3064" t="s">
        <v>2354</v>
      </c>
      <c r="Z8" s="3065"/>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48" t="s">
        <v>2357</v>
      </c>
      <c r="Q9" s="1885"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48"/>
      <c r="Q10" s="1885"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48"/>
      <c r="Q11" s="1885"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48"/>
      <c r="Q12" s="1885">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48"/>
      <c r="Q13" s="1885">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48"/>
      <c r="Q14" s="1885">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71.25">
      <c r="A15" s="419" t="s">
        <v>2361</v>
      </c>
      <c r="B15" s="613" t="s">
        <v>2476</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82" t="s">
        <v>2362</v>
      </c>
      <c r="Q15" s="1897" t="str">
        <f t="shared" si="6"/>
        <v>办公集聚程度</v>
      </c>
      <c r="R15" s="753" t="s">
        <v>25</v>
      </c>
      <c r="S15" s="754">
        <f t="shared" si="0"/>
        <v>100</v>
      </c>
      <c r="T15" s="753" t="s">
        <v>25</v>
      </c>
      <c r="U15" s="754">
        <f t="shared" si="1"/>
        <v>100</v>
      </c>
      <c r="V15" s="753" t="s">
        <v>25</v>
      </c>
      <c r="W15" s="754">
        <f t="shared" si="2"/>
        <v>100</v>
      </c>
      <c r="X15" s="1898"/>
      <c r="Y15" s="3053" t="s">
        <v>2362</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084"/>
      <c r="Q16" s="1897"/>
      <c r="R16" s="753"/>
      <c r="S16" s="754"/>
      <c r="T16" s="753"/>
      <c r="U16" s="754"/>
      <c r="V16" s="753"/>
      <c r="W16" s="754"/>
      <c r="X16" s="1898"/>
      <c r="Y16" s="3054"/>
      <c r="Z16" s="1900"/>
      <c r="AA16" s="1901">
        <v>1</v>
      </c>
      <c r="AB16" s="1901">
        <v>1</v>
      </c>
      <c r="AC16" s="1901">
        <v>1</v>
      </c>
    </row>
    <row r="17" spans="1:29" ht="85.5">
      <c r="A17" s="408"/>
      <c r="B17" s="615" t="s">
        <v>1747</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84"/>
      <c r="Q17" s="1897" t="str">
        <f>B17</f>
        <v>交通便捷度</v>
      </c>
      <c r="R17" s="753" t="s">
        <v>25</v>
      </c>
      <c r="S17" s="754">
        <f>F17</f>
        <v>100</v>
      </c>
      <c r="T17" s="753" t="s">
        <v>25</v>
      </c>
      <c r="U17" s="754">
        <f>H17</f>
        <v>100</v>
      </c>
      <c r="V17" s="753" t="s">
        <v>25</v>
      </c>
      <c r="W17" s="754">
        <f>J17</f>
        <v>100</v>
      </c>
      <c r="X17" s="1898"/>
      <c r="Y17" s="3054"/>
      <c r="Z17" s="1900" t="str">
        <f>Q17</f>
        <v>交通便捷度</v>
      </c>
      <c r="AA17" s="1901">
        <f t="shared" si="3"/>
        <v>1</v>
      </c>
      <c r="AB17" s="1901">
        <f t="shared" si="4"/>
        <v>1</v>
      </c>
      <c r="AC17" s="1901">
        <f t="shared" si="5"/>
        <v>1</v>
      </c>
    </row>
    <row r="18" spans="1:29" ht="15">
      <c r="A18" s="408"/>
      <c r="B18" s="616"/>
      <c r="C18" s="2469"/>
      <c r="D18" s="430"/>
      <c r="E18" s="2407"/>
      <c r="F18" s="430"/>
      <c r="G18" s="1467"/>
      <c r="H18" s="427"/>
      <c r="I18" s="1467"/>
      <c r="J18" s="427"/>
      <c r="K18" s="599"/>
      <c r="L18" s="1252"/>
      <c r="M18" s="1243"/>
      <c r="N18" s="1243"/>
      <c r="O18" s="1243"/>
      <c r="P18" s="3084"/>
      <c r="Q18" s="1897"/>
      <c r="R18" s="753"/>
      <c r="S18" s="754"/>
      <c r="T18" s="753"/>
      <c r="U18" s="754"/>
      <c r="V18" s="753"/>
      <c r="W18" s="754"/>
      <c r="X18" s="1898"/>
      <c r="Y18" s="3054"/>
      <c r="Z18" s="1900"/>
      <c r="AA18" s="1901">
        <v>1</v>
      </c>
      <c r="AB18" s="1901">
        <v>1</v>
      </c>
      <c r="AC18" s="1901">
        <v>1</v>
      </c>
    </row>
    <row r="19" spans="1:29" ht="42.75">
      <c r="A19" s="408"/>
      <c r="B19" s="615" t="s">
        <v>2477</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84"/>
      <c r="Q19" s="1897" t="str">
        <f>B19</f>
        <v>公共配套设施</v>
      </c>
      <c r="R19" s="753" t="s">
        <v>25</v>
      </c>
      <c r="S19" s="754">
        <f>F19</f>
        <v>100</v>
      </c>
      <c r="T19" s="753" t="s">
        <v>25</v>
      </c>
      <c r="U19" s="754">
        <f>H19</f>
        <v>100</v>
      </c>
      <c r="V19" s="753" t="s">
        <v>25</v>
      </c>
      <c r="W19" s="754">
        <f>J19</f>
        <v>100</v>
      </c>
      <c r="X19" s="1898"/>
      <c r="Y19" s="3054"/>
      <c r="Z19" s="1900" t="str">
        <f>Q19</f>
        <v>公共配套设施</v>
      </c>
      <c r="AA19" s="1901">
        <f t="shared" si="3"/>
        <v>1</v>
      </c>
      <c r="AB19" s="1901">
        <f t="shared" si="4"/>
        <v>1</v>
      </c>
      <c r="AC19" s="1901">
        <f t="shared" si="5"/>
        <v>1</v>
      </c>
    </row>
    <row r="20" spans="1:29" ht="15">
      <c r="A20" s="408"/>
      <c r="B20" s="616"/>
      <c r="C20" s="1471"/>
      <c r="D20" s="427"/>
      <c r="E20" s="2404"/>
      <c r="F20" s="427"/>
      <c r="G20" s="428"/>
      <c r="H20" s="427"/>
      <c r="I20" s="428"/>
      <c r="J20" s="427"/>
      <c r="K20" s="599"/>
      <c r="L20" s="1252"/>
      <c r="M20" s="1243"/>
      <c r="N20" s="1243"/>
      <c r="O20" s="1243"/>
      <c r="P20" s="3084"/>
      <c r="Q20" s="1897"/>
      <c r="R20" s="753"/>
      <c r="S20" s="754"/>
      <c r="T20" s="753"/>
      <c r="U20" s="754"/>
      <c r="V20" s="753"/>
      <c r="W20" s="754"/>
      <c r="X20" s="1898"/>
      <c r="Y20" s="3054"/>
      <c r="Z20" s="1900"/>
      <c r="AA20" s="1901">
        <v>1</v>
      </c>
      <c r="AB20" s="1901">
        <v>1</v>
      </c>
      <c r="AC20" s="1901">
        <v>1</v>
      </c>
    </row>
    <row r="21" spans="1:29" ht="28.5">
      <c r="A21" s="408"/>
      <c r="B21" s="617" t="s">
        <v>2478</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84"/>
      <c r="Q21" s="1897" t="str">
        <f>B21</f>
        <v>基础设施水平</v>
      </c>
      <c r="R21" s="753" t="s">
        <v>25</v>
      </c>
      <c r="S21" s="754">
        <f>F21</f>
        <v>100</v>
      </c>
      <c r="T21" s="753" t="s">
        <v>25</v>
      </c>
      <c r="U21" s="754">
        <f>H21</f>
        <v>100</v>
      </c>
      <c r="V21" s="753" t="s">
        <v>25</v>
      </c>
      <c r="W21" s="754">
        <f>J21</f>
        <v>100</v>
      </c>
      <c r="X21" s="1898"/>
      <c r="Y21" s="3054"/>
      <c r="Z21" s="1900" t="str">
        <f>Q21</f>
        <v>基础设施水平</v>
      </c>
      <c r="AA21" s="1901">
        <f t="shared" ref="AA21" si="8">D21/F21</f>
        <v>1</v>
      </c>
      <c r="AB21" s="1901">
        <f t="shared" ref="AB21" si="9">D21/H21</f>
        <v>1</v>
      </c>
      <c r="AC21" s="1901">
        <f t="shared" ref="AC21" si="10">D21/J21</f>
        <v>1</v>
      </c>
    </row>
    <row r="22" spans="1:29" ht="15">
      <c r="A22" s="408"/>
      <c r="B22" s="617"/>
      <c r="C22" s="2469"/>
      <c r="D22" s="427"/>
      <c r="E22" s="426"/>
      <c r="F22" s="427"/>
      <c r="G22" s="1471"/>
      <c r="H22" s="427"/>
      <c r="I22" s="1471"/>
      <c r="J22" s="427"/>
      <c r="K22" s="1468"/>
      <c r="L22" s="1252"/>
      <c r="M22" s="1243"/>
      <c r="N22" s="1243"/>
      <c r="O22" s="1243"/>
      <c r="P22" s="3084"/>
      <c r="Q22" s="1897"/>
      <c r="R22" s="753"/>
      <c r="S22" s="754"/>
      <c r="T22" s="753"/>
      <c r="U22" s="754"/>
      <c r="V22" s="753"/>
      <c r="W22" s="754"/>
      <c r="X22" s="1898"/>
      <c r="Y22" s="3054"/>
      <c r="Z22" s="1900"/>
      <c r="AA22" s="1901">
        <v>1</v>
      </c>
      <c r="AB22" s="1901">
        <v>1</v>
      </c>
      <c r="AC22" s="1901">
        <v>1</v>
      </c>
    </row>
    <row r="23" spans="1:29" ht="57">
      <c r="A23" s="408"/>
      <c r="B23" s="615" t="s">
        <v>2479</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84"/>
      <c r="Q23" s="1897" t="str">
        <f>B23</f>
        <v>环境质量</v>
      </c>
      <c r="R23" s="753" t="s">
        <v>25</v>
      </c>
      <c r="S23" s="754">
        <f>F23</f>
        <v>100</v>
      </c>
      <c r="T23" s="753" t="s">
        <v>25</v>
      </c>
      <c r="U23" s="754">
        <f>H23</f>
        <v>100</v>
      </c>
      <c r="V23" s="753" t="s">
        <v>25</v>
      </c>
      <c r="W23" s="754">
        <f>J23</f>
        <v>100</v>
      </c>
      <c r="X23" s="1898"/>
      <c r="Y23" s="3054"/>
      <c r="Z23" s="1900" t="str">
        <f>Q23</f>
        <v>环境质量</v>
      </c>
      <c r="AA23" s="1901">
        <f t="shared" si="3"/>
        <v>1</v>
      </c>
      <c r="AB23" s="1901">
        <f t="shared" si="4"/>
        <v>1</v>
      </c>
      <c r="AC23" s="1901">
        <f t="shared" si="5"/>
        <v>1</v>
      </c>
    </row>
    <row r="24" spans="1:29" ht="15">
      <c r="A24" s="408"/>
      <c r="B24" s="617"/>
      <c r="C24" s="1471"/>
      <c r="D24" s="427"/>
      <c r="E24" s="2404"/>
      <c r="F24" s="427"/>
      <c r="G24" s="428"/>
      <c r="H24" s="427"/>
      <c r="I24" s="428"/>
      <c r="J24" s="427"/>
      <c r="K24" s="599"/>
      <c r="L24" s="1252"/>
      <c r="M24" s="1243"/>
      <c r="N24" s="1243"/>
      <c r="O24" s="1243"/>
      <c r="P24" s="3084"/>
      <c r="Q24" s="1897"/>
      <c r="R24" s="753"/>
      <c r="S24" s="754"/>
      <c r="T24" s="753"/>
      <c r="U24" s="754"/>
      <c r="V24" s="753"/>
      <c r="W24" s="754"/>
      <c r="X24" s="1898"/>
      <c r="Y24" s="3054"/>
      <c r="Z24" s="1900"/>
      <c r="AA24" s="1901">
        <v>1</v>
      </c>
      <c r="AB24" s="1901">
        <v>1</v>
      </c>
      <c r="AC24" s="1901">
        <v>1</v>
      </c>
    </row>
    <row r="25" spans="1:29" ht="27">
      <c r="A25" s="383"/>
      <c r="B25" s="615" t="s">
        <v>2480</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84"/>
      <c r="Q25" s="1897" t="str">
        <f>B25</f>
        <v>毗邻道路的类型与等级</v>
      </c>
      <c r="R25" s="753" t="s">
        <v>25</v>
      </c>
      <c r="S25" s="754">
        <f>F25</f>
        <v>100</v>
      </c>
      <c r="T25" s="753" t="s">
        <v>25</v>
      </c>
      <c r="U25" s="754">
        <f>H25</f>
        <v>100</v>
      </c>
      <c r="V25" s="753" t="s">
        <v>25</v>
      </c>
      <c r="W25" s="754">
        <f>J25</f>
        <v>100</v>
      </c>
      <c r="X25" s="1898"/>
      <c r="Y25" s="3054"/>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84"/>
      <c r="Q26" s="1897"/>
      <c r="R26" s="753"/>
      <c r="S26" s="754"/>
      <c r="T26" s="753"/>
      <c r="U26" s="754"/>
      <c r="V26" s="753"/>
      <c r="W26" s="754"/>
      <c r="X26" s="1898"/>
      <c r="Y26" s="3054"/>
      <c r="Z26" s="1900"/>
      <c r="AA26" s="1901">
        <v>1</v>
      </c>
      <c r="AB26" s="1901">
        <v>1</v>
      </c>
      <c r="AC26" s="1901">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84"/>
      <c r="Q27" s="1897" t="str">
        <f t="shared" ref="Q27:Q47" si="11">B27</f>
        <v>楼层</v>
      </c>
      <c r="R27" s="753" t="s">
        <v>25</v>
      </c>
      <c r="S27" s="754">
        <f>F27</f>
        <v>100</v>
      </c>
      <c r="T27" s="753" t="s">
        <v>25</v>
      </c>
      <c r="U27" s="754">
        <f>H27</f>
        <v>100</v>
      </c>
      <c r="V27" s="753" t="s">
        <v>25</v>
      </c>
      <c r="W27" s="754">
        <f>J27</f>
        <v>100</v>
      </c>
      <c r="X27" s="1898"/>
      <c r="Y27" s="3054"/>
      <c r="Z27" s="1900" t="str">
        <f>Q27</f>
        <v>楼层</v>
      </c>
      <c r="AA27" s="1901">
        <f t="shared" si="3"/>
        <v>1</v>
      </c>
      <c r="AB27" s="1901">
        <f t="shared" si="4"/>
        <v>1</v>
      </c>
      <c r="AC27" s="1901">
        <f t="shared" si="5"/>
        <v>1</v>
      </c>
    </row>
    <row r="28" spans="1:29" s="35" customFormat="1" ht="15">
      <c r="A28" s="411"/>
      <c r="B28" s="615" t="s">
        <v>2481</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84"/>
      <c r="Q28" s="1885" t="str">
        <f t="shared" si="11"/>
        <v>朝向</v>
      </c>
      <c r="R28" s="749" t="s">
        <v>25</v>
      </c>
      <c r="S28" s="750">
        <f>F28</f>
        <v>100</v>
      </c>
      <c r="T28" s="749" t="s">
        <v>25</v>
      </c>
      <c r="U28" s="750">
        <f>H28</f>
        <v>100</v>
      </c>
      <c r="V28" s="749" t="s">
        <v>25</v>
      </c>
      <c r="W28" s="750">
        <f>J28</f>
        <v>100</v>
      </c>
      <c r="X28" s="751"/>
      <c r="Y28" s="3054"/>
      <c r="Z28" s="23" t="str">
        <f>Q28</f>
        <v>朝向</v>
      </c>
      <c r="AA28" s="1901">
        <f>D28/F28</f>
        <v>1</v>
      </c>
      <c r="AB28" s="1901">
        <f>D28/H28</f>
        <v>1</v>
      </c>
      <c r="AC28" s="1901">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84"/>
      <c r="Q29" s="1897">
        <f t="shared" si="11"/>
        <v>111</v>
      </c>
      <c r="R29" s="753" t="s">
        <v>25</v>
      </c>
      <c r="S29" s="754">
        <f t="shared" ref="S29:S47" si="12">F29</f>
        <v>100</v>
      </c>
      <c r="T29" s="753" t="s">
        <v>25</v>
      </c>
      <c r="U29" s="754">
        <f t="shared" ref="U29:U47" si="13">H29</f>
        <v>100</v>
      </c>
      <c r="V29" s="753" t="s">
        <v>25</v>
      </c>
      <c r="W29" s="754">
        <f t="shared" ref="W29:W47" si="14">J29</f>
        <v>100</v>
      </c>
      <c r="X29" s="1898"/>
      <c r="Y29" s="3054"/>
      <c r="Z29" s="1900">
        <f t="shared" ref="Z29:Z47" si="15">Q29</f>
        <v>111</v>
      </c>
      <c r="AA29" s="1901">
        <f t="shared" si="3"/>
        <v>1</v>
      </c>
      <c r="AB29" s="1901">
        <f t="shared" si="4"/>
        <v>1</v>
      </c>
      <c r="AC29" s="1901">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84"/>
      <c r="Q30" s="1897">
        <f t="shared" si="11"/>
        <v>111</v>
      </c>
      <c r="R30" s="753" t="s">
        <v>25</v>
      </c>
      <c r="S30" s="754">
        <f t="shared" si="12"/>
        <v>100</v>
      </c>
      <c r="T30" s="753" t="s">
        <v>25</v>
      </c>
      <c r="U30" s="754">
        <f t="shared" si="13"/>
        <v>100</v>
      </c>
      <c r="V30" s="753" t="s">
        <v>25</v>
      </c>
      <c r="W30" s="754">
        <f t="shared" si="14"/>
        <v>100</v>
      </c>
      <c r="X30" s="1898"/>
      <c r="Y30" s="3054"/>
      <c r="Z30" s="1900">
        <f t="shared" si="15"/>
        <v>111</v>
      </c>
      <c r="AA30" s="1901">
        <f t="shared" si="3"/>
        <v>1</v>
      </c>
      <c r="AB30" s="1901">
        <f t="shared" si="4"/>
        <v>1</v>
      </c>
      <c r="AC30" s="1901">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84"/>
      <c r="Q31" s="1897">
        <f t="shared" si="11"/>
        <v>111</v>
      </c>
      <c r="R31" s="753" t="s">
        <v>25</v>
      </c>
      <c r="S31" s="754">
        <f t="shared" si="12"/>
        <v>100</v>
      </c>
      <c r="T31" s="753" t="s">
        <v>25</v>
      </c>
      <c r="U31" s="754">
        <f t="shared" si="13"/>
        <v>100</v>
      </c>
      <c r="V31" s="753" t="s">
        <v>25</v>
      </c>
      <c r="W31" s="754">
        <f t="shared" si="14"/>
        <v>100</v>
      </c>
      <c r="X31" s="1898"/>
      <c r="Y31" s="3054"/>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84"/>
      <c r="Q32" s="1897">
        <f t="shared" si="11"/>
        <v>111</v>
      </c>
      <c r="R32" s="753" t="s">
        <v>25</v>
      </c>
      <c r="S32" s="754">
        <f t="shared" si="12"/>
        <v>100</v>
      </c>
      <c r="T32" s="753" t="s">
        <v>25</v>
      </c>
      <c r="U32" s="754">
        <f t="shared" si="13"/>
        <v>100</v>
      </c>
      <c r="V32" s="753" t="s">
        <v>25</v>
      </c>
      <c r="W32" s="754">
        <f t="shared" si="14"/>
        <v>100</v>
      </c>
      <c r="X32" s="1898"/>
      <c r="Y32" s="3054"/>
      <c r="Z32" s="1900">
        <f t="shared" si="15"/>
        <v>111</v>
      </c>
      <c r="AA32" s="1901">
        <f t="shared" si="3"/>
        <v>1</v>
      </c>
      <c r="AB32" s="1901">
        <f t="shared" si="4"/>
        <v>1</v>
      </c>
      <c r="AC32" s="1901">
        <f t="shared" si="5"/>
        <v>1</v>
      </c>
    </row>
    <row r="33" spans="1:29" ht="15">
      <c r="A33" s="419" t="s">
        <v>2366</v>
      </c>
      <c r="B33" s="28" t="s">
        <v>2482</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96" t="s">
        <v>2368</v>
      </c>
      <c r="Q33" s="1897" t="str">
        <f t="shared" si="11"/>
        <v>建筑类型</v>
      </c>
      <c r="R33" s="753" t="s">
        <v>25</v>
      </c>
      <c r="S33" s="754">
        <f t="shared" si="12"/>
        <v>100</v>
      </c>
      <c r="T33" s="753" t="s">
        <v>25</v>
      </c>
      <c r="U33" s="754">
        <f t="shared" si="13"/>
        <v>100</v>
      </c>
      <c r="V33" s="753" t="s">
        <v>25</v>
      </c>
      <c r="W33" s="754">
        <f t="shared" si="14"/>
        <v>100</v>
      </c>
      <c r="X33" s="1898"/>
      <c r="Y33" s="3058" t="s">
        <v>2368</v>
      </c>
      <c r="Z33" s="1900" t="str">
        <f t="shared" si="15"/>
        <v>建筑类型</v>
      </c>
      <c r="AA33" s="1901">
        <f t="shared" si="3"/>
        <v>1</v>
      </c>
      <c r="AB33" s="1901">
        <f t="shared" si="4"/>
        <v>1</v>
      </c>
      <c r="AC33" s="1901">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97"/>
      <c r="Q34" s="755" t="str">
        <f t="shared" si="11"/>
        <v>项目建筑规模</v>
      </c>
      <c r="R34" s="756" t="s">
        <v>25</v>
      </c>
      <c r="S34" s="757" t="e">
        <f t="shared" si="12"/>
        <v>#N/A</v>
      </c>
      <c r="T34" s="756" t="s">
        <v>25</v>
      </c>
      <c r="U34" s="757" t="e">
        <f t="shared" si="13"/>
        <v>#N/A</v>
      </c>
      <c r="V34" s="756" t="s">
        <v>25</v>
      </c>
      <c r="W34" s="757" t="e">
        <f t="shared" si="14"/>
        <v>#N/A</v>
      </c>
      <c r="X34" s="758"/>
      <c r="Y34" s="3058"/>
      <c r="Z34" s="759" t="str">
        <f t="shared" si="15"/>
        <v>项目建筑规模</v>
      </c>
      <c r="AA34" s="1901" t="e">
        <f t="shared" si="3"/>
        <v>#N/A</v>
      </c>
      <c r="AB34" s="1901" t="e">
        <f t="shared" si="4"/>
        <v>#N/A</v>
      </c>
      <c r="AC34" s="1901"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97"/>
      <c r="Q35" s="1897" t="str">
        <f t="shared" si="11"/>
        <v>建筑结构</v>
      </c>
      <c r="R35" s="753" t="s">
        <v>25</v>
      </c>
      <c r="S35" s="754">
        <f t="shared" si="12"/>
        <v>100</v>
      </c>
      <c r="T35" s="753" t="s">
        <v>25</v>
      </c>
      <c r="U35" s="754">
        <f t="shared" si="13"/>
        <v>100</v>
      </c>
      <c r="V35" s="753" t="s">
        <v>25</v>
      </c>
      <c r="W35" s="754">
        <f t="shared" si="14"/>
        <v>100</v>
      </c>
      <c r="X35" s="1898"/>
      <c r="Y35" s="3058"/>
      <c r="Z35" s="1900" t="str">
        <f t="shared" si="15"/>
        <v>建筑结构</v>
      </c>
      <c r="AA35" s="1901">
        <f t="shared" si="3"/>
        <v>1</v>
      </c>
      <c r="AB35" s="1901">
        <f t="shared" si="4"/>
        <v>1</v>
      </c>
      <c r="AC35" s="1901">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97"/>
      <c r="Q36" s="1897" t="str">
        <f t="shared" si="11"/>
        <v>公共部分装修</v>
      </c>
      <c r="R36" s="753" t="s">
        <v>25</v>
      </c>
      <c r="S36" s="754">
        <f t="shared" si="12"/>
        <v>100</v>
      </c>
      <c r="T36" s="753" t="s">
        <v>25</v>
      </c>
      <c r="U36" s="754">
        <f t="shared" si="13"/>
        <v>100</v>
      </c>
      <c r="V36" s="753" t="s">
        <v>25</v>
      </c>
      <c r="W36" s="754">
        <f t="shared" si="14"/>
        <v>100</v>
      </c>
      <c r="X36" s="1898"/>
      <c r="Y36" s="3058"/>
      <c r="Z36" s="1900" t="str">
        <f t="shared" si="15"/>
        <v>公共部分装修</v>
      </c>
      <c r="AA36" s="1901">
        <f t="shared" si="3"/>
        <v>1</v>
      </c>
      <c r="AB36" s="1901">
        <f t="shared" si="4"/>
        <v>1</v>
      </c>
      <c r="AC36" s="1901">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97"/>
      <c r="Q37" s="1897" t="str">
        <f t="shared" si="11"/>
        <v>成新度</v>
      </c>
      <c r="R37" s="753" t="s">
        <v>25</v>
      </c>
      <c r="S37" s="754" t="e">
        <f t="shared" si="12"/>
        <v>#N/A</v>
      </c>
      <c r="T37" s="753" t="s">
        <v>25</v>
      </c>
      <c r="U37" s="754" t="e">
        <f t="shared" si="13"/>
        <v>#N/A</v>
      </c>
      <c r="V37" s="753" t="s">
        <v>25</v>
      </c>
      <c r="W37" s="754" t="e">
        <f t="shared" si="14"/>
        <v>#N/A</v>
      </c>
      <c r="X37" s="1898"/>
      <c r="Y37" s="3058"/>
      <c r="Z37" s="1900" t="str">
        <f t="shared" si="15"/>
        <v>成新度</v>
      </c>
      <c r="AA37" s="1901" t="e">
        <f t="shared" si="3"/>
        <v>#N/A</v>
      </c>
      <c r="AB37" s="1901" t="e">
        <f t="shared" si="4"/>
        <v>#N/A</v>
      </c>
      <c r="AC37" s="1901"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97"/>
      <c r="Q38" s="1885" t="str">
        <f t="shared" si="11"/>
        <v>写字楼等级</v>
      </c>
      <c r="R38" s="749" t="s">
        <v>25</v>
      </c>
      <c r="S38" s="750">
        <f t="shared" si="12"/>
        <v>100</v>
      </c>
      <c r="T38" s="749" t="s">
        <v>25</v>
      </c>
      <c r="U38" s="750">
        <f t="shared" si="13"/>
        <v>100</v>
      </c>
      <c r="V38" s="749" t="s">
        <v>25</v>
      </c>
      <c r="W38" s="750">
        <f t="shared" si="14"/>
        <v>100</v>
      </c>
      <c r="X38" s="751"/>
      <c r="Y38" s="3058"/>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97" t="s">
        <v>2368</v>
      </c>
      <c r="Q39" s="1897" t="str">
        <f t="shared" si="11"/>
        <v>物业管理</v>
      </c>
      <c r="R39" s="753" t="s">
        <v>25</v>
      </c>
      <c r="S39" s="754">
        <f t="shared" si="12"/>
        <v>100</v>
      </c>
      <c r="T39" s="753" t="s">
        <v>25</v>
      </c>
      <c r="U39" s="754">
        <f t="shared" si="13"/>
        <v>100</v>
      </c>
      <c r="V39" s="753" t="s">
        <v>25</v>
      </c>
      <c r="W39" s="754">
        <f t="shared" si="14"/>
        <v>100</v>
      </c>
      <c r="X39" s="1898"/>
      <c r="Y39" s="3058" t="s">
        <v>2368</v>
      </c>
      <c r="Z39" s="1900" t="str">
        <f t="shared" si="15"/>
        <v>物业管理</v>
      </c>
      <c r="AA39" s="1901">
        <f t="shared" si="3"/>
        <v>1</v>
      </c>
      <c r="AB39" s="1901">
        <f t="shared" si="4"/>
        <v>1</v>
      </c>
      <c r="AC39" s="1901">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97"/>
      <c r="Q40" s="1897" t="str">
        <f t="shared" si="11"/>
        <v>市政基础设施</v>
      </c>
      <c r="R40" s="753" t="s">
        <v>25</v>
      </c>
      <c r="S40" s="754">
        <f t="shared" si="12"/>
        <v>100</v>
      </c>
      <c r="T40" s="753" t="s">
        <v>25</v>
      </c>
      <c r="U40" s="754">
        <f t="shared" si="13"/>
        <v>100</v>
      </c>
      <c r="V40" s="753" t="s">
        <v>25</v>
      </c>
      <c r="W40" s="754">
        <f t="shared" si="14"/>
        <v>100</v>
      </c>
      <c r="X40" s="1898"/>
      <c r="Y40" s="3058"/>
      <c r="Z40" s="1900" t="str">
        <f t="shared" si="15"/>
        <v>市政基础设施</v>
      </c>
      <c r="AA40" s="1901">
        <f t="shared" si="3"/>
        <v>1</v>
      </c>
      <c r="AB40" s="1901">
        <f t="shared" si="4"/>
        <v>1</v>
      </c>
      <c r="AC40" s="1901">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97"/>
      <c r="Q41" s="1897" t="str">
        <f t="shared" si="11"/>
        <v>层高</v>
      </c>
      <c r="R41" s="753" t="s">
        <v>25</v>
      </c>
      <c r="S41" s="754">
        <f t="shared" si="12"/>
        <v>100</v>
      </c>
      <c r="T41" s="753" t="s">
        <v>25</v>
      </c>
      <c r="U41" s="754">
        <f t="shared" si="13"/>
        <v>100</v>
      </c>
      <c r="V41" s="753" t="s">
        <v>25</v>
      </c>
      <c r="W41" s="754">
        <f t="shared" si="14"/>
        <v>100</v>
      </c>
      <c r="X41" s="1898"/>
      <c r="Y41" s="3058"/>
      <c r="Z41" s="1900" t="str">
        <f t="shared" si="15"/>
        <v>层高</v>
      </c>
      <c r="AA41" s="1901">
        <f t="shared" si="3"/>
        <v>1</v>
      </c>
      <c r="AB41" s="1901">
        <f t="shared" si="4"/>
        <v>1</v>
      </c>
      <c r="AC41" s="1901">
        <f t="shared" si="5"/>
        <v>1</v>
      </c>
    </row>
    <row r="42" spans="1:29" s="452" customFormat="1" ht="15">
      <c r="A42" s="449"/>
      <c r="B42" s="1902"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97"/>
      <c r="Q42" s="755" t="str">
        <f t="shared" si="11"/>
        <v>单套建筑面积</v>
      </c>
      <c r="R42" s="756" t="s">
        <v>25</v>
      </c>
      <c r="S42" s="757">
        <f t="shared" si="12"/>
        <v>100</v>
      </c>
      <c r="T42" s="756" t="s">
        <v>25</v>
      </c>
      <c r="U42" s="757">
        <f t="shared" si="13"/>
        <v>100</v>
      </c>
      <c r="V42" s="756" t="s">
        <v>25</v>
      </c>
      <c r="W42" s="757">
        <f t="shared" si="14"/>
        <v>100</v>
      </c>
      <c r="X42" s="758"/>
      <c r="Y42" s="3058"/>
      <c r="Z42" s="759" t="str">
        <f t="shared" si="15"/>
        <v>单套建筑面积</v>
      </c>
      <c r="AA42" s="1901">
        <f t="shared" si="3"/>
        <v>1</v>
      </c>
      <c r="AB42" s="1901">
        <f t="shared" si="4"/>
        <v>1</v>
      </c>
      <c r="AC42" s="1901">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97"/>
      <c r="Q43" s="1897" t="str">
        <f t="shared" si="11"/>
        <v>内部装修</v>
      </c>
      <c r="R43" s="753" t="s">
        <v>25</v>
      </c>
      <c r="S43" s="754">
        <f t="shared" si="12"/>
        <v>100</v>
      </c>
      <c r="T43" s="753" t="s">
        <v>25</v>
      </c>
      <c r="U43" s="754">
        <f t="shared" si="13"/>
        <v>100</v>
      </c>
      <c r="V43" s="753" t="s">
        <v>25</v>
      </c>
      <c r="W43" s="754">
        <f t="shared" si="14"/>
        <v>100</v>
      </c>
      <c r="X43" s="1898"/>
      <c r="Y43" s="3058"/>
      <c r="Z43" s="1900" t="str">
        <f t="shared" si="15"/>
        <v>内部装修</v>
      </c>
      <c r="AA43" s="1901">
        <f t="shared" si="3"/>
        <v>1</v>
      </c>
      <c r="AB43" s="1901">
        <f t="shared" si="4"/>
        <v>1</v>
      </c>
      <c r="AC43" s="1901">
        <f t="shared" si="5"/>
        <v>1</v>
      </c>
    </row>
    <row r="44" spans="1:29" ht="15">
      <c r="A44" s="453"/>
      <c r="B44" s="402" t="s">
        <v>2379</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097"/>
      <c r="Q44" s="1897" t="str">
        <f t="shared" si="11"/>
        <v>内部装修维护情况</v>
      </c>
      <c r="R44" s="753" t="s">
        <v>25</v>
      </c>
      <c r="S44" s="754">
        <f t="shared" si="12"/>
        <v>100</v>
      </c>
      <c r="T44" s="753" t="s">
        <v>25</v>
      </c>
      <c r="U44" s="754">
        <f t="shared" si="13"/>
        <v>100</v>
      </c>
      <c r="V44" s="753" t="s">
        <v>25</v>
      </c>
      <c r="W44" s="754">
        <f t="shared" si="14"/>
        <v>100</v>
      </c>
      <c r="X44" s="1898"/>
      <c r="Y44" s="3058"/>
      <c r="Z44" s="1900" t="str">
        <f t="shared" si="15"/>
        <v>内部装修维护情况</v>
      </c>
      <c r="AA44" s="1901">
        <f t="shared" si="3"/>
        <v>1</v>
      </c>
      <c r="AB44" s="1901">
        <f t="shared" si="4"/>
        <v>1</v>
      </c>
      <c r="AC44" s="1901">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97"/>
      <c r="Q45" s="1885">
        <f t="shared" si="11"/>
        <v>111</v>
      </c>
      <c r="R45" s="749" t="s">
        <v>25</v>
      </c>
      <c r="S45" s="750">
        <f t="shared" si="12"/>
        <v>100</v>
      </c>
      <c r="T45" s="749" t="s">
        <v>25</v>
      </c>
      <c r="U45" s="750">
        <f t="shared" si="13"/>
        <v>100</v>
      </c>
      <c r="V45" s="749" t="s">
        <v>25</v>
      </c>
      <c r="W45" s="750">
        <f t="shared" si="14"/>
        <v>100</v>
      </c>
      <c r="X45" s="751"/>
      <c r="Y45" s="305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97"/>
      <c r="Q46" s="1897">
        <f t="shared" si="11"/>
        <v>111</v>
      </c>
      <c r="R46" s="753" t="s">
        <v>25</v>
      </c>
      <c r="S46" s="754">
        <f t="shared" si="12"/>
        <v>100</v>
      </c>
      <c r="T46" s="753" t="s">
        <v>25</v>
      </c>
      <c r="U46" s="754">
        <f t="shared" si="13"/>
        <v>100</v>
      </c>
      <c r="V46" s="753" t="s">
        <v>25</v>
      </c>
      <c r="W46" s="754">
        <f t="shared" si="14"/>
        <v>100</v>
      </c>
      <c r="X46" s="1898"/>
      <c r="Y46" s="3058"/>
      <c r="Z46" s="1900">
        <f t="shared" si="15"/>
        <v>111</v>
      </c>
      <c r="AA46" s="1901">
        <f t="shared" si="3"/>
        <v>1</v>
      </c>
      <c r="AB46" s="1901">
        <f t="shared" si="4"/>
        <v>1</v>
      </c>
      <c r="AC46" s="1901">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98"/>
      <c r="Q47" s="1897">
        <f t="shared" si="11"/>
        <v>111</v>
      </c>
      <c r="R47" s="753" t="s">
        <v>25</v>
      </c>
      <c r="S47" s="754">
        <f t="shared" si="12"/>
        <v>100</v>
      </c>
      <c r="T47" s="753" t="s">
        <v>25</v>
      </c>
      <c r="U47" s="754">
        <f t="shared" si="13"/>
        <v>100</v>
      </c>
      <c r="V47" s="753" t="s">
        <v>25</v>
      </c>
      <c r="W47" s="754">
        <f t="shared" si="14"/>
        <v>100</v>
      </c>
      <c r="X47" s="1898"/>
      <c r="Y47" s="3059"/>
      <c r="Z47" s="1900">
        <f t="shared" si="15"/>
        <v>111</v>
      </c>
      <c r="AA47" s="1901">
        <f t="shared" si="3"/>
        <v>1</v>
      </c>
      <c r="AB47" s="1901">
        <f t="shared" si="4"/>
        <v>1</v>
      </c>
      <c r="AC47" s="1901">
        <f t="shared" si="5"/>
        <v>1</v>
      </c>
    </row>
    <row r="48" spans="1:29" ht="15">
      <c r="A48" s="460" t="s">
        <v>2380</v>
      </c>
      <c r="B48" s="461"/>
      <c r="C48" s="1501" t="s">
        <v>1</v>
      </c>
      <c r="D48" s="1502"/>
      <c r="E48" s="1503"/>
      <c r="F48" s="1504"/>
      <c r="G48" s="1505"/>
      <c r="H48" s="1506"/>
      <c r="I48" s="1503"/>
      <c r="J48" s="1506"/>
      <c r="K48" s="762"/>
      <c r="L48" s="1255"/>
      <c r="M48" s="1243"/>
      <c r="N48" s="1243"/>
      <c r="O48" s="1243"/>
      <c r="P48" s="3048" t="str">
        <f>A48</f>
        <v>成交单价（元/平方米）</v>
      </c>
      <c r="Q48" s="3050"/>
      <c r="R48" s="3046">
        <f>E48</f>
        <v>0</v>
      </c>
      <c r="S48" s="3046"/>
      <c r="T48" s="3046">
        <f>G48</f>
        <v>0</v>
      </c>
      <c r="U48" s="3046"/>
      <c r="V48" s="3046">
        <f>I48</f>
        <v>0</v>
      </c>
      <c r="W48" s="3046"/>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48" t="str">
        <f>A49</f>
        <v>比较价值（元/平方米）</v>
      </c>
      <c r="Q49" s="3050"/>
      <c r="R49" s="3046" t="e">
        <f>IF(E1="售价",ROUND(PRODUCT(R48,AA7:AA47),0),ROUND(PRODUCT(R48,AA7:AA47),1))</f>
        <v>#DIV/0!</v>
      </c>
      <c r="S49" s="3046"/>
      <c r="T49" s="3046" t="e">
        <f>IF(E1="售价",ROUND(PRODUCT(T48,AB7:AB47),0),ROUND(PRODUCT(T48,AB7:AB47),1))</f>
        <v>#DIV/0!</v>
      </c>
      <c r="U49" s="3046"/>
      <c r="V49" s="3046" t="e">
        <f>IF(E1="售价",ROUND(PRODUCT(V48,AC7:AC47),0),ROUND(PRODUCT(V48,AC7:AC47),1))</f>
        <v>#DIV/0!</v>
      </c>
      <c r="W49" s="3046"/>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095" t="str">
        <f>A50</f>
        <v>估价对象XX用房的比较价值（楼面单价，元/平方米）</v>
      </c>
      <c r="Q50" s="3048"/>
      <c r="R50" s="3049" t="e">
        <f>IF(E1="售价",ROUND(AVERAGE(R49:V49),0),ROUND(AVERAGE(R49:V49),1))</f>
        <v>#DIV/0!</v>
      </c>
      <c r="S50" s="3049"/>
      <c r="T50" s="3049"/>
      <c r="U50" s="3049"/>
      <c r="V50" s="3049"/>
      <c r="W50" s="304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2019-2</v>
      </c>
      <c r="D59" s="1678">
        <f>EDATE(C59,-1)</f>
        <v>43466</v>
      </c>
      <c r="E59" s="1678">
        <f t="shared" ref="E59:O59" si="16">EDATE(D59,-1)</f>
        <v>43435</v>
      </c>
      <c r="F59" s="1678">
        <f t="shared" si="16"/>
        <v>43405</v>
      </c>
      <c r="G59" s="1678">
        <f t="shared" si="16"/>
        <v>43374</v>
      </c>
      <c r="H59" s="1678">
        <f t="shared" si="16"/>
        <v>43344</v>
      </c>
      <c r="I59" s="1678">
        <f t="shared" si="16"/>
        <v>43313</v>
      </c>
      <c r="J59" s="1678">
        <f t="shared" si="16"/>
        <v>43282</v>
      </c>
      <c r="K59" s="1678">
        <f t="shared" si="16"/>
        <v>43252</v>
      </c>
      <c r="L59" s="1678">
        <f t="shared" si="16"/>
        <v>43221</v>
      </c>
      <c r="M59" s="1678">
        <f t="shared" si="16"/>
        <v>43191</v>
      </c>
      <c r="N59" s="1678">
        <f t="shared" si="16"/>
        <v>43160</v>
      </c>
      <c r="O59" s="1678">
        <f t="shared" si="16"/>
        <v>43132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7" t="s">
        <v>2338</v>
      </c>
      <c r="D4" s="3078"/>
      <c r="E4" s="3079" t="s">
        <v>2339</v>
      </c>
      <c r="F4" s="3080"/>
      <c r="G4" s="3077" t="s">
        <v>2340</v>
      </c>
      <c r="H4" s="3078"/>
      <c r="I4" s="3077" t="s">
        <v>2341</v>
      </c>
      <c r="J4" s="3078"/>
      <c r="K4" s="594" t="s">
        <v>2342</v>
      </c>
      <c r="L4" s="1242"/>
      <c r="M4" s="1243"/>
      <c r="N4" s="1243"/>
      <c r="O4" s="1243"/>
      <c r="P4" s="3081" t="s">
        <v>2343</v>
      </c>
      <c r="Q4" s="3082"/>
      <c r="R4" s="3066" t="s">
        <v>2339</v>
      </c>
      <c r="S4" s="3067"/>
      <c r="T4" s="3066" t="s">
        <v>2340</v>
      </c>
      <c r="U4" s="3067"/>
      <c r="V4" s="3087" t="s">
        <v>2341</v>
      </c>
      <c r="W4" s="3087"/>
      <c r="X4" s="1898"/>
      <c r="Y4" s="3066" t="s">
        <v>2343</v>
      </c>
      <c r="Z4" s="3067"/>
      <c r="AA4" s="3074" t="s">
        <v>2339</v>
      </c>
      <c r="AB4" s="3075" t="s">
        <v>2340</v>
      </c>
      <c r="AC4" s="3074" t="s">
        <v>2341</v>
      </c>
    </row>
    <row r="5" spans="1:29" ht="15">
      <c r="A5" s="383"/>
      <c r="B5" s="384"/>
      <c r="C5" s="3091" t="s">
        <v>2344</v>
      </c>
      <c r="D5" s="3063"/>
      <c r="E5" s="3090" t="s">
        <v>2345</v>
      </c>
      <c r="F5" s="3089"/>
      <c r="G5" s="3091" t="s">
        <v>2346</v>
      </c>
      <c r="H5" s="3063"/>
      <c r="I5" s="3091" t="s">
        <v>2347</v>
      </c>
      <c r="J5" s="3063"/>
      <c r="K5" s="594"/>
      <c r="L5" s="1242"/>
      <c r="M5" s="1243"/>
      <c r="N5" s="1243"/>
      <c r="O5" s="1243"/>
      <c r="P5" s="3083"/>
      <c r="Q5" s="3084"/>
      <c r="R5" s="3068"/>
      <c r="S5" s="3069"/>
      <c r="T5" s="3068"/>
      <c r="U5" s="3069"/>
      <c r="V5" s="3087"/>
      <c r="W5" s="3087"/>
      <c r="X5" s="1898"/>
      <c r="Y5" s="3068"/>
      <c r="Z5" s="3069"/>
      <c r="AA5" s="3075"/>
      <c r="AB5" s="3075"/>
      <c r="AC5" s="3075"/>
    </row>
    <row r="6" spans="1:29" ht="15.75" thickBot="1">
      <c r="A6" s="385"/>
      <c r="B6" s="386"/>
      <c r="C6" s="3092" t="s">
        <v>2348</v>
      </c>
      <c r="D6" s="3061"/>
      <c r="E6" s="3093" t="s">
        <v>2348</v>
      </c>
      <c r="F6" s="3094"/>
      <c r="G6" s="3092" t="s">
        <v>2348</v>
      </c>
      <c r="H6" s="3061"/>
      <c r="I6" s="3092" t="s">
        <v>2348</v>
      </c>
      <c r="J6" s="3061"/>
      <c r="K6" s="594" t="s">
        <v>2349</v>
      </c>
      <c r="L6" s="1242"/>
      <c r="M6" s="1243"/>
      <c r="N6" s="1243"/>
      <c r="O6" s="1243"/>
      <c r="P6" s="3085"/>
      <c r="Q6" s="3086"/>
      <c r="R6" s="3068"/>
      <c r="S6" s="3069"/>
      <c r="T6" s="3070"/>
      <c r="U6" s="3071"/>
      <c r="V6" s="3087"/>
      <c r="W6" s="3087"/>
      <c r="X6" s="1898"/>
      <c r="Y6" s="3070"/>
      <c r="Z6" s="3071"/>
      <c r="AA6" s="3076"/>
      <c r="AB6" s="3076"/>
      <c r="AC6" s="3076"/>
    </row>
    <row r="7" spans="1:29" s="35" customFormat="1" ht="15.75" thickBot="1">
      <c r="A7" s="387" t="s">
        <v>2350</v>
      </c>
      <c r="B7" s="388"/>
      <c r="C7" s="389">
        <f>'数据-取费表'!B2</f>
        <v>43516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64" t="s">
        <v>2351</v>
      </c>
      <c r="Q7" s="3072"/>
      <c r="R7" s="749" t="s">
        <v>25</v>
      </c>
      <c r="S7" s="750">
        <f t="shared" ref="S7:S15" si="0">F7</f>
        <v>0</v>
      </c>
      <c r="T7" s="749" t="s">
        <v>25</v>
      </c>
      <c r="U7" s="750">
        <f t="shared" ref="U7:U15" si="1">H7</f>
        <v>0</v>
      </c>
      <c r="V7" s="749" t="s">
        <v>25</v>
      </c>
      <c r="W7" s="750">
        <f t="shared" ref="W7:W15" si="2">J7</f>
        <v>0</v>
      </c>
      <c r="X7" s="751"/>
      <c r="Y7" s="3064" t="s">
        <v>2351</v>
      </c>
      <c r="Z7" s="3065"/>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64" t="s">
        <v>2354</v>
      </c>
      <c r="Q8" s="3065"/>
      <c r="R8" s="749" t="s">
        <v>25</v>
      </c>
      <c r="S8" s="750">
        <f t="shared" si="0"/>
        <v>100</v>
      </c>
      <c r="T8" s="749" t="s">
        <v>25</v>
      </c>
      <c r="U8" s="750">
        <f t="shared" si="1"/>
        <v>100</v>
      </c>
      <c r="V8" s="749" t="s">
        <v>25</v>
      </c>
      <c r="W8" s="750">
        <f t="shared" si="2"/>
        <v>100</v>
      </c>
      <c r="X8" s="751"/>
      <c r="Y8" s="3064" t="s">
        <v>2354</v>
      </c>
      <c r="Z8" s="3065"/>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50" t="s">
        <v>2357</v>
      </c>
      <c r="Q9" s="1885"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50"/>
      <c r="Q10" s="1885"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50"/>
      <c r="Q11" s="1885"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50"/>
      <c r="Q12" s="1885">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50"/>
      <c r="Q13" s="1885">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50"/>
      <c r="Q14" s="1885">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57">
      <c r="A15" s="419" t="s">
        <v>2361</v>
      </c>
      <c r="B15" s="26" t="s">
        <v>2493</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53" t="s">
        <v>2362</v>
      </c>
      <c r="Q15" s="1897" t="str">
        <f t="shared" si="6"/>
        <v>产业集聚程度</v>
      </c>
      <c r="R15" s="753" t="s">
        <v>25</v>
      </c>
      <c r="S15" s="754">
        <f t="shared" si="0"/>
        <v>100</v>
      </c>
      <c r="T15" s="753" t="s">
        <v>25</v>
      </c>
      <c r="U15" s="754">
        <f t="shared" si="1"/>
        <v>100</v>
      </c>
      <c r="V15" s="753" t="s">
        <v>25</v>
      </c>
      <c r="W15" s="754">
        <f t="shared" si="2"/>
        <v>100</v>
      </c>
      <c r="X15" s="1898"/>
      <c r="Y15" s="3053" t="s">
        <v>2362</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54"/>
      <c r="Q16" s="1897"/>
      <c r="R16" s="753"/>
      <c r="S16" s="754"/>
      <c r="T16" s="753"/>
      <c r="U16" s="754"/>
      <c r="V16" s="753"/>
      <c r="W16" s="754"/>
      <c r="X16" s="1898"/>
      <c r="Y16" s="3054"/>
      <c r="Z16" s="1900"/>
      <c r="AA16" s="1901">
        <v>1</v>
      </c>
      <c r="AB16" s="1901">
        <v>1</v>
      </c>
      <c r="AC16" s="1901">
        <v>1</v>
      </c>
    </row>
    <row r="17" spans="1:29" ht="85.5">
      <c r="A17" s="408"/>
      <c r="B17" s="431" t="s">
        <v>1747</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54"/>
      <c r="Q17" s="1897" t="str">
        <f>B17</f>
        <v>交通便捷度</v>
      </c>
      <c r="R17" s="753" t="s">
        <v>25</v>
      </c>
      <c r="S17" s="754">
        <f>F17</f>
        <v>100</v>
      </c>
      <c r="T17" s="753" t="s">
        <v>25</v>
      </c>
      <c r="U17" s="754">
        <f>H17</f>
        <v>100</v>
      </c>
      <c r="V17" s="753" t="s">
        <v>25</v>
      </c>
      <c r="W17" s="754">
        <f>J17</f>
        <v>100</v>
      </c>
      <c r="X17" s="1898"/>
      <c r="Y17" s="3054"/>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51"/>
      <c r="P18" s="3054"/>
      <c r="Q18" s="1897"/>
      <c r="R18" s="753"/>
      <c r="S18" s="754"/>
      <c r="T18" s="753"/>
      <c r="U18" s="754"/>
      <c r="V18" s="753"/>
      <c r="W18" s="754"/>
      <c r="X18" s="1898"/>
      <c r="Y18" s="3054"/>
      <c r="Z18" s="1900"/>
      <c r="AA18" s="1901">
        <v>1</v>
      </c>
      <c r="AB18" s="1901">
        <v>1</v>
      </c>
      <c r="AC18" s="1901">
        <v>1</v>
      </c>
    </row>
    <row r="19" spans="1:29" ht="42.75">
      <c r="A19" s="408"/>
      <c r="B19" s="615" t="s">
        <v>2477</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54"/>
      <c r="Q19" s="1897" t="str">
        <f>B19</f>
        <v>公共配套设施</v>
      </c>
      <c r="R19" s="753" t="s">
        <v>25</v>
      </c>
      <c r="S19" s="754">
        <f>F19</f>
        <v>100</v>
      </c>
      <c r="T19" s="753" t="s">
        <v>25</v>
      </c>
      <c r="U19" s="754">
        <f>H19</f>
        <v>100</v>
      </c>
      <c r="V19" s="753" t="s">
        <v>25</v>
      </c>
      <c r="W19" s="754">
        <f>J19</f>
        <v>100</v>
      </c>
      <c r="X19" s="1898"/>
      <c r="Y19" s="3054"/>
      <c r="Z19" s="1900" t="str">
        <f>Q19</f>
        <v>公共配套设施</v>
      </c>
      <c r="AA19" s="1901">
        <f t="shared" si="3"/>
        <v>1</v>
      </c>
      <c r="AB19" s="1901">
        <f t="shared" si="4"/>
        <v>1</v>
      </c>
      <c r="AC19" s="1901">
        <f t="shared" si="5"/>
        <v>1</v>
      </c>
    </row>
    <row r="20" spans="1:29" ht="15">
      <c r="A20" s="408"/>
      <c r="B20" s="616"/>
      <c r="C20" s="426"/>
      <c r="D20" s="427"/>
      <c r="E20" s="428"/>
      <c r="F20" s="429"/>
      <c r="G20" s="2404"/>
      <c r="H20" s="427"/>
      <c r="I20" s="428"/>
      <c r="J20" s="427"/>
      <c r="K20" s="599"/>
      <c r="L20" s="1252"/>
      <c r="M20" s="1243"/>
      <c r="N20" s="1243"/>
      <c r="O20" s="1251"/>
      <c r="P20" s="3054"/>
      <c r="Q20" s="1897"/>
      <c r="R20" s="753"/>
      <c r="S20" s="754"/>
      <c r="T20" s="753"/>
      <c r="U20" s="754"/>
      <c r="V20" s="753"/>
      <c r="W20" s="754"/>
      <c r="X20" s="1898"/>
      <c r="Y20" s="3054"/>
      <c r="Z20" s="1900"/>
      <c r="AA20" s="1901">
        <v>1</v>
      </c>
      <c r="AB20" s="1901">
        <v>1</v>
      </c>
      <c r="AC20" s="1901">
        <v>1</v>
      </c>
    </row>
    <row r="21" spans="1:29" ht="28.5">
      <c r="A21" s="408"/>
      <c r="B21" s="617" t="s">
        <v>2478</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54"/>
      <c r="Q21" s="1897" t="str">
        <f>B21</f>
        <v>基础设施水平</v>
      </c>
      <c r="R21" s="753" t="s">
        <v>25</v>
      </c>
      <c r="S21" s="754">
        <f>F21</f>
        <v>100</v>
      </c>
      <c r="T21" s="753" t="s">
        <v>25</v>
      </c>
      <c r="U21" s="754">
        <f>H21</f>
        <v>100</v>
      </c>
      <c r="V21" s="753" t="s">
        <v>25</v>
      </c>
      <c r="W21" s="754">
        <f>J21</f>
        <v>100</v>
      </c>
      <c r="X21" s="1898"/>
      <c r="Y21" s="3054"/>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51"/>
      <c r="P22" s="3054"/>
      <c r="Q22" s="1897"/>
      <c r="R22" s="753"/>
      <c r="S22" s="754"/>
      <c r="T22" s="753"/>
      <c r="U22" s="754"/>
      <c r="V22" s="753"/>
      <c r="W22" s="754"/>
      <c r="X22" s="1898"/>
      <c r="Y22" s="3054"/>
      <c r="Z22" s="1900"/>
      <c r="AA22" s="1901">
        <v>1</v>
      </c>
      <c r="AB22" s="1901">
        <v>1</v>
      </c>
      <c r="AC22" s="1901">
        <v>1</v>
      </c>
    </row>
    <row r="23" spans="1:29" ht="71.25">
      <c r="A23" s="408"/>
      <c r="B23" s="431" t="s">
        <v>2479</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54"/>
      <c r="Q23" s="1897" t="str">
        <f>B23</f>
        <v>环境质量</v>
      </c>
      <c r="R23" s="753" t="s">
        <v>25</v>
      </c>
      <c r="S23" s="754">
        <f>F23</f>
        <v>100</v>
      </c>
      <c r="T23" s="753" t="s">
        <v>25</v>
      </c>
      <c r="U23" s="754">
        <f>H23</f>
        <v>100</v>
      </c>
      <c r="V23" s="753" t="s">
        <v>25</v>
      </c>
      <c r="W23" s="754">
        <f>J23</f>
        <v>100</v>
      </c>
      <c r="X23" s="1898"/>
      <c r="Y23" s="3054"/>
      <c r="Z23" s="1900" t="str">
        <f>Q23</f>
        <v>环境质量</v>
      </c>
      <c r="AA23" s="1901">
        <f t="shared" si="3"/>
        <v>1</v>
      </c>
      <c r="AB23" s="1901">
        <f t="shared" si="4"/>
        <v>1</v>
      </c>
      <c r="AC23" s="1901">
        <f t="shared" si="5"/>
        <v>1</v>
      </c>
    </row>
    <row r="24" spans="1:29" ht="15">
      <c r="A24" s="408"/>
      <c r="B24" s="2408"/>
      <c r="C24" s="426"/>
      <c r="D24" s="427"/>
      <c r="E24" s="428"/>
      <c r="F24" s="429"/>
      <c r="G24" s="2404"/>
      <c r="H24" s="427"/>
      <c r="I24" s="428"/>
      <c r="J24" s="427"/>
      <c r="K24" s="599"/>
      <c r="L24" s="1252"/>
      <c r="M24" s="1243"/>
      <c r="N24" s="1243"/>
      <c r="O24" s="1251"/>
      <c r="P24" s="3054"/>
      <c r="Q24" s="1897"/>
      <c r="R24" s="753"/>
      <c r="S24" s="754"/>
      <c r="T24" s="753"/>
      <c r="U24" s="754"/>
      <c r="V24" s="753"/>
      <c r="W24" s="754"/>
      <c r="X24" s="1898"/>
      <c r="Y24" s="3054"/>
      <c r="Z24" s="1900"/>
      <c r="AA24" s="1901">
        <v>1</v>
      </c>
      <c r="AB24" s="1901">
        <v>1</v>
      </c>
      <c r="AC24" s="1901">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54"/>
      <c r="Q25" s="1897">
        <f>B25</f>
        <v>111</v>
      </c>
      <c r="R25" s="753" t="s">
        <v>25</v>
      </c>
      <c r="S25" s="754">
        <f>F25</f>
        <v>100</v>
      </c>
      <c r="T25" s="753" t="s">
        <v>25</v>
      </c>
      <c r="U25" s="754">
        <f>H25</f>
        <v>100</v>
      </c>
      <c r="V25" s="753" t="s">
        <v>25</v>
      </c>
      <c r="W25" s="754">
        <f>J25</f>
        <v>100</v>
      </c>
      <c r="X25" s="1898"/>
      <c r="Y25" s="3054"/>
      <c r="Z25" s="1900">
        <f>Q25</f>
        <v>111</v>
      </c>
      <c r="AA25" s="1901">
        <f t="shared" si="3"/>
        <v>1</v>
      </c>
      <c r="AB25" s="1901">
        <f t="shared" si="4"/>
        <v>1</v>
      </c>
      <c r="AC25" s="1901">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54"/>
      <c r="Q26" s="1897">
        <f t="shared" ref="Q26:Q40" si="11">B26</f>
        <v>111</v>
      </c>
      <c r="R26" s="753" t="s">
        <v>25</v>
      </c>
      <c r="S26" s="754">
        <f>F26</f>
        <v>100</v>
      </c>
      <c r="T26" s="753" t="s">
        <v>25</v>
      </c>
      <c r="U26" s="754">
        <f>H26</f>
        <v>100</v>
      </c>
      <c r="V26" s="753" t="s">
        <v>25</v>
      </c>
      <c r="W26" s="754">
        <f>J26</f>
        <v>100</v>
      </c>
      <c r="X26" s="1898"/>
      <c r="Y26" s="3054"/>
      <c r="Z26" s="1900">
        <f>Q26</f>
        <v>111</v>
      </c>
      <c r="AA26" s="1901">
        <f t="shared" si="3"/>
        <v>1</v>
      </c>
      <c r="AB26" s="1901">
        <f t="shared" si="4"/>
        <v>1</v>
      </c>
      <c r="AC26" s="1901">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54"/>
      <c r="Q27" s="1885">
        <f t="shared" si="11"/>
        <v>111</v>
      </c>
      <c r="R27" s="749" t="s">
        <v>25</v>
      </c>
      <c r="S27" s="750">
        <f>F27</f>
        <v>100</v>
      </c>
      <c r="T27" s="749" t="s">
        <v>25</v>
      </c>
      <c r="U27" s="750">
        <f>H27</f>
        <v>100</v>
      </c>
      <c r="V27" s="749" t="s">
        <v>25</v>
      </c>
      <c r="W27" s="750">
        <f>J27</f>
        <v>100</v>
      </c>
      <c r="X27" s="751"/>
      <c r="Y27" s="3054"/>
      <c r="Z27" s="23">
        <f>Q27</f>
        <v>111</v>
      </c>
      <c r="AA27" s="1901">
        <f>D27/F27</f>
        <v>1</v>
      </c>
      <c r="AB27" s="1901">
        <f>D27/H27</f>
        <v>1</v>
      </c>
      <c r="AC27" s="1901">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54"/>
      <c r="Q28" s="1897">
        <f t="shared" si="11"/>
        <v>111</v>
      </c>
      <c r="R28" s="753" t="s">
        <v>25</v>
      </c>
      <c r="S28" s="754">
        <f t="shared" ref="S28:S40" si="12">F28</f>
        <v>100</v>
      </c>
      <c r="T28" s="753" t="s">
        <v>25</v>
      </c>
      <c r="U28" s="754">
        <f t="shared" ref="U28:U40" si="13">H28</f>
        <v>100</v>
      </c>
      <c r="V28" s="753" t="s">
        <v>25</v>
      </c>
      <c r="W28" s="754">
        <f t="shared" ref="W28:W40" si="14">J28</f>
        <v>100</v>
      </c>
      <c r="X28" s="1898"/>
      <c r="Y28" s="3054"/>
      <c r="Z28" s="1900">
        <f t="shared" ref="Z28:Z40" si="15">Q28</f>
        <v>111</v>
      </c>
      <c r="AA28" s="1901">
        <f t="shared" si="3"/>
        <v>1</v>
      </c>
      <c r="AB28" s="1901">
        <f t="shared" si="4"/>
        <v>1</v>
      </c>
      <c r="AC28" s="1901">
        <f t="shared" si="5"/>
        <v>1</v>
      </c>
    </row>
    <row r="29" spans="1:29" ht="28.5">
      <c r="A29" s="447" t="s">
        <v>2366</v>
      </c>
      <c r="B29" s="28" t="s">
        <v>2482</v>
      </c>
      <c r="C29" s="2473" t="s">
        <v>2494</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102" t="s">
        <v>2368</v>
      </c>
      <c r="Q29" s="1897" t="str">
        <f t="shared" si="11"/>
        <v>建筑类型</v>
      </c>
      <c r="R29" s="753" t="s">
        <v>25</v>
      </c>
      <c r="S29" s="754">
        <f t="shared" si="12"/>
        <v>100</v>
      </c>
      <c r="T29" s="753" t="s">
        <v>25</v>
      </c>
      <c r="U29" s="754">
        <f t="shared" si="13"/>
        <v>100</v>
      </c>
      <c r="V29" s="753" t="s">
        <v>25</v>
      </c>
      <c r="W29" s="754">
        <f t="shared" si="14"/>
        <v>100</v>
      </c>
      <c r="X29" s="1898"/>
      <c r="Y29" s="3058" t="s">
        <v>2368</v>
      </c>
      <c r="Z29" s="1900" t="str">
        <f t="shared" si="15"/>
        <v>建筑类型</v>
      </c>
      <c r="AA29" s="1901">
        <f t="shared" si="3"/>
        <v>1</v>
      </c>
      <c r="AB29" s="1901">
        <f t="shared" si="4"/>
        <v>1</v>
      </c>
      <c r="AC29" s="1901">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58"/>
      <c r="Q30" s="755" t="str">
        <f t="shared" si="11"/>
        <v>项目建筑规模</v>
      </c>
      <c r="R30" s="756" t="s">
        <v>25</v>
      </c>
      <c r="S30" s="757" t="e">
        <f t="shared" si="12"/>
        <v>#N/A</v>
      </c>
      <c r="T30" s="756" t="s">
        <v>25</v>
      </c>
      <c r="U30" s="757" t="e">
        <f t="shared" si="13"/>
        <v>#N/A</v>
      </c>
      <c r="V30" s="756" t="s">
        <v>25</v>
      </c>
      <c r="W30" s="757" t="e">
        <f t="shared" si="14"/>
        <v>#N/A</v>
      </c>
      <c r="X30" s="758"/>
      <c r="Y30" s="3058"/>
      <c r="Z30" s="759" t="str">
        <f t="shared" si="15"/>
        <v>项目建筑规模</v>
      </c>
      <c r="AA30" s="1901" t="e">
        <f t="shared" si="3"/>
        <v>#N/A</v>
      </c>
      <c r="AB30" s="1901" t="e">
        <f t="shared" si="4"/>
        <v>#N/A</v>
      </c>
      <c r="AC30" s="1901"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58"/>
      <c r="Q31" s="1897" t="str">
        <f t="shared" si="11"/>
        <v>建筑结构</v>
      </c>
      <c r="R31" s="753" t="s">
        <v>25</v>
      </c>
      <c r="S31" s="754">
        <f t="shared" si="12"/>
        <v>100</v>
      </c>
      <c r="T31" s="753" t="s">
        <v>25</v>
      </c>
      <c r="U31" s="754">
        <f t="shared" si="13"/>
        <v>100</v>
      </c>
      <c r="V31" s="753" t="s">
        <v>25</v>
      </c>
      <c r="W31" s="754">
        <f t="shared" si="14"/>
        <v>100</v>
      </c>
      <c r="X31" s="1898"/>
      <c r="Y31" s="3058"/>
      <c r="Z31" s="1900" t="str">
        <f t="shared" si="15"/>
        <v>建筑结构</v>
      </c>
      <c r="AA31" s="1901">
        <f t="shared" si="3"/>
        <v>1</v>
      </c>
      <c r="AB31" s="1901">
        <f t="shared" si="4"/>
        <v>1</v>
      </c>
      <c r="AC31" s="1901">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58"/>
      <c r="Q32" s="1897" t="str">
        <f t="shared" si="11"/>
        <v>公共部分装修</v>
      </c>
      <c r="R32" s="753" t="s">
        <v>25</v>
      </c>
      <c r="S32" s="754">
        <f t="shared" si="12"/>
        <v>100</v>
      </c>
      <c r="T32" s="753" t="s">
        <v>25</v>
      </c>
      <c r="U32" s="754">
        <f t="shared" si="13"/>
        <v>100</v>
      </c>
      <c r="V32" s="753" t="s">
        <v>25</v>
      </c>
      <c r="W32" s="754">
        <f t="shared" si="14"/>
        <v>100</v>
      </c>
      <c r="X32" s="1898"/>
      <c r="Y32" s="3058"/>
      <c r="Z32" s="1900" t="str">
        <f t="shared" si="15"/>
        <v>公共部分装修</v>
      </c>
      <c r="AA32" s="1901">
        <f t="shared" si="3"/>
        <v>1</v>
      </c>
      <c r="AB32" s="1901">
        <f t="shared" si="4"/>
        <v>1</v>
      </c>
      <c r="AC32" s="1901">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58"/>
      <c r="Q33" s="1897" t="str">
        <f t="shared" si="11"/>
        <v>成新度</v>
      </c>
      <c r="R33" s="753" t="s">
        <v>25</v>
      </c>
      <c r="S33" s="754" t="e">
        <f t="shared" si="12"/>
        <v>#N/A</v>
      </c>
      <c r="T33" s="753" t="s">
        <v>25</v>
      </c>
      <c r="U33" s="754" t="e">
        <f t="shared" si="13"/>
        <v>#N/A</v>
      </c>
      <c r="V33" s="753" t="s">
        <v>25</v>
      </c>
      <c r="W33" s="754" t="e">
        <f t="shared" si="14"/>
        <v>#N/A</v>
      </c>
      <c r="X33" s="1898"/>
      <c r="Y33" s="3058"/>
      <c r="Z33" s="1900" t="str">
        <f t="shared" si="15"/>
        <v>成新度</v>
      </c>
      <c r="AA33" s="1901" t="e">
        <f t="shared" si="3"/>
        <v>#N/A</v>
      </c>
      <c r="AB33" s="1901" t="e">
        <f t="shared" si="4"/>
        <v>#N/A</v>
      </c>
      <c r="AC33" s="1901"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58"/>
      <c r="Q34" s="1885" t="str">
        <f t="shared" si="11"/>
        <v>物业管理</v>
      </c>
      <c r="R34" s="749" t="s">
        <v>25</v>
      </c>
      <c r="S34" s="750">
        <f t="shared" si="12"/>
        <v>100</v>
      </c>
      <c r="T34" s="749" t="s">
        <v>25</v>
      </c>
      <c r="U34" s="750">
        <f t="shared" si="13"/>
        <v>100</v>
      </c>
      <c r="V34" s="749" t="s">
        <v>25</v>
      </c>
      <c r="W34" s="750">
        <f t="shared" si="14"/>
        <v>100</v>
      </c>
      <c r="X34" s="751"/>
      <c r="Y34" s="3058"/>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58" t="s">
        <v>2368</v>
      </c>
      <c r="Q35" s="1897" t="str">
        <f t="shared" si="11"/>
        <v>市政基础设施</v>
      </c>
      <c r="R35" s="753" t="s">
        <v>25</v>
      </c>
      <c r="S35" s="754">
        <f t="shared" si="12"/>
        <v>100</v>
      </c>
      <c r="T35" s="753" t="s">
        <v>25</v>
      </c>
      <c r="U35" s="754">
        <f t="shared" si="13"/>
        <v>100</v>
      </c>
      <c r="V35" s="753" t="s">
        <v>25</v>
      </c>
      <c r="W35" s="754">
        <f t="shared" si="14"/>
        <v>100</v>
      </c>
      <c r="X35" s="1898"/>
      <c r="Y35" s="3058" t="s">
        <v>2368</v>
      </c>
      <c r="Z35" s="1900" t="str">
        <f t="shared" si="15"/>
        <v>市政基础设施</v>
      </c>
      <c r="AA35" s="1901">
        <f t="shared" si="3"/>
        <v>1</v>
      </c>
      <c r="AB35" s="1901">
        <f t="shared" si="4"/>
        <v>1</v>
      </c>
      <c r="AC35" s="1901">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58"/>
      <c r="Q36" s="1897" t="str">
        <f t="shared" si="11"/>
        <v>内部装修</v>
      </c>
      <c r="R36" s="753" t="s">
        <v>25</v>
      </c>
      <c r="S36" s="754">
        <f t="shared" si="12"/>
        <v>100</v>
      </c>
      <c r="T36" s="753" t="s">
        <v>25</v>
      </c>
      <c r="U36" s="754">
        <f t="shared" si="13"/>
        <v>100</v>
      </c>
      <c r="V36" s="753" t="s">
        <v>25</v>
      </c>
      <c r="W36" s="754">
        <f t="shared" si="14"/>
        <v>100</v>
      </c>
      <c r="X36" s="1898"/>
      <c r="Y36" s="3058"/>
      <c r="Z36" s="1900" t="str">
        <f t="shared" si="15"/>
        <v>内部装修</v>
      </c>
      <c r="AA36" s="1901">
        <f t="shared" si="3"/>
        <v>1</v>
      </c>
      <c r="AB36" s="1901">
        <f t="shared" si="4"/>
        <v>1</v>
      </c>
      <c r="AC36" s="1901">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58"/>
      <c r="Q37" s="1897" t="str">
        <f t="shared" si="11"/>
        <v>内部装修状况</v>
      </c>
      <c r="R37" s="753" t="s">
        <v>25</v>
      </c>
      <c r="S37" s="754">
        <f t="shared" si="12"/>
        <v>0</v>
      </c>
      <c r="T37" s="753" t="s">
        <v>25</v>
      </c>
      <c r="U37" s="754">
        <f t="shared" si="13"/>
        <v>0</v>
      </c>
      <c r="V37" s="753" t="s">
        <v>25</v>
      </c>
      <c r="W37" s="754">
        <f t="shared" si="14"/>
        <v>0</v>
      </c>
      <c r="X37" s="1898"/>
      <c r="Y37" s="3058"/>
      <c r="Z37" s="1900" t="str">
        <f t="shared" si="15"/>
        <v>内部装修状况</v>
      </c>
      <c r="AA37" s="1901" t="e">
        <f t="shared" si="3"/>
        <v>#DIV/0!</v>
      </c>
      <c r="AB37" s="1901" t="e">
        <f t="shared" si="4"/>
        <v>#DIV/0!</v>
      </c>
      <c r="AC37" s="1901"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58"/>
      <c r="Q38" s="755">
        <f t="shared" si="11"/>
        <v>111</v>
      </c>
      <c r="R38" s="756" t="s">
        <v>25</v>
      </c>
      <c r="S38" s="757">
        <f t="shared" si="12"/>
        <v>100</v>
      </c>
      <c r="T38" s="756" t="s">
        <v>25</v>
      </c>
      <c r="U38" s="757">
        <f t="shared" si="13"/>
        <v>100</v>
      </c>
      <c r="V38" s="756" t="s">
        <v>25</v>
      </c>
      <c r="W38" s="757">
        <f t="shared" si="14"/>
        <v>100</v>
      </c>
      <c r="X38" s="758"/>
      <c r="Y38" s="3058"/>
      <c r="Z38" s="759">
        <f t="shared" si="15"/>
        <v>111</v>
      </c>
      <c r="AA38" s="1901">
        <f t="shared" si="3"/>
        <v>1</v>
      </c>
      <c r="AB38" s="1901">
        <f t="shared" si="4"/>
        <v>1</v>
      </c>
      <c r="AC38" s="1901">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58"/>
      <c r="Q39" s="1897">
        <f t="shared" si="11"/>
        <v>111</v>
      </c>
      <c r="R39" s="753" t="s">
        <v>25</v>
      </c>
      <c r="S39" s="754">
        <f t="shared" si="12"/>
        <v>100</v>
      </c>
      <c r="T39" s="753" t="s">
        <v>25</v>
      </c>
      <c r="U39" s="754">
        <f t="shared" si="13"/>
        <v>100</v>
      </c>
      <c r="V39" s="753" t="s">
        <v>25</v>
      </c>
      <c r="W39" s="754">
        <f t="shared" si="14"/>
        <v>100</v>
      </c>
      <c r="X39" s="1898"/>
      <c r="Y39" s="3058"/>
      <c r="Z39" s="1900">
        <f t="shared" si="15"/>
        <v>111</v>
      </c>
      <c r="AA39" s="1901">
        <f t="shared" si="3"/>
        <v>1</v>
      </c>
      <c r="AB39" s="1901">
        <f t="shared" si="4"/>
        <v>1</v>
      </c>
      <c r="AC39" s="1901">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59"/>
      <c r="Q40" s="1897">
        <f t="shared" si="11"/>
        <v>111</v>
      </c>
      <c r="R40" s="753" t="s">
        <v>25</v>
      </c>
      <c r="S40" s="754">
        <f t="shared" si="12"/>
        <v>100</v>
      </c>
      <c r="T40" s="753" t="s">
        <v>25</v>
      </c>
      <c r="U40" s="754">
        <f t="shared" si="13"/>
        <v>100</v>
      </c>
      <c r="V40" s="753" t="s">
        <v>25</v>
      </c>
      <c r="W40" s="754">
        <f t="shared" si="14"/>
        <v>100</v>
      </c>
      <c r="X40" s="1898"/>
      <c r="Y40" s="3059"/>
      <c r="Z40" s="1900">
        <f t="shared" si="15"/>
        <v>111</v>
      </c>
      <c r="AA40" s="1901">
        <f t="shared" si="3"/>
        <v>1</v>
      </c>
      <c r="AB40" s="1901">
        <f t="shared" si="4"/>
        <v>1</v>
      </c>
      <c r="AC40" s="1901">
        <f t="shared" si="5"/>
        <v>1</v>
      </c>
    </row>
    <row r="41" spans="1:29" ht="15">
      <c r="A41" s="460" t="s">
        <v>2380</v>
      </c>
      <c r="B41" s="461"/>
      <c r="C41" s="1501" t="s">
        <v>1</v>
      </c>
      <c r="D41" s="1502"/>
      <c r="E41" s="1503"/>
      <c r="F41" s="1504"/>
      <c r="G41" s="1505"/>
      <c r="H41" s="1506"/>
      <c r="I41" s="1503"/>
      <c r="J41" s="1506"/>
      <c r="K41" s="762"/>
      <c r="L41" s="1255"/>
      <c r="M41" s="1256"/>
      <c r="N41" s="1243"/>
      <c r="O41" s="1256"/>
      <c r="P41" s="3050" t="str">
        <f>A41</f>
        <v>成交单价（元/平方米）</v>
      </c>
      <c r="Q41" s="3050"/>
      <c r="R41" s="3046">
        <f>E41</f>
        <v>0</v>
      </c>
      <c r="S41" s="3046"/>
      <c r="T41" s="3046">
        <f>G41</f>
        <v>0</v>
      </c>
      <c r="U41" s="3046"/>
      <c r="V41" s="3046">
        <f>I41</f>
        <v>0</v>
      </c>
      <c r="W41" s="3046"/>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50" t="str">
        <f>A42</f>
        <v>比较价值（元/平方米）</v>
      </c>
      <c r="Q42" s="3050"/>
      <c r="R42" s="3046" t="e">
        <f>IF(E1="售价",ROUND(PRODUCT(R41,AA7:AA40),0),ROUND(PRODUCT(R41,AA7:AA40),1))</f>
        <v>#DIV/0!</v>
      </c>
      <c r="S42" s="3046"/>
      <c r="T42" s="3046" t="e">
        <f>IF(E1="售价",ROUND(PRODUCT(T41,AB7:AB40),0),ROUND(PRODUCT(T41,AB7:AB40),1))</f>
        <v>#DIV/0!</v>
      </c>
      <c r="U42" s="3046"/>
      <c r="V42" s="3046" t="e">
        <f>IF(E1="售价",ROUND(PRODUCT(V41,AC7:AC40),0),ROUND(PRODUCT(V41,AC7:AC40),1))</f>
        <v>#DIV/0!</v>
      </c>
      <c r="W42" s="3046"/>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47" t="str">
        <f>A43</f>
        <v>估价对象XX用房的比较价值（楼面单价，元/平方米）</v>
      </c>
      <c r="Q43" s="3048"/>
      <c r="R43" s="3049" t="e">
        <f>IF(E1="售价",ROUND(AVERAGE(R42:V42),0),ROUND(AVERAGE(R42:V42),1))</f>
        <v>#DIV/0!</v>
      </c>
      <c r="S43" s="3049"/>
      <c r="T43" s="3049"/>
      <c r="U43" s="3049"/>
      <c r="V43" s="3049"/>
      <c r="W43" s="304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2019-2</v>
      </c>
      <c r="D52" s="1678">
        <f>EDATE(C52,-1)</f>
        <v>43466</v>
      </c>
      <c r="E52" s="1679">
        <f t="shared" ref="E52:O52" si="16">EDATE(D52,-1)</f>
        <v>43435</v>
      </c>
      <c r="F52" s="1679">
        <f t="shared" si="16"/>
        <v>43405</v>
      </c>
      <c r="G52" s="1679">
        <f t="shared" si="16"/>
        <v>43374</v>
      </c>
      <c r="H52" s="1679">
        <f t="shared" si="16"/>
        <v>43344</v>
      </c>
      <c r="I52" s="1679">
        <f t="shared" si="16"/>
        <v>43313</v>
      </c>
      <c r="J52" s="1679">
        <f t="shared" si="16"/>
        <v>43282</v>
      </c>
      <c r="K52" s="1679">
        <f t="shared" si="16"/>
        <v>43252</v>
      </c>
      <c r="L52" s="1679">
        <f t="shared" si="16"/>
        <v>43221</v>
      </c>
      <c r="M52" s="1679">
        <f t="shared" si="16"/>
        <v>43191</v>
      </c>
      <c r="N52" s="1679">
        <f t="shared" si="16"/>
        <v>43160</v>
      </c>
      <c r="O52" s="1679">
        <f t="shared" si="16"/>
        <v>43132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29"/>
      <c r="E1" s="2382"/>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1</v>
      </c>
      <c r="E3" s="1091" t="s">
        <v>2504</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2337</v>
      </c>
      <c r="B4" s="381"/>
      <c r="C4" s="3077" t="s">
        <v>2338</v>
      </c>
      <c r="D4" s="3078"/>
      <c r="E4" s="3079" t="s">
        <v>2339</v>
      </c>
      <c r="F4" s="3080"/>
      <c r="G4" s="3077" t="s">
        <v>2340</v>
      </c>
      <c r="H4" s="3078"/>
      <c r="I4" s="3077" t="s">
        <v>2341</v>
      </c>
      <c r="J4" s="3078"/>
      <c r="K4" s="594" t="s">
        <v>2342</v>
      </c>
      <c r="L4" s="1513"/>
      <c r="M4" s="425"/>
      <c r="N4" s="425"/>
      <c r="O4" s="425"/>
      <c r="P4" s="3081" t="s">
        <v>2343</v>
      </c>
      <c r="Q4" s="3082"/>
      <c r="R4" s="3066" t="s">
        <v>2339</v>
      </c>
      <c r="S4" s="3067"/>
      <c r="T4" s="3066" t="s">
        <v>2340</v>
      </c>
      <c r="U4" s="3067"/>
      <c r="V4" s="3087" t="s">
        <v>2341</v>
      </c>
      <c r="W4" s="3087"/>
      <c r="X4" s="1898"/>
      <c r="Y4" s="3066" t="s">
        <v>2343</v>
      </c>
      <c r="Z4" s="3067"/>
      <c r="AA4" s="3074" t="s">
        <v>2339</v>
      </c>
      <c r="AB4" s="3075" t="s">
        <v>2340</v>
      </c>
      <c r="AC4" s="3074" t="s">
        <v>2341</v>
      </c>
    </row>
    <row r="5" spans="1:29" ht="15">
      <c r="A5" s="383"/>
      <c r="B5" s="384"/>
      <c r="C5" s="3091" t="s">
        <v>2344</v>
      </c>
      <c r="D5" s="3063"/>
      <c r="E5" s="3090" t="s">
        <v>2345</v>
      </c>
      <c r="F5" s="3089"/>
      <c r="G5" s="3091" t="s">
        <v>2346</v>
      </c>
      <c r="H5" s="3063"/>
      <c r="I5" s="3091" t="s">
        <v>2347</v>
      </c>
      <c r="J5" s="3063"/>
      <c r="K5" s="594"/>
      <c r="L5" s="1513"/>
      <c r="M5" s="425"/>
      <c r="N5" s="425"/>
      <c r="O5" s="425"/>
      <c r="P5" s="3083"/>
      <c r="Q5" s="3084"/>
      <c r="R5" s="3068"/>
      <c r="S5" s="3069"/>
      <c r="T5" s="3068"/>
      <c r="U5" s="3069"/>
      <c r="V5" s="3087"/>
      <c r="W5" s="3087"/>
      <c r="X5" s="1898"/>
      <c r="Y5" s="3068"/>
      <c r="Z5" s="3069"/>
      <c r="AA5" s="3075"/>
      <c r="AB5" s="3075"/>
      <c r="AC5" s="3075"/>
    </row>
    <row r="6" spans="1:29" ht="15.75" thickBot="1">
      <c r="A6" s="385"/>
      <c r="B6" s="386"/>
      <c r="C6" s="3092" t="s">
        <v>2348</v>
      </c>
      <c r="D6" s="3061"/>
      <c r="E6" s="3093" t="s">
        <v>2348</v>
      </c>
      <c r="F6" s="3094"/>
      <c r="G6" s="3092" t="s">
        <v>2348</v>
      </c>
      <c r="H6" s="3061"/>
      <c r="I6" s="3092" t="s">
        <v>2348</v>
      </c>
      <c r="J6" s="3061"/>
      <c r="K6" s="594" t="s">
        <v>2349</v>
      </c>
      <c r="L6" s="1513"/>
      <c r="M6" s="425"/>
      <c r="N6" s="425"/>
      <c r="O6" s="425"/>
      <c r="P6" s="3085"/>
      <c r="Q6" s="3086"/>
      <c r="R6" s="3068"/>
      <c r="S6" s="3069"/>
      <c r="T6" s="3070"/>
      <c r="U6" s="3071"/>
      <c r="V6" s="3087"/>
      <c r="W6" s="3087"/>
      <c r="X6" s="1898"/>
      <c r="Y6" s="3070"/>
      <c r="Z6" s="3071"/>
      <c r="AA6" s="3076"/>
      <c r="AB6" s="3076"/>
      <c r="AC6" s="3076"/>
    </row>
    <row r="7" spans="1:29" s="35" customFormat="1" ht="15.75" thickBot="1">
      <c r="A7" s="387" t="s">
        <v>2350</v>
      </c>
      <c r="B7" s="388"/>
      <c r="C7" s="389">
        <f>'数据-取费表'!B2</f>
        <v>43516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64" t="s">
        <v>2351</v>
      </c>
      <c r="Q7" s="3072"/>
      <c r="R7" s="749" t="s">
        <v>25</v>
      </c>
      <c r="S7" s="750">
        <f t="shared" ref="S7:S14" si="0">F7</f>
        <v>0</v>
      </c>
      <c r="T7" s="749" t="s">
        <v>25</v>
      </c>
      <c r="U7" s="750">
        <f t="shared" ref="U7:U14" si="1">H7</f>
        <v>0</v>
      </c>
      <c r="V7" s="749" t="s">
        <v>25</v>
      </c>
      <c r="W7" s="750">
        <f t="shared" ref="W7:W14" si="2">J7</f>
        <v>0</v>
      </c>
      <c r="X7" s="751"/>
      <c r="Y7" s="3064" t="s">
        <v>2351</v>
      </c>
      <c r="Z7" s="3065"/>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64" t="s">
        <v>2354</v>
      </c>
      <c r="Q8" s="3065"/>
      <c r="R8" s="749" t="s">
        <v>25</v>
      </c>
      <c r="S8" s="750">
        <f t="shared" si="0"/>
        <v>0</v>
      </c>
      <c r="T8" s="749" t="s">
        <v>25</v>
      </c>
      <c r="U8" s="750">
        <f t="shared" si="1"/>
        <v>0</v>
      </c>
      <c r="V8" s="749" t="s">
        <v>25</v>
      </c>
      <c r="W8" s="750">
        <f t="shared" si="2"/>
        <v>0</v>
      </c>
      <c r="X8" s="751"/>
      <c r="Y8" s="3064" t="s">
        <v>2354</v>
      </c>
      <c r="Z8" s="3065"/>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0" t="s">
        <v>2357</v>
      </c>
      <c r="Q9" s="1885" t="str">
        <f t="shared" ref="Q9:Q14" si="6">B9</f>
        <v>用途</v>
      </c>
      <c r="R9" s="749" t="s">
        <v>25</v>
      </c>
      <c r="S9" s="750">
        <f t="shared" si="0"/>
        <v>100</v>
      </c>
      <c r="T9" s="749" t="s">
        <v>25</v>
      </c>
      <c r="U9" s="750">
        <f t="shared" si="1"/>
        <v>100</v>
      </c>
      <c r="V9" s="749" t="s">
        <v>25</v>
      </c>
      <c r="W9" s="750">
        <f t="shared" si="2"/>
        <v>100</v>
      </c>
      <c r="X9" s="751"/>
      <c r="Y9" s="2876"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0"/>
      <c r="Q10" s="1885"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050"/>
      <c r="Q11" s="1885">
        <f t="shared" si="6"/>
        <v>111</v>
      </c>
      <c r="R11" s="749" t="s">
        <v>25</v>
      </c>
      <c r="S11" s="750">
        <f t="shared" si="0"/>
        <v>100</v>
      </c>
      <c r="T11" s="749" t="s">
        <v>25</v>
      </c>
      <c r="U11" s="750">
        <f t="shared" si="1"/>
        <v>100</v>
      </c>
      <c r="V11" s="749" t="s">
        <v>25</v>
      </c>
      <c r="W11" s="750">
        <f t="shared" si="2"/>
        <v>100</v>
      </c>
      <c r="X11" s="751"/>
      <c r="Y11" s="287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0"/>
      <c r="Q12" s="1885">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050"/>
      <c r="Q13" s="1885">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53" t="s">
        <v>2362</v>
      </c>
      <c r="Q14" s="1897" t="str">
        <f t="shared" si="6"/>
        <v>交通便捷度</v>
      </c>
      <c r="R14" s="753" t="s">
        <v>25</v>
      </c>
      <c r="S14" s="754">
        <f t="shared" si="0"/>
        <v>100</v>
      </c>
      <c r="T14" s="753" t="s">
        <v>25</v>
      </c>
      <c r="U14" s="754">
        <f t="shared" si="1"/>
        <v>100</v>
      </c>
      <c r="V14" s="753" t="s">
        <v>25</v>
      </c>
      <c r="W14" s="754">
        <f t="shared" si="2"/>
        <v>100</v>
      </c>
      <c r="X14" s="1898"/>
      <c r="Y14" s="3053" t="s">
        <v>2362</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54"/>
      <c r="Q15" s="1897"/>
      <c r="R15" s="753"/>
      <c r="S15" s="754"/>
      <c r="T15" s="753"/>
      <c r="U15" s="754"/>
      <c r="V15" s="753"/>
      <c r="W15" s="754"/>
      <c r="X15" s="1898"/>
      <c r="Y15" s="3054"/>
      <c r="Z15" s="1900"/>
      <c r="AA15" s="1901">
        <v>1</v>
      </c>
      <c r="AB15" s="1901">
        <v>1</v>
      </c>
      <c r="AC15" s="1901">
        <v>1</v>
      </c>
    </row>
    <row r="16" spans="1:29" ht="42.75">
      <c r="A16" s="383"/>
      <c r="B16" s="615" t="s">
        <v>2477</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54"/>
      <c r="Q16" s="1897" t="str">
        <f>B16</f>
        <v>公共配套设施</v>
      </c>
      <c r="R16" s="753" t="s">
        <v>25</v>
      </c>
      <c r="S16" s="754">
        <f>F16</f>
        <v>100</v>
      </c>
      <c r="T16" s="753" t="s">
        <v>25</v>
      </c>
      <c r="U16" s="754">
        <f>H16</f>
        <v>100</v>
      </c>
      <c r="V16" s="753" t="s">
        <v>25</v>
      </c>
      <c r="W16" s="754">
        <f>J16</f>
        <v>100</v>
      </c>
      <c r="X16" s="1898"/>
      <c r="Y16" s="3054"/>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54"/>
      <c r="Q17" s="1897"/>
      <c r="R17" s="753"/>
      <c r="S17" s="754"/>
      <c r="T17" s="753"/>
      <c r="U17" s="754"/>
      <c r="V17" s="753"/>
      <c r="W17" s="754"/>
      <c r="X17" s="1898"/>
      <c r="Y17" s="3054"/>
      <c r="Z17" s="1900"/>
      <c r="AA17" s="1901">
        <v>1</v>
      </c>
      <c r="AB17" s="1901">
        <v>1</v>
      </c>
      <c r="AC17" s="1901">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54"/>
      <c r="Q18" s="1897" t="str">
        <f>B18</f>
        <v>基础设施水平</v>
      </c>
      <c r="R18" s="753" t="s">
        <v>25</v>
      </c>
      <c r="S18" s="754">
        <f>F18</f>
        <v>100</v>
      </c>
      <c r="T18" s="753" t="s">
        <v>25</v>
      </c>
      <c r="U18" s="754">
        <f>H18</f>
        <v>100</v>
      </c>
      <c r="V18" s="753" t="s">
        <v>25</v>
      </c>
      <c r="W18" s="754">
        <f>J18</f>
        <v>100</v>
      </c>
      <c r="X18" s="1898"/>
      <c r="Y18" s="3054"/>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54"/>
      <c r="Q19" s="1897"/>
      <c r="R19" s="753"/>
      <c r="S19" s="754"/>
      <c r="T19" s="753"/>
      <c r="U19" s="754"/>
      <c r="V19" s="753"/>
      <c r="W19" s="754"/>
      <c r="X19" s="1898"/>
      <c r="Y19" s="3054"/>
      <c r="Z19" s="1900"/>
      <c r="AA19" s="1901">
        <v>1</v>
      </c>
      <c r="AB19" s="1901">
        <v>1</v>
      </c>
      <c r="AC19" s="1901">
        <v>1</v>
      </c>
    </row>
    <row r="20" spans="1:29" ht="57">
      <c r="A20" s="383"/>
      <c r="B20" s="615" t="s">
        <v>2506</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54"/>
      <c r="Q20" s="1897" t="str">
        <f>B20</f>
        <v>自然及人文环境</v>
      </c>
      <c r="R20" s="753" t="s">
        <v>25</v>
      </c>
      <c r="S20" s="754">
        <f>F20</f>
        <v>100</v>
      </c>
      <c r="T20" s="753" t="s">
        <v>25</v>
      </c>
      <c r="U20" s="754">
        <f>H20</f>
        <v>100</v>
      </c>
      <c r="V20" s="753" t="s">
        <v>25</v>
      </c>
      <c r="W20" s="754">
        <f>J20</f>
        <v>100</v>
      </c>
      <c r="X20" s="1898"/>
      <c r="Y20" s="3054"/>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54"/>
      <c r="Q21" s="1897"/>
      <c r="R21" s="753"/>
      <c r="S21" s="754"/>
      <c r="T21" s="753"/>
      <c r="U21" s="754"/>
      <c r="V21" s="753"/>
      <c r="W21" s="754"/>
      <c r="X21" s="1898"/>
      <c r="Y21" s="3054"/>
      <c r="Z21" s="1900"/>
      <c r="AA21" s="1901">
        <v>1</v>
      </c>
      <c r="AB21" s="1901">
        <v>1</v>
      </c>
      <c r="AC21" s="1901">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54"/>
      <c r="Q22" s="1897" t="str">
        <f>B22</f>
        <v>楼层</v>
      </c>
      <c r="R22" s="753" t="s">
        <v>25</v>
      </c>
      <c r="S22" s="754">
        <f>F22</f>
        <v>100</v>
      </c>
      <c r="T22" s="753" t="s">
        <v>25</v>
      </c>
      <c r="U22" s="754">
        <f>H22</f>
        <v>100</v>
      </c>
      <c r="V22" s="753" t="s">
        <v>25</v>
      </c>
      <c r="W22" s="754">
        <f>J22</f>
        <v>100</v>
      </c>
      <c r="X22" s="1898"/>
      <c r="Y22" s="3054"/>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54"/>
      <c r="Q23" s="1897">
        <f>B23</f>
        <v>111</v>
      </c>
      <c r="R23" s="753" t="s">
        <v>25</v>
      </c>
      <c r="S23" s="754">
        <f>F23</f>
        <v>100</v>
      </c>
      <c r="T23" s="753" t="s">
        <v>25</v>
      </c>
      <c r="U23" s="754">
        <f>H23</f>
        <v>100</v>
      </c>
      <c r="V23" s="753" t="s">
        <v>25</v>
      </c>
      <c r="W23" s="754">
        <f>J23</f>
        <v>100</v>
      </c>
      <c r="X23" s="1898"/>
      <c r="Y23" s="3054"/>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54"/>
      <c r="Q24" s="1897">
        <f t="shared" ref="Q24:Q36" si="11">B24</f>
        <v>111</v>
      </c>
      <c r="R24" s="753" t="s">
        <v>25</v>
      </c>
      <c r="S24" s="754">
        <f>F24</f>
        <v>100</v>
      </c>
      <c r="T24" s="753" t="s">
        <v>25</v>
      </c>
      <c r="U24" s="754">
        <f>H24</f>
        <v>100</v>
      </c>
      <c r="V24" s="753" t="s">
        <v>25</v>
      </c>
      <c r="W24" s="754">
        <f>J24</f>
        <v>100</v>
      </c>
      <c r="X24" s="1898"/>
      <c r="Y24" s="3054"/>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54"/>
      <c r="Q25" s="1885">
        <f t="shared" si="11"/>
        <v>111</v>
      </c>
      <c r="R25" s="749" t="s">
        <v>25</v>
      </c>
      <c r="S25" s="750">
        <f>F25</f>
        <v>100</v>
      </c>
      <c r="T25" s="749" t="s">
        <v>25</v>
      </c>
      <c r="U25" s="750">
        <f>H25</f>
        <v>100</v>
      </c>
      <c r="V25" s="749" t="s">
        <v>25</v>
      </c>
      <c r="W25" s="750">
        <f>J25</f>
        <v>100</v>
      </c>
      <c r="X25" s="751"/>
      <c r="Y25" s="3054"/>
      <c r="Z25" s="23">
        <f>Q25</f>
        <v>111</v>
      </c>
      <c r="AA25" s="1901">
        <f>D25/F25</f>
        <v>1</v>
      </c>
      <c r="AB25" s="1901">
        <f>D25/H25</f>
        <v>1</v>
      </c>
      <c r="AC25" s="1901">
        <f>D25/J25</f>
        <v>1</v>
      </c>
    </row>
    <row r="26" spans="1:29" ht="28.5">
      <c r="A26" s="635" t="s">
        <v>2366</v>
      </c>
      <c r="B26" s="27" t="s">
        <v>2508</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102" t="s">
        <v>2368</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58" t="s">
        <v>2368</v>
      </c>
      <c r="Z26" s="1900" t="str">
        <f t="shared" ref="Z26:Z36" si="15">Q26</f>
        <v>配套类型</v>
      </c>
      <c r="AA26" s="1901">
        <f t="shared" si="3"/>
        <v>1</v>
      </c>
      <c r="AB26" s="1901">
        <f t="shared" si="4"/>
        <v>1</v>
      </c>
      <c r="AC26" s="1901">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58"/>
      <c r="Q27" s="755" t="str">
        <f t="shared" si="11"/>
        <v>项目停车位配比</v>
      </c>
      <c r="R27" s="756" t="s">
        <v>25</v>
      </c>
      <c r="S27" s="757">
        <f t="shared" si="12"/>
        <v>100</v>
      </c>
      <c r="T27" s="756" t="s">
        <v>25</v>
      </c>
      <c r="U27" s="757">
        <f t="shared" si="13"/>
        <v>100</v>
      </c>
      <c r="V27" s="756" t="s">
        <v>25</v>
      </c>
      <c r="W27" s="757">
        <f t="shared" si="14"/>
        <v>100</v>
      </c>
      <c r="X27" s="758"/>
      <c r="Y27" s="3058"/>
      <c r="Z27" s="759" t="str">
        <f t="shared" si="15"/>
        <v>项目停车位配比</v>
      </c>
      <c r="AA27" s="1901">
        <f t="shared" si="3"/>
        <v>1</v>
      </c>
      <c r="AB27" s="1901">
        <f t="shared" si="4"/>
        <v>1</v>
      </c>
      <c r="AC27" s="1901">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58"/>
      <c r="Q28" s="1897" t="str">
        <f t="shared" si="11"/>
        <v>公共部分装修</v>
      </c>
      <c r="R28" s="753" t="s">
        <v>25</v>
      </c>
      <c r="S28" s="754">
        <f t="shared" si="12"/>
        <v>100</v>
      </c>
      <c r="T28" s="753" t="s">
        <v>25</v>
      </c>
      <c r="U28" s="754">
        <f t="shared" si="13"/>
        <v>100</v>
      </c>
      <c r="V28" s="753" t="s">
        <v>25</v>
      </c>
      <c r="W28" s="754">
        <f t="shared" si="14"/>
        <v>100</v>
      </c>
      <c r="X28" s="1898"/>
      <c r="Y28" s="3058"/>
      <c r="Z28" s="1900" t="str">
        <f t="shared" si="15"/>
        <v>公共部分装修</v>
      </c>
      <c r="AA28" s="1901">
        <f t="shared" si="3"/>
        <v>1</v>
      </c>
      <c r="AB28" s="1901">
        <f t="shared" si="4"/>
        <v>1</v>
      </c>
      <c r="AC28" s="1901">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58"/>
      <c r="Q29" s="1897" t="str">
        <f t="shared" si="11"/>
        <v>成新率</v>
      </c>
      <c r="R29" s="753" t="s">
        <v>25</v>
      </c>
      <c r="S29" s="754" t="e">
        <f t="shared" si="12"/>
        <v>#N/A</v>
      </c>
      <c r="T29" s="753" t="s">
        <v>25</v>
      </c>
      <c r="U29" s="754" t="e">
        <f t="shared" si="13"/>
        <v>#N/A</v>
      </c>
      <c r="V29" s="753" t="s">
        <v>25</v>
      </c>
      <c r="W29" s="754" t="e">
        <f t="shared" si="14"/>
        <v>#N/A</v>
      </c>
      <c r="X29" s="1898"/>
      <c r="Y29" s="3058"/>
      <c r="Z29" s="1900" t="str">
        <f t="shared" si="15"/>
        <v>成新率</v>
      </c>
      <c r="AA29" s="1901" t="e">
        <f t="shared" si="3"/>
        <v>#N/A</v>
      </c>
      <c r="AB29" s="1901" t="e">
        <f t="shared" si="4"/>
        <v>#N/A</v>
      </c>
      <c r="AC29" s="1901"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58"/>
      <c r="Q30" s="1897" t="str">
        <f t="shared" si="11"/>
        <v>物业等级</v>
      </c>
      <c r="R30" s="753" t="s">
        <v>25</v>
      </c>
      <c r="S30" s="754">
        <f t="shared" si="12"/>
        <v>100</v>
      </c>
      <c r="T30" s="753" t="s">
        <v>25</v>
      </c>
      <c r="U30" s="754">
        <f t="shared" si="13"/>
        <v>100</v>
      </c>
      <c r="V30" s="753" t="s">
        <v>25</v>
      </c>
      <c r="W30" s="754">
        <f t="shared" si="14"/>
        <v>100</v>
      </c>
      <c r="X30" s="1898"/>
      <c r="Y30" s="3058"/>
      <c r="Z30" s="1900" t="str">
        <f t="shared" si="15"/>
        <v>物业等级</v>
      </c>
      <c r="AA30" s="1901">
        <f t="shared" si="3"/>
        <v>1</v>
      </c>
      <c r="AB30" s="1901">
        <f t="shared" si="4"/>
        <v>1</v>
      </c>
      <c r="AC30" s="1901">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58"/>
      <c r="Q31" s="1885" t="str">
        <f t="shared" si="11"/>
        <v>停车位面积</v>
      </c>
      <c r="R31" s="749" t="s">
        <v>25</v>
      </c>
      <c r="S31" s="750" t="e">
        <f t="shared" si="12"/>
        <v>#N/A</v>
      </c>
      <c r="T31" s="749" t="s">
        <v>25</v>
      </c>
      <c r="U31" s="750" t="e">
        <f t="shared" si="13"/>
        <v>#N/A</v>
      </c>
      <c r="V31" s="749" t="s">
        <v>25</v>
      </c>
      <c r="W31" s="750" t="e">
        <f t="shared" si="14"/>
        <v>#N/A</v>
      </c>
      <c r="X31" s="751"/>
      <c r="Y31" s="3058"/>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58" t="s">
        <v>2368</v>
      </c>
      <c r="Q32" s="1897" t="str">
        <f t="shared" si="11"/>
        <v>车位类型</v>
      </c>
      <c r="R32" s="753" t="s">
        <v>25</v>
      </c>
      <c r="S32" s="754">
        <f t="shared" si="12"/>
        <v>100</v>
      </c>
      <c r="T32" s="753" t="s">
        <v>25</v>
      </c>
      <c r="U32" s="754">
        <f t="shared" si="13"/>
        <v>100</v>
      </c>
      <c r="V32" s="753" t="s">
        <v>25</v>
      </c>
      <c r="W32" s="754">
        <f t="shared" si="14"/>
        <v>100</v>
      </c>
      <c r="X32" s="1898"/>
      <c r="Y32" s="3058" t="s">
        <v>2368</v>
      </c>
      <c r="Z32" s="1900" t="str">
        <f t="shared" si="15"/>
        <v>车位类型</v>
      </c>
      <c r="AA32" s="1901">
        <f t="shared" si="3"/>
        <v>1</v>
      </c>
      <c r="AB32" s="1901">
        <f t="shared" si="4"/>
        <v>1</v>
      </c>
      <c r="AC32" s="1901">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58"/>
      <c r="Q33" s="1897" t="str">
        <f t="shared" si="11"/>
        <v>是否直接入户</v>
      </c>
      <c r="R33" s="753" t="s">
        <v>25</v>
      </c>
      <c r="S33" s="754">
        <f t="shared" si="12"/>
        <v>100</v>
      </c>
      <c r="T33" s="753" t="s">
        <v>25</v>
      </c>
      <c r="U33" s="754">
        <f t="shared" si="13"/>
        <v>100</v>
      </c>
      <c r="V33" s="753" t="s">
        <v>25</v>
      </c>
      <c r="W33" s="754">
        <f t="shared" si="14"/>
        <v>100</v>
      </c>
      <c r="X33" s="1898"/>
      <c r="Y33" s="3058"/>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58"/>
      <c r="Q34" s="1897">
        <f t="shared" si="11"/>
        <v>111</v>
      </c>
      <c r="R34" s="753" t="s">
        <v>25</v>
      </c>
      <c r="S34" s="754">
        <f t="shared" si="12"/>
        <v>100</v>
      </c>
      <c r="T34" s="753" t="s">
        <v>25</v>
      </c>
      <c r="U34" s="754">
        <f t="shared" si="13"/>
        <v>100</v>
      </c>
      <c r="V34" s="753" t="s">
        <v>25</v>
      </c>
      <c r="W34" s="754">
        <f t="shared" si="14"/>
        <v>100</v>
      </c>
      <c r="X34" s="1898"/>
      <c r="Y34" s="3058"/>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58"/>
      <c r="Q35" s="755">
        <f t="shared" si="11"/>
        <v>111</v>
      </c>
      <c r="R35" s="756" t="s">
        <v>25</v>
      </c>
      <c r="S35" s="757">
        <f t="shared" si="12"/>
        <v>100</v>
      </c>
      <c r="T35" s="756" t="s">
        <v>25</v>
      </c>
      <c r="U35" s="757">
        <f t="shared" si="13"/>
        <v>100</v>
      </c>
      <c r="V35" s="756" t="s">
        <v>25</v>
      </c>
      <c r="W35" s="757">
        <f t="shared" si="14"/>
        <v>100</v>
      </c>
      <c r="X35" s="758"/>
      <c r="Y35" s="3058"/>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58"/>
      <c r="Q36" s="1897">
        <f t="shared" si="11"/>
        <v>111</v>
      </c>
      <c r="R36" s="753" t="s">
        <v>25</v>
      </c>
      <c r="S36" s="754">
        <f t="shared" si="12"/>
        <v>100</v>
      </c>
      <c r="T36" s="753" t="s">
        <v>25</v>
      </c>
      <c r="U36" s="754">
        <f t="shared" si="13"/>
        <v>100</v>
      </c>
      <c r="V36" s="753" t="s">
        <v>25</v>
      </c>
      <c r="W36" s="754">
        <f t="shared" si="14"/>
        <v>100</v>
      </c>
      <c r="X36" s="1898"/>
      <c r="Y36" s="3058"/>
      <c r="Z36" s="1900">
        <f t="shared" si="15"/>
        <v>111</v>
      </c>
      <c r="AA36" s="1901">
        <f t="shared" si="3"/>
        <v>1</v>
      </c>
      <c r="AB36" s="1901">
        <f t="shared" si="4"/>
        <v>1</v>
      </c>
      <c r="AC36" s="1901">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50" t="str">
        <f>A37</f>
        <v>成交单价</v>
      </c>
      <c r="Q37" s="3050"/>
      <c r="R37" s="3046">
        <f>E37</f>
        <v>0</v>
      </c>
      <c r="S37" s="3046"/>
      <c r="T37" s="3046">
        <f>G37</f>
        <v>0</v>
      </c>
      <c r="U37" s="3046"/>
      <c r="V37" s="3046">
        <f>I37</f>
        <v>0</v>
      </c>
      <c r="W37" s="3046"/>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50" t="str">
        <f>A38</f>
        <v>比较价值</v>
      </c>
      <c r="Q38" s="3050"/>
      <c r="R38" s="3046" t="e">
        <f>IF(E1="售价",ROUND(PRODUCT(R37,AA7:AA36),0),ROUND(PRODUCT(R37,AA7:AA36),1))</f>
        <v>#DIV/0!</v>
      </c>
      <c r="S38" s="3046"/>
      <c r="T38" s="3046" t="e">
        <f>IF(E1="售价",ROUND(PRODUCT(T37,AB7:AB36),0),ROUND(PRODUCT(T37,AB7:AB36),1))</f>
        <v>#DIV/0!</v>
      </c>
      <c r="U38" s="3046"/>
      <c r="V38" s="3046" t="e">
        <f>IF(E1="售价",ROUND(PRODUCT(V37,AC7:AC36),0),ROUND(PRODUCT(V37,AC7:AC36),1))</f>
        <v>#DIV/0!</v>
      </c>
      <c r="W38" s="3046"/>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47" t="str">
        <f>A39</f>
        <v>估价对象XX用房的比较价值（楼面单价，元/平方米）</v>
      </c>
      <c r="Q39" s="3048"/>
      <c r="R39" s="3049" t="e">
        <f>IF(E1="售价",ROUND(AVERAGE(R38:V38),0),ROUND(AVERAGE(R38:V38),1))</f>
        <v>#DIV/0!</v>
      </c>
      <c r="S39" s="3049"/>
      <c r="T39" s="3049"/>
      <c r="U39" s="3049"/>
      <c r="V39" s="3049"/>
      <c r="W39" s="3049"/>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2019-2</v>
      </c>
      <c r="D48" s="1678">
        <f>EDATE(C48,-1)</f>
        <v>43466</v>
      </c>
      <c r="E48" s="1678">
        <f t="shared" ref="E48:O48" si="16">EDATE(D48,-1)</f>
        <v>43435</v>
      </c>
      <c r="F48" s="1678">
        <f t="shared" si="16"/>
        <v>43405</v>
      </c>
      <c r="G48" s="1678">
        <f t="shared" si="16"/>
        <v>43374</v>
      </c>
      <c r="H48" s="1678">
        <f t="shared" si="16"/>
        <v>43344</v>
      </c>
      <c r="I48" s="1678">
        <f t="shared" si="16"/>
        <v>43313</v>
      </c>
      <c r="J48" s="1678">
        <f t="shared" si="16"/>
        <v>43282</v>
      </c>
      <c r="K48" s="1678">
        <f t="shared" si="16"/>
        <v>43252</v>
      </c>
      <c r="L48" s="1678">
        <f t="shared" si="16"/>
        <v>43221</v>
      </c>
      <c r="M48" s="1678">
        <f t="shared" si="16"/>
        <v>43191</v>
      </c>
      <c r="N48" s="1678">
        <f t="shared" si="16"/>
        <v>43160</v>
      </c>
      <c r="O48" s="1678">
        <f t="shared" si="16"/>
        <v>43132</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7" t="s">
        <v>2338</v>
      </c>
      <c r="D4" s="3078"/>
      <c r="E4" s="3079" t="s">
        <v>2339</v>
      </c>
      <c r="F4" s="3080"/>
      <c r="G4" s="3077" t="s">
        <v>2340</v>
      </c>
      <c r="H4" s="3078"/>
      <c r="I4" s="3077" t="s">
        <v>2341</v>
      </c>
      <c r="J4" s="3078"/>
      <c r="K4" s="594" t="s">
        <v>2342</v>
      </c>
      <c r="L4" s="1242"/>
      <c r="M4" s="1243"/>
      <c r="N4" s="1243"/>
      <c r="O4" s="1243"/>
      <c r="P4" s="3081" t="s">
        <v>2343</v>
      </c>
      <c r="Q4" s="3082"/>
      <c r="R4" s="3066" t="s">
        <v>2339</v>
      </c>
      <c r="S4" s="3067"/>
      <c r="T4" s="3066" t="s">
        <v>2340</v>
      </c>
      <c r="U4" s="3067"/>
      <c r="V4" s="3087" t="s">
        <v>2341</v>
      </c>
      <c r="W4" s="3087"/>
      <c r="X4" s="1898"/>
      <c r="Y4" s="3066" t="s">
        <v>2343</v>
      </c>
      <c r="Z4" s="3067"/>
      <c r="AA4" s="3074" t="s">
        <v>2339</v>
      </c>
      <c r="AB4" s="3075" t="s">
        <v>2340</v>
      </c>
      <c r="AC4" s="3074" t="s">
        <v>2341</v>
      </c>
    </row>
    <row r="5" spans="1:29" ht="15">
      <c r="A5" s="383"/>
      <c r="B5" s="384"/>
      <c r="C5" s="3091" t="s">
        <v>2344</v>
      </c>
      <c r="D5" s="3063"/>
      <c r="E5" s="3090" t="s">
        <v>2345</v>
      </c>
      <c r="F5" s="3089"/>
      <c r="G5" s="3091" t="s">
        <v>2346</v>
      </c>
      <c r="H5" s="3063"/>
      <c r="I5" s="3091" t="s">
        <v>2347</v>
      </c>
      <c r="J5" s="3063"/>
      <c r="K5" s="594"/>
      <c r="L5" s="1242"/>
      <c r="M5" s="1243"/>
      <c r="N5" s="1243"/>
      <c r="O5" s="1243"/>
      <c r="P5" s="3083"/>
      <c r="Q5" s="3084"/>
      <c r="R5" s="3068"/>
      <c r="S5" s="3069"/>
      <c r="T5" s="3068"/>
      <c r="U5" s="3069"/>
      <c r="V5" s="3087"/>
      <c r="W5" s="3087"/>
      <c r="X5" s="1898"/>
      <c r="Y5" s="3068"/>
      <c r="Z5" s="3069"/>
      <c r="AA5" s="3075"/>
      <c r="AB5" s="3075"/>
      <c r="AC5" s="3075"/>
    </row>
    <row r="6" spans="1:29" ht="15.75" thickBot="1">
      <c r="A6" s="385"/>
      <c r="B6" s="386"/>
      <c r="C6" s="3092" t="s">
        <v>2348</v>
      </c>
      <c r="D6" s="3061"/>
      <c r="E6" s="3093" t="s">
        <v>2348</v>
      </c>
      <c r="F6" s="3094"/>
      <c r="G6" s="3092" t="s">
        <v>2348</v>
      </c>
      <c r="H6" s="3061"/>
      <c r="I6" s="3092" t="s">
        <v>2348</v>
      </c>
      <c r="J6" s="3061"/>
      <c r="K6" s="594" t="s">
        <v>2349</v>
      </c>
      <c r="L6" s="1242"/>
      <c r="M6" s="1243"/>
      <c r="N6" s="1243"/>
      <c r="O6" s="1243"/>
      <c r="P6" s="3085"/>
      <c r="Q6" s="3086"/>
      <c r="R6" s="3068"/>
      <c r="S6" s="3069"/>
      <c r="T6" s="3070"/>
      <c r="U6" s="3071"/>
      <c r="V6" s="3087"/>
      <c r="W6" s="3087"/>
      <c r="X6" s="1898"/>
      <c r="Y6" s="3070"/>
      <c r="Z6" s="3071"/>
      <c r="AA6" s="3076"/>
      <c r="AB6" s="3076"/>
      <c r="AC6" s="3076"/>
    </row>
    <row r="7" spans="1:29" s="35" customFormat="1" ht="15.75" thickBot="1">
      <c r="A7" s="387" t="s">
        <v>2350</v>
      </c>
      <c r="B7" s="388"/>
      <c r="C7" s="389">
        <f>'数据-取费表'!B2</f>
        <v>43516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64" t="s">
        <v>2351</v>
      </c>
      <c r="Q7" s="3072"/>
      <c r="R7" s="749" t="s">
        <v>25</v>
      </c>
      <c r="S7" s="750">
        <f t="shared" ref="S7:S14" si="0">F7</f>
        <v>0</v>
      </c>
      <c r="T7" s="749" t="s">
        <v>25</v>
      </c>
      <c r="U7" s="750">
        <f t="shared" ref="U7:U14" si="1">H7</f>
        <v>0</v>
      </c>
      <c r="V7" s="749" t="s">
        <v>25</v>
      </c>
      <c r="W7" s="750">
        <f t="shared" ref="W7:W14" si="2">J7</f>
        <v>0</v>
      </c>
      <c r="X7" s="751"/>
      <c r="Y7" s="3064" t="s">
        <v>2351</v>
      </c>
      <c r="Z7" s="3065"/>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64" t="s">
        <v>2354</v>
      </c>
      <c r="Q8" s="3065"/>
      <c r="R8" s="749" t="s">
        <v>25</v>
      </c>
      <c r="S8" s="750">
        <f t="shared" si="0"/>
        <v>0</v>
      </c>
      <c r="T8" s="749" t="s">
        <v>25</v>
      </c>
      <c r="U8" s="750">
        <f t="shared" si="1"/>
        <v>0</v>
      </c>
      <c r="V8" s="749" t="s">
        <v>25</v>
      </c>
      <c r="W8" s="750">
        <f t="shared" si="2"/>
        <v>0</v>
      </c>
      <c r="X8" s="751"/>
      <c r="Y8" s="3064" t="s">
        <v>2354</v>
      </c>
      <c r="Z8" s="3065"/>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50" t="s">
        <v>2357</v>
      </c>
      <c r="Q9" s="1885" t="str">
        <f t="shared" ref="Q9:Q14" si="6">B9</f>
        <v>用途</v>
      </c>
      <c r="R9" s="749" t="s">
        <v>25</v>
      </c>
      <c r="S9" s="750">
        <f t="shared" si="0"/>
        <v>100</v>
      </c>
      <c r="T9" s="749" t="s">
        <v>25</v>
      </c>
      <c r="U9" s="750">
        <f t="shared" si="1"/>
        <v>100</v>
      </c>
      <c r="V9" s="749" t="s">
        <v>25</v>
      </c>
      <c r="W9" s="750">
        <f t="shared" si="2"/>
        <v>100</v>
      </c>
      <c r="X9" s="751"/>
      <c r="Y9" s="2876"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50"/>
      <c r="Q10" s="1885"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50"/>
      <c r="Q11" s="1885">
        <f t="shared" si="6"/>
        <v>111</v>
      </c>
      <c r="R11" s="749" t="s">
        <v>25</v>
      </c>
      <c r="S11" s="750">
        <f t="shared" si="0"/>
        <v>100</v>
      </c>
      <c r="T11" s="749" t="s">
        <v>25</v>
      </c>
      <c r="U11" s="750">
        <f t="shared" si="1"/>
        <v>100</v>
      </c>
      <c r="V11" s="749" t="s">
        <v>25</v>
      </c>
      <c r="W11" s="750">
        <f t="shared" si="2"/>
        <v>100</v>
      </c>
      <c r="X11" s="751"/>
      <c r="Y11" s="2876"/>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50"/>
      <c r="Q12" s="1885">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50"/>
      <c r="Q13" s="1885">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85.5">
      <c r="A14" s="419" t="s">
        <v>2361</v>
      </c>
      <c r="B14" s="26" t="s">
        <v>2505</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53" t="s">
        <v>2362</v>
      </c>
      <c r="Q14" s="1897" t="str">
        <f t="shared" si="6"/>
        <v>交通便捷度</v>
      </c>
      <c r="R14" s="753" t="s">
        <v>25</v>
      </c>
      <c r="S14" s="754">
        <f t="shared" si="0"/>
        <v>100</v>
      </c>
      <c r="T14" s="753" t="s">
        <v>25</v>
      </c>
      <c r="U14" s="754">
        <f t="shared" si="1"/>
        <v>100</v>
      </c>
      <c r="V14" s="753" t="s">
        <v>25</v>
      </c>
      <c r="W14" s="754">
        <f t="shared" si="2"/>
        <v>100</v>
      </c>
      <c r="X14" s="1898"/>
      <c r="Y14" s="3053" t="s">
        <v>2362</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54"/>
      <c r="Q15" s="1897"/>
      <c r="R15" s="753"/>
      <c r="S15" s="754"/>
      <c r="T15" s="753"/>
      <c r="U15" s="754"/>
      <c r="V15" s="753"/>
      <c r="W15" s="754"/>
      <c r="X15" s="1898"/>
      <c r="Y15" s="3054"/>
      <c r="Z15" s="1900"/>
      <c r="AA15" s="1901">
        <v>1</v>
      </c>
      <c r="AB15" s="1901">
        <v>1</v>
      </c>
      <c r="AC15" s="1901">
        <v>1</v>
      </c>
    </row>
    <row r="16" spans="1:29" ht="42.75">
      <c r="A16" s="408"/>
      <c r="B16" s="615" t="s">
        <v>2477</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54"/>
      <c r="Q16" s="1897" t="str">
        <f>B16</f>
        <v>公共配套设施</v>
      </c>
      <c r="R16" s="753" t="s">
        <v>25</v>
      </c>
      <c r="S16" s="754">
        <f>F16</f>
        <v>100</v>
      </c>
      <c r="T16" s="753" t="s">
        <v>25</v>
      </c>
      <c r="U16" s="754">
        <f>H16</f>
        <v>100</v>
      </c>
      <c r="V16" s="753" t="s">
        <v>25</v>
      </c>
      <c r="W16" s="754">
        <f>J16</f>
        <v>100</v>
      </c>
      <c r="X16" s="1898"/>
      <c r="Y16" s="3054"/>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54"/>
      <c r="Q17" s="1897"/>
      <c r="R17" s="753"/>
      <c r="S17" s="754"/>
      <c r="T17" s="753"/>
      <c r="U17" s="754"/>
      <c r="V17" s="753"/>
      <c r="W17" s="754"/>
      <c r="X17" s="1898"/>
      <c r="Y17" s="3054"/>
      <c r="Z17" s="1900"/>
      <c r="AA17" s="1901">
        <v>1</v>
      </c>
      <c r="AB17" s="1901">
        <v>1</v>
      </c>
      <c r="AC17" s="1901">
        <v>1</v>
      </c>
    </row>
    <row r="18" spans="1:29" ht="28.5">
      <c r="A18" s="408"/>
      <c r="B18" s="617" t="s">
        <v>2478</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54"/>
      <c r="Q18" s="1897" t="str">
        <f>B18</f>
        <v>基础设施水平</v>
      </c>
      <c r="R18" s="753" t="s">
        <v>25</v>
      </c>
      <c r="S18" s="754">
        <f>F18</f>
        <v>100</v>
      </c>
      <c r="T18" s="753" t="s">
        <v>25</v>
      </c>
      <c r="U18" s="754">
        <f>H18</f>
        <v>100</v>
      </c>
      <c r="V18" s="753" t="s">
        <v>25</v>
      </c>
      <c r="W18" s="754">
        <f>J18</f>
        <v>100</v>
      </c>
      <c r="X18" s="1898"/>
      <c r="Y18" s="3054"/>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54"/>
      <c r="Q19" s="1897"/>
      <c r="R19" s="753"/>
      <c r="S19" s="754"/>
      <c r="T19" s="753"/>
      <c r="U19" s="754"/>
      <c r="V19" s="753"/>
      <c r="W19" s="754"/>
      <c r="X19" s="1898"/>
      <c r="Y19" s="3054"/>
      <c r="Z19" s="1900"/>
      <c r="AA19" s="1901">
        <v>1</v>
      </c>
      <c r="AB19" s="1901">
        <v>1</v>
      </c>
      <c r="AC19" s="1901">
        <v>1</v>
      </c>
    </row>
    <row r="20" spans="1:29" ht="57">
      <c r="A20" s="408"/>
      <c r="B20" s="431" t="s">
        <v>2506</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54"/>
      <c r="Q20" s="1897" t="str">
        <f>B20</f>
        <v>自然及人文环境</v>
      </c>
      <c r="R20" s="753" t="s">
        <v>25</v>
      </c>
      <c r="S20" s="754">
        <f>F20</f>
        <v>100</v>
      </c>
      <c r="T20" s="753" t="s">
        <v>25</v>
      </c>
      <c r="U20" s="754">
        <f>H20</f>
        <v>100</v>
      </c>
      <c r="V20" s="753" t="s">
        <v>25</v>
      </c>
      <c r="W20" s="754">
        <f>J20</f>
        <v>100</v>
      </c>
      <c r="X20" s="1898"/>
      <c r="Y20" s="3054"/>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54"/>
      <c r="Q21" s="1897"/>
      <c r="R21" s="753"/>
      <c r="S21" s="754"/>
      <c r="T21" s="753"/>
      <c r="U21" s="754"/>
      <c r="V21" s="753"/>
      <c r="W21" s="754"/>
      <c r="X21" s="1898"/>
      <c r="Y21" s="3054"/>
      <c r="Z21" s="1900"/>
      <c r="AA21" s="1901">
        <v>1</v>
      </c>
      <c r="AB21" s="1901">
        <v>1</v>
      </c>
      <c r="AC21" s="1901">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54"/>
      <c r="Q22" s="1897" t="str">
        <f>B22</f>
        <v>楼层</v>
      </c>
      <c r="R22" s="753" t="s">
        <v>25</v>
      </c>
      <c r="S22" s="754">
        <f>F22</f>
        <v>100</v>
      </c>
      <c r="T22" s="753" t="s">
        <v>25</v>
      </c>
      <c r="U22" s="754">
        <f>H22</f>
        <v>100</v>
      </c>
      <c r="V22" s="753" t="s">
        <v>25</v>
      </c>
      <c r="W22" s="754">
        <f>J22</f>
        <v>100</v>
      </c>
      <c r="X22" s="1898"/>
      <c r="Y22" s="3054"/>
      <c r="Z22" s="1900" t="str">
        <f>Q22</f>
        <v>楼层</v>
      </c>
      <c r="AA22" s="1901">
        <f t="shared" si="3"/>
        <v>1</v>
      </c>
      <c r="AB22" s="1901">
        <f t="shared" si="4"/>
        <v>1</v>
      </c>
      <c r="AC22" s="1901">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54"/>
      <c r="Q23" s="1897">
        <f>B23</f>
        <v>111</v>
      </c>
      <c r="R23" s="753" t="s">
        <v>25</v>
      </c>
      <c r="S23" s="754">
        <f>F23</f>
        <v>100</v>
      </c>
      <c r="T23" s="753" t="s">
        <v>25</v>
      </c>
      <c r="U23" s="754">
        <f>H23</f>
        <v>100</v>
      </c>
      <c r="V23" s="753" t="s">
        <v>25</v>
      </c>
      <c r="W23" s="754">
        <f>J23</f>
        <v>100</v>
      </c>
      <c r="X23" s="1898"/>
      <c r="Y23" s="3054"/>
      <c r="Z23" s="1900">
        <f>Q23</f>
        <v>111</v>
      </c>
      <c r="AA23" s="1901">
        <f t="shared" si="3"/>
        <v>1</v>
      </c>
      <c r="AB23" s="1901">
        <f t="shared" si="4"/>
        <v>1</v>
      </c>
      <c r="AC23" s="1901">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54"/>
      <c r="Q24" s="1897">
        <f t="shared" ref="Q24:Q34" si="11">B24</f>
        <v>111</v>
      </c>
      <c r="R24" s="753" t="s">
        <v>25</v>
      </c>
      <c r="S24" s="754">
        <f>F24</f>
        <v>100</v>
      </c>
      <c r="T24" s="753" t="s">
        <v>25</v>
      </c>
      <c r="U24" s="754">
        <f>H24</f>
        <v>100</v>
      </c>
      <c r="V24" s="753" t="s">
        <v>25</v>
      </c>
      <c r="W24" s="754">
        <f>J24</f>
        <v>100</v>
      </c>
      <c r="X24" s="1898"/>
      <c r="Y24" s="3054"/>
      <c r="Z24" s="1900">
        <f>Q24</f>
        <v>111</v>
      </c>
      <c r="AA24" s="1901">
        <f t="shared" si="3"/>
        <v>1</v>
      </c>
      <c r="AB24" s="1901">
        <f t="shared" si="4"/>
        <v>1</v>
      </c>
      <c r="AC24" s="1901">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54"/>
      <c r="Q25" s="1885">
        <f t="shared" si="11"/>
        <v>111</v>
      </c>
      <c r="R25" s="749" t="s">
        <v>25</v>
      </c>
      <c r="S25" s="750">
        <f>F25</f>
        <v>100</v>
      </c>
      <c r="T25" s="749" t="s">
        <v>25</v>
      </c>
      <c r="U25" s="750">
        <f>H25</f>
        <v>100</v>
      </c>
      <c r="V25" s="749" t="s">
        <v>25</v>
      </c>
      <c r="W25" s="750">
        <f>J25</f>
        <v>100</v>
      </c>
      <c r="X25" s="751"/>
      <c r="Y25" s="3054"/>
      <c r="Z25" s="23">
        <f>Q25</f>
        <v>111</v>
      </c>
      <c r="AA25" s="1901">
        <f>D25/F25</f>
        <v>1</v>
      </c>
      <c r="AB25" s="1901">
        <f>D25/H25</f>
        <v>1</v>
      </c>
      <c r="AC25" s="1901">
        <f>D25/J25</f>
        <v>1</v>
      </c>
    </row>
    <row r="26" spans="1:29" ht="28.5">
      <c r="A26" s="447" t="s">
        <v>2366</v>
      </c>
      <c r="B26" s="28" t="s">
        <v>2510</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102" t="s">
        <v>2368</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58" t="s">
        <v>2368</v>
      </c>
      <c r="Z26" s="1900" t="str">
        <f t="shared" ref="Z26:Z34" si="15">Q26</f>
        <v>公共部分装修</v>
      </c>
      <c r="AA26" s="1901">
        <f t="shared" si="3"/>
        <v>1</v>
      </c>
      <c r="AB26" s="1901">
        <f t="shared" si="4"/>
        <v>1</v>
      </c>
      <c r="AC26" s="1901">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58"/>
      <c r="Q27" s="755" t="str">
        <f t="shared" si="11"/>
        <v>成新率</v>
      </c>
      <c r="R27" s="756" t="s">
        <v>25</v>
      </c>
      <c r="S27" s="757" t="e">
        <f t="shared" si="12"/>
        <v>#N/A</v>
      </c>
      <c r="T27" s="756" t="s">
        <v>25</v>
      </c>
      <c r="U27" s="757" t="e">
        <f t="shared" si="13"/>
        <v>#N/A</v>
      </c>
      <c r="V27" s="756" t="s">
        <v>25</v>
      </c>
      <c r="W27" s="757" t="e">
        <f t="shared" si="14"/>
        <v>#N/A</v>
      </c>
      <c r="X27" s="758"/>
      <c r="Y27" s="3058"/>
      <c r="Z27" s="759" t="str">
        <f t="shared" si="15"/>
        <v>成新率</v>
      </c>
      <c r="AA27" s="1901" t="e">
        <f t="shared" si="3"/>
        <v>#N/A</v>
      </c>
      <c r="AB27" s="1901" t="e">
        <f t="shared" si="4"/>
        <v>#N/A</v>
      </c>
      <c r="AC27" s="1901"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58"/>
      <c r="Q28" s="1897" t="str">
        <f t="shared" si="11"/>
        <v>物业等级</v>
      </c>
      <c r="R28" s="753" t="s">
        <v>25</v>
      </c>
      <c r="S28" s="754">
        <f t="shared" si="12"/>
        <v>100</v>
      </c>
      <c r="T28" s="753" t="s">
        <v>25</v>
      </c>
      <c r="U28" s="754">
        <f t="shared" si="13"/>
        <v>100</v>
      </c>
      <c r="V28" s="753" t="s">
        <v>25</v>
      </c>
      <c r="W28" s="754">
        <f t="shared" si="14"/>
        <v>100</v>
      </c>
      <c r="X28" s="1898"/>
      <c r="Y28" s="3058"/>
      <c r="Z28" s="1900" t="str">
        <f t="shared" si="15"/>
        <v>物业等级</v>
      </c>
      <c r="AA28" s="1901">
        <f t="shared" si="3"/>
        <v>1</v>
      </c>
      <c r="AB28" s="1901">
        <f t="shared" si="4"/>
        <v>1</v>
      </c>
      <c r="AC28" s="1901">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58"/>
      <c r="Q29" s="1897" t="str">
        <f t="shared" si="11"/>
        <v>有无电梯</v>
      </c>
      <c r="R29" s="753" t="s">
        <v>25</v>
      </c>
      <c r="S29" s="754">
        <f t="shared" si="12"/>
        <v>100</v>
      </c>
      <c r="T29" s="753" t="s">
        <v>25</v>
      </c>
      <c r="U29" s="754">
        <f t="shared" si="13"/>
        <v>100</v>
      </c>
      <c r="V29" s="753" t="s">
        <v>25</v>
      </c>
      <c r="W29" s="754">
        <f t="shared" si="14"/>
        <v>100</v>
      </c>
      <c r="X29" s="1898"/>
      <c r="Y29" s="3058"/>
      <c r="Z29" s="1900" t="str">
        <f t="shared" si="15"/>
        <v>有无电梯</v>
      </c>
      <c r="AA29" s="1901">
        <f t="shared" si="3"/>
        <v>1</v>
      </c>
      <c r="AB29" s="1901">
        <f t="shared" si="4"/>
        <v>1</v>
      </c>
      <c r="AC29" s="1901">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58"/>
      <c r="Q30" s="1897" t="str">
        <f t="shared" si="11"/>
        <v>建筑面积</v>
      </c>
      <c r="R30" s="753" t="s">
        <v>25</v>
      </c>
      <c r="S30" s="754" t="e">
        <f t="shared" si="12"/>
        <v>#N/A</v>
      </c>
      <c r="T30" s="753" t="s">
        <v>25</v>
      </c>
      <c r="U30" s="754" t="e">
        <f t="shared" si="13"/>
        <v>#N/A</v>
      </c>
      <c r="V30" s="753" t="s">
        <v>25</v>
      </c>
      <c r="W30" s="754" t="e">
        <f t="shared" si="14"/>
        <v>#N/A</v>
      </c>
      <c r="X30" s="1898"/>
      <c r="Y30" s="3058"/>
      <c r="Z30" s="1900" t="str">
        <f t="shared" si="15"/>
        <v>建筑面积</v>
      </c>
      <c r="AA30" s="1901" t="e">
        <f t="shared" si="3"/>
        <v>#N/A</v>
      </c>
      <c r="AB30" s="1901" t="e">
        <f t="shared" si="4"/>
        <v>#N/A</v>
      </c>
      <c r="AC30" s="1901"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58"/>
      <c r="Q31" s="1885" t="str">
        <f t="shared" si="11"/>
        <v>是否封闭</v>
      </c>
      <c r="R31" s="749" t="s">
        <v>25</v>
      </c>
      <c r="S31" s="750">
        <f t="shared" si="12"/>
        <v>100</v>
      </c>
      <c r="T31" s="749" t="s">
        <v>25</v>
      </c>
      <c r="U31" s="750">
        <f t="shared" si="13"/>
        <v>100</v>
      </c>
      <c r="V31" s="749" t="s">
        <v>25</v>
      </c>
      <c r="W31" s="750">
        <f t="shared" si="14"/>
        <v>100</v>
      </c>
      <c r="X31" s="751"/>
      <c r="Y31" s="305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58" t="s">
        <v>2368</v>
      </c>
      <c r="Q32" s="1897">
        <f t="shared" si="11"/>
        <v>111</v>
      </c>
      <c r="R32" s="753" t="s">
        <v>25</v>
      </c>
      <c r="S32" s="754">
        <f t="shared" si="12"/>
        <v>100</v>
      </c>
      <c r="T32" s="753" t="s">
        <v>25</v>
      </c>
      <c r="U32" s="754">
        <f t="shared" si="13"/>
        <v>100</v>
      </c>
      <c r="V32" s="753" t="s">
        <v>25</v>
      </c>
      <c r="W32" s="754">
        <f t="shared" si="14"/>
        <v>100</v>
      </c>
      <c r="X32" s="1898"/>
      <c r="Y32" s="3058" t="s">
        <v>2368</v>
      </c>
      <c r="Z32" s="1900">
        <f t="shared" si="15"/>
        <v>111</v>
      </c>
      <c r="AA32" s="1901">
        <f t="shared" si="3"/>
        <v>1</v>
      </c>
      <c r="AB32" s="1901">
        <f t="shared" si="4"/>
        <v>1</v>
      </c>
      <c r="AC32" s="1901">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58"/>
      <c r="Q33" s="1897">
        <f t="shared" si="11"/>
        <v>111</v>
      </c>
      <c r="R33" s="753" t="s">
        <v>25</v>
      </c>
      <c r="S33" s="754">
        <f t="shared" si="12"/>
        <v>100</v>
      </c>
      <c r="T33" s="753" t="s">
        <v>25</v>
      </c>
      <c r="U33" s="754">
        <f t="shared" si="13"/>
        <v>100</v>
      </c>
      <c r="V33" s="753" t="s">
        <v>25</v>
      </c>
      <c r="W33" s="754">
        <f t="shared" si="14"/>
        <v>100</v>
      </c>
      <c r="X33" s="1898"/>
      <c r="Y33" s="3058"/>
      <c r="Z33" s="1900">
        <f t="shared" si="15"/>
        <v>111</v>
      </c>
      <c r="AA33" s="1901">
        <f t="shared" si="3"/>
        <v>1</v>
      </c>
      <c r="AB33" s="1901">
        <f t="shared" si="4"/>
        <v>1</v>
      </c>
      <c r="AC33" s="1901">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58"/>
      <c r="Q34" s="1897">
        <f t="shared" si="11"/>
        <v>111</v>
      </c>
      <c r="R34" s="753" t="s">
        <v>25</v>
      </c>
      <c r="S34" s="754">
        <f t="shared" si="12"/>
        <v>100</v>
      </c>
      <c r="T34" s="753" t="s">
        <v>25</v>
      </c>
      <c r="U34" s="754">
        <f t="shared" si="13"/>
        <v>100</v>
      </c>
      <c r="V34" s="753" t="s">
        <v>25</v>
      </c>
      <c r="W34" s="754">
        <f t="shared" si="14"/>
        <v>100</v>
      </c>
      <c r="X34" s="1898"/>
      <c r="Y34" s="3058"/>
      <c r="Z34" s="1900">
        <f t="shared" si="15"/>
        <v>111</v>
      </c>
      <c r="AA34" s="1901">
        <f t="shared" si="3"/>
        <v>1</v>
      </c>
      <c r="AB34" s="1901">
        <f t="shared" si="4"/>
        <v>1</v>
      </c>
      <c r="AC34" s="1901">
        <f t="shared" si="5"/>
        <v>1</v>
      </c>
    </row>
    <row r="35" spans="1:29" ht="15">
      <c r="A35" s="460" t="s">
        <v>2380</v>
      </c>
      <c r="B35" s="461"/>
      <c r="C35" s="1501" t="s">
        <v>1</v>
      </c>
      <c r="D35" s="1502"/>
      <c r="E35" s="1503"/>
      <c r="F35" s="1504"/>
      <c r="G35" s="1505"/>
      <c r="H35" s="1506"/>
      <c r="I35" s="1503"/>
      <c r="J35" s="1506"/>
      <c r="K35" s="762"/>
      <c r="L35" s="1255"/>
      <c r="M35" s="1256"/>
      <c r="N35" s="1243"/>
      <c r="O35" s="1256"/>
      <c r="P35" s="3050" t="str">
        <f>A35</f>
        <v>成交单价（元/平方米）</v>
      </c>
      <c r="Q35" s="3050"/>
      <c r="R35" s="3046">
        <f>E35</f>
        <v>0</v>
      </c>
      <c r="S35" s="3046"/>
      <c r="T35" s="3046">
        <f>G35</f>
        <v>0</v>
      </c>
      <c r="U35" s="3046"/>
      <c r="V35" s="3046">
        <f>I35</f>
        <v>0</v>
      </c>
      <c r="W35" s="3046"/>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50" t="str">
        <f>A36</f>
        <v>比较价值（元/平方米）</v>
      </c>
      <c r="Q36" s="3050"/>
      <c r="R36" s="3046" t="e">
        <f>IF(E1="售价",ROUND(PRODUCT(R35,AA7:AA34),0),ROUND(PRODUCT(R35,AA7:AA34),1))</f>
        <v>#DIV/0!</v>
      </c>
      <c r="S36" s="3046"/>
      <c r="T36" s="3046" t="e">
        <f>IF(E1="售价",ROUND(PRODUCT(T35,AB7:AB34),0),ROUND(PRODUCT(T35,AB7:AB34),1))</f>
        <v>#DIV/0!</v>
      </c>
      <c r="U36" s="3046"/>
      <c r="V36" s="3046" t="e">
        <f>IF(E1="售价",ROUND(PRODUCT(V35,AC7:AC34),0),ROUND(PRODUCT(V35,AC7:AC34),1))</f>
        <v>#DIV/0!</v>
      </c>
      <c r="W36" s="3046"/>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47" t="str">
        <f>A37</f>
        <v>估价对象XX用房的比较价值（楼面单价，元/平方米）</v>
      </c>
      <c r="Q37" s="3048"/>
      <c r="R37" s="3049" t="e">
        <f>IF(E1="售价",ROUND(AVERAGE(R36:V36),0),ROUND(AVERAGE(R36:V36),1))</f>
        <v>#DIV/0!</v>
      </c>
      <c r="S37" s="3049"/>
      <c r="T37" s="3049"/>
      <c r="U37" s="3049"/>
      <c r="V37" s="3049"/>
      <c r="W37" s="304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2019-2</v>
      </c>
      <c r="D46" s="1678">
        <f>EDATE(C46,-1)</f>
        <v>43466</v>
      </c>
      <c r="E46" s="1678">
        <f t="shared" ref="E46:O46" si="16">EDATE(D46,-1)</f>
        <v>43435</v>
      </c>
      <c r="F46" s="1678">
        <f t="shared" si="16"/>
        <v>43405</v>
      </c>
      <c r="G46" s="1678">
        <f t="shared" si="16"/>
        <v>43374</v>
      </c>
      <c r="H46" s="1678">
        <f t="shared" si="16"/>
        <v>43344</v>
      </c>
      <c r="I46" s="1678">
        <f t="shared" si="16"/>
        <v>43313</v>
      </c>
      <c r="J46" s="1678">
        <f t="shared" si="16"/>
        <v>43282</v>
      </c>
      <c r="K46" s="1678">
        <f t="shared" si="16"/>
        <v>43252</v>
      </c>
      <c r="L46" s="1678">
        <f t="shared" si="16"/>
        <v>43221</v>
      </c>
      <c r="M46" s="1678">
        <f t="shared" si="16"/>
        <v>43191</v>
      </c>
      <c r="N46" s="1678">
        <f t="shared" si="16"/>
        <v>43160</v>
      </c>
      <c r="O46" s="1678">
        <f t="shared" si="16"/>
        <v>43132</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2337</v>
      </c>
      <c r="B4" s="381"/>
      <c r="C4" s="3077" t="s">
        <v>2338</v>
      </c>
      <c r="D4" s="3078"/>
      <c r="E4" s="3079" t="s">
        <v>2339</v>
      </c>
      <c r="F4" s="3080"/>
      <c r="G4" s="3077" t="s">
        <v>2340</v>
      </c>
      <c r="H4" s="3078"/>
      <c r="I4" s="3077" t="s">
        <v>2341</v>
      </c>
      <c r="J4" s="3078"/>
      <c r="K4" s="594" t="s">
        <v>2342</v>
      </c>
      <c r="L4" s="1242"/>
      <c r="M4" s="1243"/>
      <c r="N4" s="1243"/>
      <c r="O4" s="1243"/>
      <c r="P4" s="3081" t="s">
        <v>2343</v>
      </c>
      <c r="Q4" s="3082"/>
      <c r="R4" s="3066" t="s">
        <v>2339</v>
      </c>
      <c r="S4" s="3067"/>
      <c r="T4" s="3066" t="s">
        <v>2340</v>
      </c>
      <c r="U4" s="3067"/>
      <c r="V4" s="3087" t="s">
        <v>2341</v>
      </c>
      <c r="W4" s="3087"/>
      <c r="X4" s="1898"/>
      <c r="Y4" s="3066" t="s">
        <v>2343</v>
      </c>
      <c r="Z4" s="3067"/>
      <c r="AA4" s="3074" t="s">
        <v>2339</v>
      </c>
      <c r="AB4" s="3075" t="s">
        <v>2340</v>
      </c>
      <c r="AC4" s="3074" t="s">
        <v>2341</v>
      </c>
    </row>
    <row r="5" spans="1:30" ht="15">
      <c r="A5" s="383"/>
      <c r="B5" s="384"/>
      <c r="C5" s="3091" t="s">
        <v>2344</v>
      </c>
      <c r="D5" s="3063"/>
      <c r="E5" s="3090" t="s">
        <v>2345</v>
      </c>
      <c r="F5" s="3089"/>
      <c r="G5" s="3091" t="s">
        <v>2346</v>
      </c>
      <c r="H5" s="3063"/>
      <c r="I5" s="3091" t="s">
        <v>2347</v>
      </c>
      <c r="J5" s="3063"/>
      <c r="K5" s="594"/>
      <c r="L5" s="1242"/>
      <c r="M5" s="1243"/>
      <c r="N5" s="1243"/>
      <c r="O5" s="1243"/>
      <c r="P5" s="3083"/>
      <c r="Q5" s="3084"/>
      <c r="R5" s="3068"/>
      <c r="S5" s="3069"/>
      <c r="T5" s="3068"/>
      <c r="U5" s="3069"/>
      <c r="V5" s="3087"/>
      <c r="W5" s="3087"/>
      <c r="X5" s="1898"/>
      <c r="Y5" s="3068"/>
      <c r="Z5" s="3069"/>
      <c r="AA5" s="3075"/>
      <c r="AB5" s="3075"/>
      <c r="AC5" s="3075"/>
    </row>
    <row r="6" spans="1:30" ht="15.75" thickBot="1">
      <c r="A6" s="385"/>
      <c r="B6" s="386"/>
      <c r="C6" s="3092" t="s">
        <v>2348</v>
      </c>
      <c r="D6" s="3061"/>
      <c r="E6" s="3093" t="s">
        <v>2348</v>
      </c>
      <c r="F6" s="3094"/>
      <c r="G6" s="3092" t="s">
        <v>2348</v>
      </c>
      <c r="H6" s="3061"/>
      <c r="I6" s="3092" t="s">
        <v>2348</v>
      </c>
      <c r="J6" s="3061"/>
      <c r="K6" s="594" t="s">
        <v>2349</v>
      </c>
      <c r="L6" s="1242"/>
      <c r="M6" s="1243"/>
      <c r="N6" s="1243"/>
      <c r="O6" s="1243"/>
      <c r="P6" s="3085"/>
      <c r="Q6" s="3086"/>
      <c r="R6" s="3068"/>
      <c r="S6" s="3069"/>
      <c r="T6" s="3070"/>
      <c r="U6" s="3071"/>
      <c r="V6" s="3087"/>
      <c r="W6" s="3087"/>
      <c r="X6" s="1898"/>
      <c r="Y6" s="3070"/>
      <c r="Z6" s="3071"/>
      <c r="AA6" s="3076"/>
      <c r="AB6" s="3076"/>
      <c r="AC6" s="3076"/>
    </row>
    <row r="7" spans="1:30" s="35" customFormat="1" ht="15.75" thickBot="1">
      <c r="A7" s="387" t="s">
        <v>2350</v>
      </c>
      <c r="B7" s="388"/>
      <c r="C7" s="389">
        <f>'数据-取费表'!B2</f>
        <v>43516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64" t="s">
        <v>2351</v>
      </c>
      <c r="Q7" s="3072"/>
      <c r="R7" s="749" t="s">
        <v>25</v>
      </c>
      <c r="S7" s="750">
        <f t="shared" ref="S7:S15" si="0">F7</f>
        <v>0</v>
      </c>
      <c r="T7" s="749" t="s">
        <v>25</v>
      </c>
      <c r="U7" s="750">
        <f t="shared" ref="U7:U15" si="1">H7</f>
        <v>0</v>
      </c>
      <c r="V7" s="749" t="s">
        <v>25</v>
      </c>
      <c r="W7" s="750">
        <f t="shared" ref="W7:W15" si="2">J7</f>
        <v>0</v>
      </c>
      <c r="X7" s="751"/>
      <c r="Y7" s="3064" t="s">
        <v>2351</v>
      </c>
      <c r="Z7" s="3065"/>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64" t="s">
        <v>2354</v>
      </c>
      <c r="Q8" s="3065"/>
      <c r="R8" s="749" t="s">
        <v>25</v>
      </c>
      <c r="S8" s="750">
        <f t="shared" si="0"/>
        <v>0</v>
      </c>
      <c r="T8" s="749" t="s">
        <v>25</v>
      </c>
      <c r="U8" s="750">
        <f t="shared" si="1"/>
        <v>0</v>
      </c>
      <c r="V8" s="749" t="s">
        <v>25</v>
      </c>
      <c r="W8" s="750">
        <f t="shared" si="2"/>
        <v>0</v>
      </c>
      <c r="X8" s="751"/>
      <c r="Y8" s="3064" t="s">
        <v>2354</v>
      </c>
      <c r="Z8" s="3065"/>
      <c r="AA8" s="752" t="e">
        <f t="shared" ref="AA8:AA45" si="3">D8/F8</f>
        <v>#DIV/0!</v>
      </c>
      <c r="AB8" s="752" t="e">
        <f t="shared" ref="AB8:AB45" si="4">D8/H8</f>
        <v>#DIV/0!</v>
      </c>
      <c r="AC8" s="752" t="e">
        <f t="shared" ref="AC8:AC45" si="5">D8/J8</f>
        <v>#DIV/0!</v>
      </c>
    </row>
    <row r="9" spans="1:30" s="35" customFormat="1">
      <c r="A9" s="395" t="s">
        <v>2355</v>
      </c>
      <c r="B9" s="28" t="s">
        <v>2356</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50" t="s">
        <v>2357</v>
      </c>
      <c r="Q9" s="1885"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104</v>
      </c>
      <c r="G10" s="444"/>
      <c r="H10" s="52">
        <f>ROUND(100/'数据-取费表'!B14,0)</f>
        <v>104</v>
      </c>
      <c r="I10" s="444"/>
      <c r="J10" s="52">
        <f>ROUND(100/'数据-取费表'!B14,0)</f>
        <v>104</v>
      </c>
      <c r="K10" s="655"/>
      <c r="L10" s="1247"/>
      <c r="M10" s="1248"/>
      <c r="N10" s="1248"/>
      <c r="O10" s="1249"/>
      <c r="P10" s="3050"/>
      <c r="Q10" s="1885" t="str">
        <f t="shared" si="6"/>
        <v>土地使用年限（年）</v>
      </c>
      <c r="R10" s="749" t="s">
        <v>25</v>
      </c>
      <c r="S10" s="750">
        <f t="shared" si="0"/>
        <v>104</v>
      </c>
      <c r="T10" s="749" t="s">
        <v>25</v>
      </c>
      <c r="U10" s="750">
        <f t="shared" si="1"/>
        <v>104</v>
      </c>
      <c r="V10" s="749" t="s">
        <v>25</v>
      </c>
      <c r="W10" s="750">
        <f t="shared" si="2"/>
        <v>104</v>
      </c>
      <c r="X10" s="751"/>
      <c r="Y10" s="2876"/>
      <c r="Z10" s="23" t="str">
        <f t="shared" si="7"/>
        <v>土地使用年限（年）</v>
      </c>
      <c r="AA10" s="752">
        <f t="shared" si="3"/>
        <v>0.96153846153846156</v>
      </c>
      <c r="AB10" s="752">
        <f t="shared" si="4"/>
        <v>0.96153846153846156</v>
      </c>
      <c r="AC10" s="752">
        <f t="shared" si="5"/>
        <v>0.96153846153846156</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50"/>
      <c r="Q11" s="1885"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30" s="35" customFormat="1" ht="15">
      <c r="A12" s="411"/>
      <c r="B12" s="2399"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50"/>
      <c r="Q12" s="1885" t="str">
        <f t="shared" si="6"/>
        <v>配建</v>
      </c>
      <c r="R12" s="749" t="s">
        <v>25</v>
      </c>
      <c r="S12" s="750">
        <f t="shared" si="0"/>
        <v>100</v>
      </c>
      <c r="T12" s="749" t="s">
        <v>25</v>
      </c>
      <c r="U12" s="750">
        <f t="shared" si="1"/>
        <v>100</v>
      </c>
      <c r="V12" s="749" t="s">
        <v>25</v>
      </c>
      <c r="W12" s="750">
        <f t="shared" si="2"/>
        <v>100</v>
      </c>
      <c r="X12" s="751"/>
      <c r="Y12" s="2876"/>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50"/>
      <c r="Q13" s="1885">
        <f t="shared" si="6"/>
        <v>111</v>
      </c>
      <c r="R13" s="749" t="s">
        <v>25</v>
      </c>
      <c r="S13" s="750">
        <f t="shared" si="0"/>
        <v>100</v>
      </c>
      <c r="T13" s="749" t="s">
        <v>25</v>
      </c>
      <c r="U13" s="750">
        <f t="shared" si="1"/>
        <v>100</v>
      </c>
      <c r="V13" s="749" t="s">
        <v>25</v>
      </c>
      <c r="W13" s="750">
        <f t="shared" si="2"/>
        <v>100</v>
      </c>
      <c r="X13" s="751"/>
      <c r="Y13" s="2876"/>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50"/>
      <c r="Q14" s="1885">
        <f t="shared" si="6"/>
        <v>111</v>
      </c>
      <c r="R14" s="749" t="s">
        <v>25</v>
      </c>
      <c r="S14" s="750">
        <f t="shared" si="0"/>
        <v>100</v>
      </c>
      <c r="T14" s="749" t="s">
        <v>25</v>
      </c>
      <c r="U14" s="750">
        <f t="shared" si="1"/>
        <v>100</v>
      </c>
      <c r="V14" s="749" t="s">
        <v>25</v>
      </c>
      <c r="W14" s="750">
        <f t="shared" si="2"/>
        <v>100</v>
      </c>
      <c r="X14" s="751"/>
      <c r="Y14" s="2876"/>
      <c r="Z14" s="23">
        <f t="shared" si="7"/>
        <v>111</v>
      </c>
      <c r="AA14" s="752">
        <f>D14/F14</f>
        <v>1</v>
      </c>
      <c r="AB14" s="752">
        <f>D14/H14</f>
        <v>1</v>
      </c>
      <c r="AC14" s="752">
        <f>D14/J14</f>
        <v>1</v>
      </c>
    </row>
    <row r="15" spans="1:30" ht="99.75">
      <c r="A15" s="380" t="s">
        <v>2361</v>
      </c>
      <c r="B15" s="1486" t="s">
        <v>1735</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53" t="s">
        <v>2362</v>
      </c>
      <c r="Q15" s="1897" t="str">
        <f t="shared" si="6"/>
        <v>居住社区成熟度</v>
      </c>
      <c r="R15" s="753" t="s">
        <v>25</v>
      </c>
      <c r="S15" s="754">
        <f t="shared" si="0"/>
        <v>100</v>
      </c>
      <c r="T15" s="753" t="s">
        <v>25</v>
      </c>
      <c r="U15" s="754">
        <f t="shared" si="1"/>
        <v>100</v>
      </c>
      <c r="V15" s="753" t="s">
        <v>25</v>
      </c>
      <c r="W15" s="754">
        <f t="shared" si="2"/>
        <v>100</v>
      </c>
      <c r="X15" s="1898"/>
      <c r="Y15" s="3053" t="s">
        <v>2362</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404"/>
      <c r="J16" s="427"/>
      <c r="K16" s="655"/>
      <c r="L16" s="1252"/>
      <c r="M16" s="1243"/>
      <c r="N16" s="1243"/>
      <c r="O16" s="1251"/>
      <c r="P16" s="3054"/>
      <c r="Q16" s="1897"/>
      <c r="R16" s="753"/>
      <c r="S16" s="754"/>
      <c r="T16" s="753"/>
      <c r="U16" s="754"/>
      <c r="V16" s="753"/>
      <c r="W16" s="754"/>
      <c r="X16" s="1898"/>
      <c r="Y16" s="3054"/>
      <c r="Z16" s="1900"/>
      <c r="AA16" s="1901">
        <v>1</v>
      </c>
      <c r="AB16" s="1901">
        <v>1</v>
      </c>
      <c r="AC16" s="1901">
        <v>1</v>
      </c>
    </row>
    <row r="17" spans="1:29" ht="71.25">
      <c r="A17" s="383"/>
      <c r="B17" s="1488" t="s">
        <v>2447</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54"/>
      <c r="Q17" s="1897" t="str">
        <f>B17</f>
        <v>商业繁华度</v>
      </c>
      <c r="R17" s="753" t="s">
        <v>25</v>
      </c>
      <c r="S17" s="754">
        <f>F17</f>
        <v>100</v>
      </c>
      <c r="T17" s="753" t="s">
        <v>25</v>
      </c>
      <c r="U17" s="754">
        <f>H17</f>
        <v>100</v>
      </c>
      <c r="V17" s="753" t="s">
        <v>25</v>
      </c>
      <c r="W17" s="754">
        <f>J17</f>
        <v>100</v>
      </c>
      <c r="X17" s="1898"/>
      <c r="Y17" s="3054"/>
      <c r="Z17" s="1900" t="str">
        <f>Q17</f>
        <v>商业繁华度</v>
      </c>
      <c r="AA17" s="1901">
        <f t="shared" si="3"/>
        <v>1</v>
      </c>
      <c r="AB17" s="1901">
        <f t="shared" si="4"/>
        <v>1</v>
      </c>
      <c r="AC17" s="1901">
        <f t="shared" si="5"/>
        <v>1</v>
      </c>
    </row>
    <row r="18" spans="1:29" ht="15">
      <c r="A18" s="383"/>
      <c r="B18" s="1489"/>
      <c r="C18" s="2469"/>
      <c r="D18" s="430"/>
      <c r="E18" s="1467"/>
      <c r="F18" s="430"/>
      <c r="G18" s="1467"/>
      <c r="H18" s="427"/>
      <c r="I18" s="2407"/>
      <c r="J18" s="427"/>
      <c r="K18" s="655"/>
      <c r="L18" s="1252"/>
      <c r="M18" s="1243"/>
      <c r="N18" s="1243"/>
      <c r="O18" s="1251"/>
      <c r="P18" s="3054"/>
      <c r="Q18" s="1897"/>
      <c r="R18" s="753"/>
      <c r="S18" s="754"/>
      <c r="T18" s="753"/>
      <c r="U18" s="754"/>
      <c r="V18" s="753"/>
      <c r="W18" s="754"/>
      <c r="X18" s="1898"/>
      <c r="Y18" s="3054"/>
      <c r="Z18" s="1900"/>
      <c r="AA18" s="1901">
        <v>1</v>
      </c>
      <c r="AB18" s="1901">
        <v>1</v>
      </c>
      <c r="AC18" s="1901">
        <v>1</v>
      </c>
    </row>
    <row r="19" spans="1:29" ht="71.25">
      <c r="A19" s="383"/>
      <c r="B19" s="1488" t="s">
        <v>2476</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54"/>
      <c r="Q19" s="1897" t="str">
        <f>B19</f>
        <v>办公集聚程度</v>
      </c>
      <c r="R19" s="753" t="s">
        <v>25</v>
      </c>
      <c r="S19" s="754">
        <f>F19</f>
        <v>100</v>
      </c>
      <c r="T19" s="753" t="s">
        <v>25</v>
      </c>
      <c r="U19" s="754">
        <f>H19</f>
        <v>100</v>
      </c>
      <c r="V19" s="753" t="s">
        <v>25</v>
      </c>
      <c r="W19" s="754">
        <f>J19</f>
        <v>100</v>
      </c>
      <c r="X19" s="1898"/>
      <c r="Y19" s="3054"/>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404"/>
      <c r="J20" s="427"/>
      <c r="K20" s="655"/>
      <c r="L20" s="1252"/>
      <c r="M20" s="1243"/>
      <c r="N20" s="1243"/>
      <c r="O20" s="1251"/>
      <c r="P20" s="3054"/>
      <c r="Q20" s="1897"/>
      <c r="R20" s="753"/>
      <c r="S20" s="754"/>
      <c r="T20" s="753"/>
      <c r="U20" s="754"/>
      <c r="V20" s="753"/>
      <c r="W20" s="754"/>
      <c r="X20" s="1898"/>
      <c r="Y20" s="3054"/>
      <c r="Z20" s="1900"/>
      <c r="AA20" s="1901">
        <v>1</v>
      </c>
      <c r="AB20" s="1901">
        <v>1</v>
      </c>
      <c r="AC20" s="1901">
        <v>1</v>
      </c>
    </row>
    <row r="21" spans="1:29" ht="85.5">
      <c r="A21" s="383"/>
      <c r="B21" s="1488" t="s">
        <v>2505</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54"/>
      <c r="Q21" s="1897" t="str">
        <f>B21</f>
        <v>交通便捷度</v>
      </c>
      <c r="R21" s="753" t="s">
        <v>25</v>
      </c>
      <c r="S21" s="754">
        <f>F21</f>
        <v>100</v>
      </c>
      <c r="T21" s="753" t="s">
        <v>25</v>
      </c>
      <c r="U21" s="754">
        <f>H21</f>
        <v>100</v>
      </c>
      <c r="V21" s="753" t="s">
        <v>25</v>
      </c>
      <c r="W21" s="754">
        <f>J21</f>
        <v>100</v>
      </c>
      <c r="X21" s="1898"/>
      <c r="Y21" s="3054"/>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404"/>
      <c r="J22" s="427"/>
      <c r="K22" s="655"/>
      <c r="L22" s="1252"/>
      <c r="M22" s="1243"/>
      <c r="N22" s="1243"/>
      <c r="O22" s="1251"/>
      <c r="P22" s="3054"/>
      <c r="Q22" s="1897"/>
      <c r="R22" s="753"/>
      <c r="S22" s="754"/>
      <c r="T22" s="753"/>
      <c r="U22" s="754"/>
      <c r="V22" s="753"/>
      <c r="W22" s="754"/>
      <c r="X22" s="1898"/>
      <c r="Y22" s="3054"/>
      <c r="Z22" s="1900"/>
      <c r="AA22" s="1901">
        <v>1</v>
      </c>
      <c r="AB22" s="1901">
        <v>1</v>
      </c>
      <c r="AC22" s="1901">
        <v>1</v>
      </c>
    </row>
    <row r="23" spans="1:29" ht="15">
      <c r="A23" s="383"/>
      <c r="B23" s="1491" t="s">
        <v>2545</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54"/>
      <c r="Q23" s="1897" t="str">
        <f t="shared" ref="Q23:Q37" si="8">B23</f>
        <v>区域土地利用方向</v>
      </c>
      <c r="R23" s="753" t="s">
        <v>25</v>
      </c>
      <c r="S23" s="754">
        <f>F23</f>
        <v>100</v>
      </c>
      <c r="T23" s="753" t="s">
        <v>25</v>
      </c>
      <c r="U23" s="754">
        <f>H23</f>
        <v>100</v>
      </c>
      <c r="V23" s="753" t="s">
        <v>25</v>
      </c>
      <c r="W23" s="754">
        <f>J23</f>
        <v>100</v>
      </c>
      <c r="X23" s="1898"/>
      <c r="Y23" s="3054"/>
      <c r="Z23" s="1900" t="str">
        <f>Q23</f>
        <v>区域土地利用方向</v>
      </c>
      <c r="AA23" s="1901">
        <f t="shared" si="3"/>
        <v>1</v>
      </c>
      <c r="AB23" s="1901">
        <f t="shared" si="4"/>
        <v>1</v>
      </c>
      <c r="AC23" s="1901">
        <f t="shared" si="5"/>
        <v>1</v>
      </c>
    </row>
    <row r="24" spans="1:29" ht="15">
      <c r="A24" s="383"/>
      <c r="B24" s="1492"/>
      <c r="C24" s="618"/>
      <c r="D24" s="427"/>
      <c r="E24" s="428"/>
      <c r="F24" s="427"/>
      <c r="G24" s="2404"/>
      <c r="H24" s="427"/>
      <c r="I24" s="2404"/>
      <c r="J24" s="427"/>
      <c r="K24" s="804"/>
      <c r="L24" s="1252"/>
      <c r="M24" s="1243"/>
      <c r="N24" s="1243"/>
      <c r="O24" s="1251"/>
      <c r="P24" s="3054"/>
      <c r="Q24" s="1897"/>
      <c r="R24" s="753"/>
      <c r="S24" s="754"/>
      <c r="T24" s="753"/>
      <c r="U24" s="754"/>
      <c r="V24" s="753"/>
      <c r="W24" s="754"/>
      <c r="X24" s="1898"/>
      <c r="Y24" s="3054"/>
      <c r="Z24" s="1900"/>
      <c r="AA24" s="1901"/>
      <c r="AB24" s="1901"/>
      <c r="AC24" s="1901"/>
    </row>
    <row r="25" spans="1:29" ht="57">
      <c r="A25" s="383"/>
      <c r="B25" s="1490" t="s">
        <v>2546</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54"/>
      <c r="Q25" s="1897" t="str">
        <f t="shared" si="8"/>
        <v>自然及人文环境状况</v>
      </c>
      <c r="R25" s="753" t="s">
        <v>25</v>
      </c>
      <c r="S25" s="754">
        <f>F25</f>
        <v>100</v>
      </c>
      <c r="T25" s="753" t="s">
        <v>25</v>
      </c>
      <c r="U25" s="754">
        <f>H25</f>
        <v>100</v>
      </c>
      <c r="V25" s="753" t="s">
        <v>25</v>
      </c>
      <c r="W25" s="754">
        <f>J25</f>
        <v>100</v>
      </c>
      <c r="X25" s="1898"/>
      <c r="Y25" s="3054"/>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54"/>
      <c r="Q26" s="1897"/>
      <c r="R26" s="753"/>
      <c r="S26" s="754"/>
      <c r="T26" s="753"/>
      <c r="U26" s="754"/>
      <c r="V26" s="753"/>
      <c r="W26" s="754"/>
      <c r="X26" s="1898"/>
      <c r="Y26" s="3054"/>
      <c r="Z26" s="1900"/>
      <c r="AA26" s="1901">
        <v>1</v>
      </c>
      <c r="AB26" s="1901">
        <v>1</v>
      </c>
      <c r="AC26" s="1901">
        <v>1</v>
      </c>
    </row>
    <row r="27" spans="1:29" ht="42.75">
      <c r="A27" s="383"/>
      <c r="B27" s="1490" t="s">
        <v>2448</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54"/>
      <c r="Q27" s="1885" t="str">
        <f t="shared" ref="Q27" si="9">B27</f>
        <v>公共配套设施</v>
      </c>
      <c r="R27" s="749" t="s">
        <v>25</v>
      </c>
      <c r="S27" s="750">
        <f>F27</f>
        <v>100</v>
      </c>
      <c r="T27" s="749" t="s">
        <v>25</v>
      </c>
      <c r="U27" s="750">
        <f>H27</f>
        <v>100</v>
      </c>
      <c r="V27" s="749" t="s">
        <v>25</v>
      </c>
      <c r="W27" s="750">
        <f>J27</f>
        <v>100</v>
      </c>
      <c r="X27" s="1898"/>
      <c r="Y27" s="3054"/>
      <c r="Z27" s="23" t="str">
        <f>Q27</f>
        <v>公共配套设施</v>
      </c>
      <c r="AA27" s="1901">
        <f>D27/F27</f>
        <v>1</v>
      </c>
      <c r="AB27" s="1901">
        <f>D27/H27</f>
        <v>1</v>
      </c>
      <c r="AC27" s="1901">
        <f>D27/J27</f>
        <v>1</v>
      </c>
    </row>
    <row r="28" spans="1:29" ht="15">
      <c r="A28" s="383"/>
      <c r="B28" s="1489"/>
      <c r="C28" s="2487"/>
      <c r="D28" s="427"/>
      <c r="E28" s="2487"/>
      <c r="F28" s="427"/>
      <c r="G28" s="2487"/>
      <c r="H28" s="427"/>
      <c r="I28" s="2487"/>
      <c r="J28" s="427"/>
      <c r="K28" s="655"/>
      <c r="L28" s="1252"/>
      <c r="M28" s="1243"/>
      <c r="N28" s="1243"/>
      <c r="O28" s="1251"/>
      <c r="P28" s="3054"/>
      <c r="Q28" s="1897"/>
      <c r="R28" s="753"/>
      <c r="S28" s="754"/>
      <c r="T28" s="753"/>
      <c r="U28" s="754"/>
      <c r="V28" s="753"/>
      <c r="W28" s="754"/>
      <c r="X28" s="1898"/>
      <c r="Y28" s="3054"/>
      <c r="Z28" s="23"/>
      <c r="AA28" s="1901">
        <v>1</v>
      </c>
      <c r="AB28" s="1901">
        <v>1</v>
      </c>
      <c r="AC28" s="1901">
        <v>1</v>
      </c>
    </row>
    <row r="29" spans="1:29" s="35" customFormat="1" ht="28.5">
      <c r="A29" s="633"/>
      <c r="B29" s="1490" t="s">
        <v>2449</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54"/>
      <c r="Q29" s="1885" t="str">
        <f t="shared" si="8"/>
        <v>基础设施水平</v>
      </c>
      <c r="R29" s="749" t="s">
        <v>25</v>
      </c>
      <c r="S29" s="750">
        <f>F29</f>
        <v>100</v>
      </c>
      <c r="T29" s="749" t="s">
        <v>25</v>
      </c>
      <c r="U29" s="750">
        <f>H29</f>
        <v>100</v>
      </c>
      <c r="V29" s="749" t="s">
        <v>25</v>
      </c>
      <c r="W29" s="750">
        <f>J29</f>
        <v>100</v>
      </c>
      <c r="X29" s="751"/>
      <c r="Y29" s="3054"/>
      <c r="Z29" s="23" t="str">
        <f>Q29</f>
        <v>基础设施水平</v>
      </c>
      <c r="AA29" s="1901">
        <f>D29/F29</f>
        <v>1</v>
      </c>
      <c r="AB29" s="1901">
        <f>D29/H29</f>
        <v>1</v>
      </c>
      <c r="AC29" s="1901">
        <f>D29/J29</f>
        <v>1</v>
      </c>
    </row>
    <row r="30" spans="1:29" s="35" customFormat="1" ht="15">
      <c r="A30" s="633"/>
      <c r="B30" s="1489"/>
      <c r="C30" s="2487"/>
      <c r="D30" s="427"/>
      <c r="E30" s="2487"/>
      <c r="F30" s="427"/>
      <c r="G30" s="2487"/>
      <c r="H30" s="427"/>
      <c r="I30" s="2487"/>
      <c r="J30" s="427"/>
      <c r="K30" s="655"/>
      <c r="L30" s="1244"/>
      <c r="M30" s="1245"/>
      <c r="N30" s="1245"/>
      <c r="O30" s="1246"/>
      <c r="P30" s="3054"/>
      <c r="Q30" s="1885"/>
      <c r="R30" s="749"/>
      <c r="S30" s="750"/>
      <c r="T30" s="749"/>
      <c r="U30" s="750"/>
      <c r="V30" s="749"/>
      <c r="W30" s="750"/>
      <c r="X30" s="751"/>
      <c r="Y30" s="3054"/>
      <c r="Z30" s="23"/>
      <c r="AA30" s="1901">
        <v>1</v>
      </c>
      <c r="AB30" s="1901">
        <v>1</v>
      </c>
      <c r="AC30" s="1901">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54"/>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54"/>
      <c r="Z31" s="1900" t="str">
        <f t="shared" ref="Z31:Z45" si="13">Q31</f>
        <v>临街状况</v>
      </c>
      <c r="AA31" s="1901">
        <f t="shared" si="3"/>
        <v>1</v>
      </c>
      <c r="AB31" s="1901">
        <f t="shared" si="4"/>
        <v>1</v>
      </c>
      <c r="AC31" s="1901">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54"/>
      <c r="Q32" s="1897" t="str">
        <f t="shared" si="8"/>
        <v>毗邻道路的类型与等级</v>
      </c>
      <c r="R32" s="753" t="s">
        <v>25</v>
      </c>
      <c r="S32" s="754">
        <f t="shared" si="10"/>
        <v>100</v>
      </c>
      <c r="T32" s="753" t="s">
        <v>25</v>
      </c>
      <c r="U32" s="754">
        <f t="shared" si="11"/>
        <v>100</v>
      </c>
      <c r="V32" s="753" t="s">
        <v>25</v>
      </c>
      <c r="W32" s="754">
        <f t="shared" si="12"/>
        <v>100</v>
      </c>
      <c r="X32" s="1898"/>
      <c r="Y32" s="3054"/>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54"/>
      <c r="Q33" s="1897"/>
      <c r="R33" s="753"/>
      <c r="S33" s="754"/>
      <c r="T33" s="753"/>
      <c r="U33" s="754"/>
      <c r="V33" s="753"/>
      <c r="W33" s="754"/>
      <c r="X33" s="1898"/>
      <c r="Y33" s="3054"/>
      <c r="Z33" s="1900"/>
      <c r="AA33" s="1901">
        <v>1</v>
      </c>
      <c r="AB33" s="1901">
        <v>1</v>
      </c>
      <c r="AC33" s="1901">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54"/>
      <c r="Q34" s="1897" t="str">
        <f t="shared" si="8"/>
        <v>土地级别</v>
      </c>
      <c r="R34" s="753" t="s">
        <v>25</v>
      </c>
      <c r="S34" s="754">
        <f t="shared" si="10"/>
        <v>100</v>
      </c>
      <c r="T34" s="753" t="s">
        <v>25</v>
      </c>
      <c r="U34" s="754">
        <f t="shared" si="11"/>
        <v>100</v>
      </c>
      <c r="V34" s="753" t="s">
        <v>25</v>
      </c>
      <c r="W34" s="754">
        <f t="shared" si="12"/>
        <v>100</v>
      </c>
      <c r="X34" s="1898"/>
      <c r="Y34" s="3054"/>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54"/>
      <c r="Q35" s="1897">
        <f t="shared" si="8"/>
        <v>111</v>
      </c>
      <c r="R35" s="753" t="s">
        <v>25</v>
      </c>
      <c r="S35" s="754">
        <f t="shared" si="10"/>
        <v>100</v>
      </c>
      <c r="T35" s="753" t="s">
        <v>25</v>
      </c>
      <c r="U35" s="754">
        <f t="shared" si="11"/>
        <v>100</v>
      </c>
      <c r="V35" s="753" t="s">
        <v>25</v>
      </c>
      <c r="W35" s="754">
        <f t="shared" si="12"/>
        <v>100</v>
      </c>
      <c r="X35" s="1898"/>
      <c r="Y35" s="3054"/>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02" t="s">
        <v>2368</v>
      </c>
      <c r="Q36" s="1897">
        <f t="shared" si="8"/>
        <v>111</v>
      </c>
      <c r="R36" s="753" t="s">
        <v>25</v>
      </c>
      <c r="S36" s="754">
        <f t="shared" si="10"/>
        <v>100</v>
      </c>
      <c r="T36" s="753" t="s">
        <v>25</v>
      </c>
      <c r="U36" s="754">
        <f t="shared" si="11"/>
        <v>100</v>
      </c>
      <c r="V36" s="753" t="s">
        <v>25</v>
      </c>
      <c r="W36" s="754">
        <f t="shared" si="12"/>
        <v>100</v>
      </c>
      <c r="X36" s="1898"/>
      <c r="Y36" s="3058" t="s">
        <v>2368</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58"/>
      <c r="Q37" s="1897">
        <f t="shared" si="8"/>
        <v>111</v>
      </c>
      <c r="R37" s="756" t="s">
        <v>25</v>
      </c>
      <c r="S37" s="757">
        <f t="shared" si="10"/>
        <v>100</v>
      </c>
      <c r="T37" s="756" t="s">
        <v>25</v>
      </c>
      <c r="U37" s="757">
        <f t="shared" si="11"/>
        <v>100</v>
      </c>
      <c r="V37" s="756" t="s">
        <v>25</v>
      </c>
      <c r="W37" s="757">
        <f t="shared" si="12"/>
        <v>100</v>
      </c>
      <c r="X37" s="758"/>
      <c r="Y37" s="3058"/>
      <c r="Z37" s="759">
        <f t="shared" si="13"/>
        <v>111</v>
      </c>
      <c r="AA37" s="1901">
        <f t="shared" si="3"/>
        <v>1</v>
      </c>
      <c r="AB37" s="1901">
        <f t="shared" si="4"/>
        <v>1</v>
      </c>
      <c r="AC37" s="1901">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58"/>
      <c r="Q38" s="1897" t="str">
        <f>B38</f>
        <v>宗地面积</v>
      </c>
      <c r="R38" s="753" t="s">
        <v>25</v>
      </c>
      <c r="S38" s="754" t="e">
        <f t="shared" si="10"/>
        <v>#N/A</v>
      </c>
      <c r="T38" s="753" t="s">
        <v>25</v>
      </c>
      <c r="U38" s="754" t="e">
        <f t="shared" si="11"/>
        <v>#N/A</v>
      </c>
      <c r="V38" s="753" t="s">
        <v>25</v>
      </c>
      <c r="W38" s="754" t="e">
        <f t="shared" si="12"/>
        <v>#N/A</v>
      </c>
      <c r="X38" s="1898"/>
      <c r="Y38" s="3058"/>
      <c r="Z38" s="1900" t="str">
        <f t="shared" si="13"/>
        <v>宗地面积</v>
      </c>
      <c r="AA38" s="1901" t="e">
        <f t="shared" si="3"/>
        <v>#N/A</v>
      </c>
      <c r="AB38" s="1901" t="e">
        <f t="shared" si="4"/>
        <v>#N/A</v>
      </c>
      <c r="AC38" s="1901" t="e">
        <f t="shared" si="5"/>
        <v>#N/A</v>
      </c>
    </row>
    <row r="39" spans="1:29" ht="15">
      <c r="A39" s="453"/>
      <c r="B39" s="402" t="s">
        <v>2549</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58"/>
      <c r="Q39" s="1897" t="str">
        <f t="shared" ref="Q39:Q45" si="14">B39</f>
        <v>宗地形状</v>
      </c>
      <c r="R39" s="753" t="s">
        <v>25</v>
      </c>
      <c r="S39" s="754">
        <f t="shared" si="10"/>
        <v>100</v>
      </c>
      <c r="T39" s="753" t="s">
        <v>25</v>
      </c>
      <c r="U39" s="754">
        <f t="shared" si="11"/>
        <v>100</v>
      </c>
      <c r="V39" s="753" t="s">
        <v>25</v>
      </c>
      <c r="W39" s="754">
        <f t="shared" si="12"/>
        <v>100</v>
      </c>
      <c r="X39" s="1898"/>
      <c r="Y39" s="3058"/>
      <c r="Z39" s="1900" t="str">
        <f t="shared" si="13"/>
        <v>宗地形状</v>
      </c>
      <c r="AA39" s="1901">
        <f t="shared" si="3"/>
        <v>1</v>
      </c>
      <c r="AB39" s="1901">
        <f t="shared" si="4"/>
        <v>1</v>
      </c>
      <c r="AC39" s="1901">
        <f t="shared" si="5"/>
        <v>1</v>
      </c>
    </row>
    <row r="40" spans="1:29" ht="15">
      <c r="A40" s="453"/>
      <c r="B40" s="402" t="s">
        <v>2550</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58"/>
      <c r="Q40" s="1897" t="str">
        <f t="shared" si="14"/>
        <v>临街宽度及深度</v>
      </c>
      <c r="R40" s="753" t="s">
        <v>25</v>
      </c>
      <c r="S40" s="754">
        <f t="shared" si="10"/>
        <v>100</v>
      </c>
      <c r="T40" s="753" t="s">
        <v>25</v>
      </c>
      <c r="U40" s="754">
        <f t="shared" si="11"/>
        <v>100</v>
      </c>
      <c r="V40" s="753" t="s">
        <v>25</v>
      </c>
      <c r="W40" s="754">
        <f t="shared" si="12"/>
        <v>100</v>
      </c>
      <c r="X40" s="1898"/>
      <c r="Y40" s="3058"/>
      <c r="Z40" s="1900" t="str">
        <f t="shared" si="13"/>
        <v>临街宽度及深度</v>
      </c>
      <c r="AA40" s="1901">
        <f t="shared" si="3"/>
        <v>1</v>
      </c>
      <c r="AB40" s="1901">
        <f t="shared" si="4"/>
        <v>1</v>
      </c>
      <c r="AC40" s="1901">
        <f t="shared" si="5"/>
        <v>1</v>
      </c>
    </row>
    <row r="41" spans="1:29" s="35" customFormat="1" ht="15">
      <c r="A41" s="454"/>
      <c r="B41" s="402" t="s">
        <v>2551</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58"/>
      <c r="Q41" s="1897" t="str">
        <f t="shared" si="14"/>
        <v>宗地开发程度</v>
      </c>
      <c r="R41" s="749" t="s">
        <v>25</v>
      </c>
      <c r="S41" s="750">
        <f t="shared" si="10"/>
        <v>100</v>
      </c>
      <c r="T41" s="749" t="s">
        <v>25</v>
      </c>
      <c r="U41" s="750">
        <f t="shared" si="11"/>
        <v>100</v>
      </c>
      <c r="V41" s="749" t="s">
        <v>25</v>
      </c>
      <c r="W41" s="750">
        <f t="shared" si="12"/>
        <v>100</v>
      </c>
      <c r="X41" s="751"/>
      <c r="Y41" s="3058"/>
      <c r="Z41" s="23" t="str">
        <f t="shared" si="13"/>
        <v>宗地开发程度</v>
      </c>
      <c r="AA41" s="752">
        <f t="shared" si="3"/>
        <v>1</v>
      </c>
      <c r="AB41" s="752">
        <f t="shared" si="4"/>
        <v>1</v>
      </c>
      <c r="AC41" s="752">
        <f t="shared" si="5"/>
        <v>1</v>
      </c>
    </row>
    <row r="42" spans="1:29" ht="15">
      <c r="A42" s="453"/>
      <c r="B42" s="402" t="s">
        <v>2552</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58" t="s">
        <v>2368</v>
      </c>
      <c r="Q42" s="1897" t="str">
        <f t="shared" si="14"/>
        <v>工程地质条件</v>
      </c>
      <c r="R42" s="753" t="s">
        <v>25</v>
      </c>
      <c r="S42" s="754">
        <f t="shared" si="10"/>
        <v>100</v>
      </c>
      <c r="T42" s="753" t="s">
        <v>25</v>
      </c>
      <c r="U42" s="754">
        <f t="shared" si="11"/>
        <v>100</v>
      </c>
      <c r="V42" s="753" t="s">
        <v>25</v>
      </c>
      <c r="W42" s="754">
        <f t="shared" si="12"/>
        <v>100</v>
      </c>
      <c r="X42" s="1898"/>
      <c r="Y42" s="3058" t="s">
        <v>2368</v>
      </c>
      <c r="Z42" s="1900" t="str">
        <f t="shared" si="13"/>
        <v>工程地质条件</v>
      </c>
      <c r="AA42" s="1901">
        <f t="shared" si="3"/>
        <v>1</v>
      </c>
      <c r="AB42" s="1901">
        <f t="shared" si="4"/>
        <v>1</v>
      </c>
      <c r="AC42" s="1901">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58"/>
      <c r="Q43" s="1897">
        <f t="shared" si="14"/>
        <v>111</v>
      </c>
      <c r="R43" s="753" t="s">
        <v>25</v>
      </c>
      <c r="S43" s="754">
        <f t="shared" si="10"/>
        <v>100</v>
      </c>
      <c r="T43" s="753" t="s">
        <v>25</v>
      </c>
      <c r="U43" s="754">
        <f t="shared" si="11"/>
        <v>100</v>
      </c>
      <c r="V43" s="753" t="s">
        <v>25</v>
      </c>
      <c r="W43" s="754">
        <f t="shared" si="12"/>
        <v>100</v>
      </c>
      <c r="X43" s="1898"/>
      <c r="Y43" s="3058"/>
      <c r="Z43" s="1900">
        <f t="shared" si="13"/>
        <v>111</v>
      </c>
      <c r="AA43" s="1901">
        <f t="shared" si="3"/>
        <v>1</v>
      </c>
      <c r="AB43" s="1901">
        <f t="shared" si="4"/>
        <v>1</v>
      </c>
      <c r="AC43" s="1901">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58"/>
      <c r="Q44" s="1897">
        <f t="shared" si="14"/>
        <v>111</v>
      </c>
      <c r="R44" s="753" t="s">
        <v>25</v>
      </c>
      <c r="S44" s="754">
        <f t="shared" si="10"/>
        <v>100</v>
      </c>
      <c r="T44" s="753" t="s">
        <v>25</v>
      </c>
      <c r="U44" s="754">
        <f t="shared" si="11"/>
        <v>100</v>
      </c>
      <c r="V44" s="753" t="s">
        <v>25</v>
      </c>
      <c r="W44" s="754">
        <f t="shared" si="12"/>
        <v>100</v>
      </c>
      <c r="X44" s="1898"/>
      <c r="Y44" s="3058"/>
      <c r="Z44" s="1900">
        <f t="shared" si="13"/>
        <v>111</v>
      </c>
      <c r="AA44" s="1901">
        <f t="shared" si="3"/>
        <v>1</v>
      </c>
      <c r="AB44" s="1901">
        <f t="shared" si="4"/>
        <v>1</v>
      </c>
      <c r="AC44" s="1901">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58"/>
      <c r="Q45" s="1897">
        <f t="shared" si="14"/>
        <v>111</v>
      </c>
      <c r="R45" s="756" t="s">
        <v>25</v>
      </c>
      <c r="S45" s="757">
        <f t="shared" si="10"/>
        <v>100</v>
      </c>
      <c r="T45" s="756" t="s">
        <v>25</v>
      </c>
      <c r="U45" s="757">
        <f t="shared" si="11"/>
        <v>100</v>
      </c>
      <c r="V45" s="756" t="s">
        <v>25</v>
      </c>
      <c r="W45" s="757">
        <f t="shared" si="12"/>
        <v>100</v>
      </c>
      <c r="X45" s="758"/>
      <c r="Y45" s="3058"/>
      <c r="Z45" s="759">
        <f t="shared" si="13"/>
        <v>111</v>
      </c>
      <c r="AA45" s="1901">
        <f t="shared" si="3"/>
        <v>1</v>
      </c>
      <c r="AB45" s="1901">
        <f t="shared" si="4"/>
        <v>1</v>
      </c>
      <c r="AC45" s="1901">
        <f t="shared" si="5"/>
        <v>1</v>
      </c>
    </row>
    <row r="46" spans="1:29" ht="15">
      <c r="A46" s="460" t="s">
        <v>2516</v>
      </c>
      <c r="B46" s="2492" t="s">
        <v>2553</v>
      </c>
      <c r="C46" s="665" t="s">
        <v>1</v>
      </c>
      <c r="D46" s="462"/>
      <c r="E46" s="463"/>
      <c r="F46" s="464"/>
      <c r="G46" s="465"/>
      <c r="H46" s="466"/>
      <c r="I46" s="463"/>
      <c r="J46" s="466"/>
      <c r="K46" s="762"/>
      <c r="L46" s="1255"/>
      <c r="M46" s="1256"/>
      <c r="N46" s="1243"/>
      <c r="O46" s="1256"/>
      <c r="P46" s="3050" t="str">
        <f>A46</f>
        <v>成交单价</v>
      </c>
      <c r="Q46" s="3050"/>
      <c r="R46" s="3087">
        <f>E46</f>
        <v>0</v>
      </c>
      <c r="S46" s="3087"/>
      <c r="T46" s="3087">
        <f>G46</f>
        <v>0</v>
      </c>
      <c r="U46" s="3087"/>
      <c r="V46" s="3087">
        <f>I46</f>
        <v>0</v>
      </c>
      <c r="W46" s="3087"/>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50" t="str">
        <f>A47</f>
        <v>比较价值（元/平方米）</v>
      </c>
      <c r="Q47" s="3050"/>
      <c r="R47" s="3103" t="e">
        <f>ROUND(PRODUCT(R46,AA7:AA45),0)</f>
        <v>#DIV/0!</v>
      </c>
      <c r="S47" s="3103"/>
      <c r="T47" s="3103" t="e">
        <f>ROUND(PRODUCT(T46,AB7:AB45),0)</f>
        <v>#DIV/0!</v>
      </c>
      <c r="U47" s="3103"/>
      <c r="V47" s="3103" t="e">
        <f>ROUND(PRODUCT(V46,AC7:AC45),0)</f>
        <v>#DIV/0!</v>
      </c>
      <c r="W47" s="3103"/>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47" t="str">
        <f>A48</f>
        <v>估价对象XX用房的比较价值（楼面单价，元/平方米）</v>
      </c>
      <c r="Q48" s="3048"/>
      <c r="R48" s="3104" t="e">
        <f>ROUND(AVERAGE(R47:V47),0)</f>
        <v>#DIV/0!</v>
      </c>
      <c r="S48" s="3104"/>
      <c r="T48" s="3104"/>
      <c r="U48" s="3104"/>
      <c r="V48" s="3104"/>
      <c r="W48" s="3104"/>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3" t="s">
        <v>2556</v>
      </c>
      <c r="D55" s="2494" t="s">
        <v>2557</v>
      </c>
      <c r="E55" s="669" t="s">
        <v>2558</v>
      </c>
      <c r="F55" s="670" t="s">
        <v>2559</v>
      </c>
      <c r="G55" s="62" t="s">
        <v>2560</v>
      </c>
      <c r="H55" s="62">
        <f>项目基本情况!G8</f>
        <v>0</v>
      </c>
      <c r="I55" s="2495"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2563</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2564</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2565</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2566</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2567</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2568</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2569</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2570</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2571</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2019-2-1</v>
      </c>
      <c r="D68" s="1669">
        <f>EDATE(C68,-3)</f>
        <v>43405</v>
      </c>
      <c r="E68" s="1669">
        <f t="shared" ref="E68:O68" si="18">EDATE(D68,-3)</f>
        <v>43313</v>
      </c>
      <c r="F68" s="1669">
        <f t="shared" si="18"/>
        <v>43221</v>
      </c>
      <c r="G68" s="1669">
        <f t="shared" si="18"/>
        <v>43132</v>
      </c>
      <c r="H68" s="1669">
        <f t="shared" si="18"/>
        <v>43040</v>
      </c>
      <c r="I68" s="1669">
        <f t="shared" si="18"/>
        <v>42948</v>
      </c>
      <c r="J68" s="1669">
        <f t="shared" si="18"/>
        <v>42856</v>
      </c>
      <c r="K68" s="1669">
        <f t="shared" si="18"/>
        <v>42767</v>
      </c>
      <c r="L68" s="1669">
        <f t="shared" si="18"/>
        <v>42675</v>
      </c>
      <c r="M68" s="1669">
        <f t="shared" si="18"/>
        <v>42583</v>
      </c>
      <c r="N68" s="1669">
        <f t="shared" si="18"/>
        <v>42491</v>
      </c>
      <c r="O68" s="1669">
        <f t="shared" si="18"/>
        <v>42401</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6" t="s">
        <v>2573</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7" t="s">
        <v>2574</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7" t="s">
        <v>2338</v>
      </c>
      <c r="D4" s="3078"/>
      <c r="E4" s="3079" t="s">
        <v>2339</v>
      </c>
      <c r="F4" s="3080"/>
      <c r="G4" s="3077" t="s">
        <v>2340</v>
      </c>
      <c r="H4" s="3078"/>
      <c r="I4" s="3077" t="s">
        <v>2341</v>
      </c>
      <c r="J4" s="3078"/>
      <c r="K4" s="594" t="s">
        <v>2342</v>
      </c>
      <c r="L4" s="1242"/>
      <c r="M4" s="1243"/>
      <c r="N4" s="1243"/>
      <c r="O4" s="1243"/>
      <c r="P4" s="3081" t="s">
        <v>2343</v>
      </c>
      <c r="Q4" s="3082"/>
      <c r="R4" s="3066" t="s">
        <v>2339</v>
      </c>
      <c r="S4" s="3067"/>
      <c r="T4" s="3066" t="s">
        <v>2340</v>
      </c>
      <c r="U4" s="3067"/>
      <c r="V4" s="3087" t="s">
        <v>2341</v>
      </c>
      <c r="W4" s="3087"/>
      <c r="X4" s="1898"/>
      <c r="Y4" s="3066" t="s">
        <v>2343</v>
      </c>
      <c r="Z4" s="3067"/>
      <c r="AA4" s="3074" t="s">
        <v>2339</v>
      </c>
      <c r="AB4" s="3075" t="s">
        <v>2340</v>
      </c>
      <c r="AC4" s="3074" t="s">
        <v>2341</v>
      </c>
    </row>
    <row r="5" spans="1:29" ht="15">
      <c r="A5" s="383"/>
      <c r="B5" s="384"/>
      <c r="C5" s="3091" t="s">
        <v>2344</v>
      </c>
      <c r="D5" s="3063"/>
      <c r="E5" s="3090" t="s">
        <v>2345</v>
      </c>
      <c r="F5" s="3089"/>
      <c r="G5" s="3091" t="s">
        <v>2346</v>
      </c>
      <c r="H5" s="3063"/>
      <c r="I5" s="3091" t="s">
        <v>2347</v>
      </c>
      <c r="J5" s="3063"/>
      <c r="K5" s="594"/>
      <c r="L5" s="1242"/>
      <c r="M5" s="1243"/>
      <c r="N5" s="1243"/>
      <c r="O5" s="1243"/>
      <c r="P5" s="3083"/>
      <c r="Q5" s="3084"/>
      <c r="R5" s="3068"/>
      <c r="S5" s="3069"/>
      <c r="T5" s="3068"/>
      <c r="U5" s="3069"/>
      <c r="V5" s="3087"/>
      <c r="W5" s="3087"/>
      <c r="X5" s="1898"/>
      <c r="Y5" s="3068"/>
      <c r="Z5" s="3069"/>
      <c r="AA5" s="3075"/>
      <c r="AB5" s="3075"/>
      <c r="AC5" s="3075"/>
    </row>
    <row r="6" spans="1:29" ht="15.75" thickBot="1">
      <c r="A6" s="385"/>
      <c r="B6" s="386"/>
      <c r="C6" s="3092" t="s">
        <v>2348</v>
      </c>
      <c r="D6" s="3061"/>
      <c r="E6" s="3093" t="s">
        <v>2348</v>
      </c>
      <c r="F6" s="3094"/>
      <c r="G6" s="3092" t="s">
        <v>2348</v>
      </c>
      <c r="H6" s="3061"/>
      <c r="I6" s="3092" t="s">
        <v>2348</v>
      </c>
      <c r="J6" s="3061"/>
      <c r="K6" s="594" t="s">
        <v>2349</v>
      </c>
      <c r="L6" s="1242"/>
      <c r="M6" s="1243"/>
      <c r="N6" s="1243"/>
      <c r="O6" s="1243"/>
      <c r="P6" s="3085"/>
      <c r="Q6" s="3086"/>
      <c r="R6" s="3068"/>
      <c r="S6" s="3069"/>
      <c r="T6" s="3070"/>
      <c r="U6" s="3071"/>
      <c r="V6" s="3087"/>
      <c r="W6" s="3087"/>
      <c r="X6" s="1898"/>
      <c r="Y6" s="3070"/>
      <c r="Z6" s="3071"/>
      <c r="AA6" s="3076"/>
      <c r="AB6" s="3076"/>
      <c r="AC6" s="3076"/>
    </row>
    <row r="7" spans="1:29" s="35" customFormat="1" ht="15.75" thickBot="1">
      <c r="A7" s="387" t="s">
        <v>2350</v>
      </c>
      <c r="B7" s="388"/>
      <c r="C7" s="389">
        <f>'数据-取费表'!B2</f>
        <v>43516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64" t="s">
        <v>2351</v>
      </c>
      <c r="Q7" s="3072"/>
      <c r="R7" s="749" t="s">
        <v>25</v>
      </c>
      <c r="S7" s="750">
        <f t="shared" ref="S7:S15" si="0">F7</f>
        <v>0</v>
      </c>
      <c r="T7" s="749" t="s">
        <v>25</v>
      </c>
      <c r="U7" s="750">
        <f t="shared" ref="U7:U15" si="1">H7</f>
        <v>0</v>
      </c>
      <c r="V7" s="749" t="s">
        <v>25</v>
      </c>
      <c r="W7" s="750">
        <f t="shared" ref="W7:W15" si="2">J7</f>
        <v>0</v>
      </c>
      <c r="X7" s="751"/>
      <c r="Y7" s="3064" t="s">
        <v>2351</v>
      </c>
      <c r="Z7" s="3065"/>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64" t="s">
        <v>2354</v>
      </c>
      <c r="Q8" s="3065"/>
      <c r="R8" s="749" t="s">
        <v>25</v>
      </c>
      <c r="S8" s="750">
        <f t="shared" si="0"/>
        <v>0</v>
      </c>
      <c r="T8" s="749" t="s">
        <v>25</v>
      </c>
      <c r="U8" s="750">
        <f t="shared" si="1"/>
        <v>0</v>
      </c>
      <c r="V8" s="749" t="s">
        <v>25</v>
      </c>
      <c r="W8" s="750">
        <f t="shared" si="2"/>
        <v>0</v>
      </c>
      <c r="X8" s="751"/>
      <c r="Y8" s="3064" t="s">
        <v>2354</v>
      </c>
      <c r="Z8" s="3065"/>
      <c r="AA8" s="752" t="e">
        <f t="shared" ref="AA8:AA40" si="3">D8/F8</f>
        <v>#DIV/0!</v>
      </c>
      <c r="AB8" s="752" t="e">
        <f t="shared" ref="AB8:AB40" si="4">D8/H8</f>
        <v>#DIV/0!</v>
      </c>
      <c r="AC8" s="752" t="e">
        <f t="shared" ref="AC8:AC40" si="5">D8/J8</f>
        <v>#DIV/0!</v>
      </c>
    </row>
    <row r="9" spans="1:29" s="35" customFormat="1">
      <c r="A9" s="395" t="s">
        <v>2355</v>
      </c>
      <c r="B9" s="28" t="s">
        <v>2356</v>
      </c>
      <c r="C9" s="2484" t="s">
        <v>2588</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50" t="s">
        <v>2357</v>
      </c>
      <c r="Q9" s="1885"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104</v>
      </c>
      <c r="G10" s="412"/>
      <c r="H10" s="52">
        <f>ROUND(100/'数据-取费表'!B14,0)</f>
        <v>104</v>
      </c>
      <c r="I10" s="412"/>
      <c r="J10" s="52">
        <f>ROUND(100/'数据-取费表'!B14,0)</f>
        <v>104</v>
      </c>
      <c r="K10" s="655"/>
      <c r="L10" s="1247"/>
      <c r="M10" s="1248"/>
      <c r="N10" s="1248"/>
      <c r="O10" s="1249"/>
      <c r="P10" s="3050"/>
      <c r="Q10" s="1885" t="str">
        <f t="shared" si="6"/>
        <v>土地使用年限（年）</v>
      </c>
      <c r="R10" s="749" t="s">
        <v>25</v>
      </c>
      <c r="S10" s="750">
        <f t="shared" si="0"/>
        <v>104</v>
      </c>
      <c r="T10" s="749" t="s">
        <v>25</v>
      </c>
      <c r="U10" s="750">
        <f t="shared" si="1"/>
        <v>104</v>
      </c>
      <c r="V10" s="749" t="s">
        <v>25</v>
      </c>
      <c r="W10" s="750">
        <f t="shared" si="2"/>
        <v>104</v>
      </c>
      <c r="X10" s="751"/>
      <c r="Y10" s="2876"/>
      <c r="Z10" s="23" t="str">
        <f t="shared" si="7"/>
        <v>土地使用年限（年）</v>
      </c>
      <c r="AA10" s="752">
        <f t="shared" si="3"/>
        <v>0.96153846153846156</v>
      </c>
      <c r="AB10" s="752">
        <f t="shared" si="4"/>
        <v>0.96153846153846156</v>
      </c>
      <c r="AC10" s="752">
        <f t="shared" si="5"/>
        <v>0.96153846153846156</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50"/>
      <c r="Q11" s="1885"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50"/>
      <c r="Q12" s="1885">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50"/>
      <c r="Q13" s="1885">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50"/>
      <c r="Q14" s="1885">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57">
      <c r="A15" s="419" t="s">
        <v>2361</v>
      </c>
      <c r="B15" s="613" t="s">
        <v>2589</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53" t="s">
        <v>2362</v>
      </c>
      <c r="Q15" s="1897" t="str">
        <f t="shared" si="6"/>
        <v>产业集聚程度</v>
      </c>
      <c r="R15" s="753" t="s">
        <v>25</v>
      </c>
      <c r="S15" s="754">
        <f t="shared" si="0"/>
        <v>100</v>
      </c>
      <c r="T15" s="753" t="s">
        <v>25</v>
      </c>
      <c r="U15" s="754">
        <f t="shared" si="1"/>
        <v>100</v>
      </c>
      <c r="V15" s="753" t="s">
        <v>25</v>
      </c>
      <c r="W15" s="754">
        <f t="shared" si="2"/>
        <v>100</v>
      </c>
      <c r="X15" s="1898"/>
      <c r="Y15" s="3053" t="s">
        <v>2362</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54"/>
      <c r="Q16" s="1897"/>
      <c r="R16" s="753"/>
      <c r="S16" s="754"/>
      <c r="T16" s="753"/>
      <c r="U16" s="754"/>
      <c r="V16" s="753"/>
      <c r="W16" s="754"/>
      <c r="X16" s="1898"/>
      <c r="Y16" s="3054"/>
      <c r="Z16" s="1900"/>
      <c r="AA16" s="1901">
        <v>1</v>
      </c>
      <c r="AB16" s="1901">
        <v>1</v>
      </c>
      <c r="AC16" s="1901">
        <v>1</v>
      </c>
    </row>
    <row r="17" spans="1:29" ht="85.5">
      <c r="A17" s="408"/>
      <c r="B17" s="615" t="s">
        <v>2505</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54"/>
      <c r="Q17" s="1897" t="str">
        <f>B17</f>
        <v>交通便捷度</v>
      </c>
      <c r="R17" s="753" t="s">
        <v>25</v>
      </c>
      <c r="S17" s="754">
        <f>F17</f>
        <v>100</v>
      </c>
      <c r="T17" s="753" t="s">
        <v>25</v>
      </c>
      <c r="U17" s="754">
        <f>H17</f>
        <v>100</v>
      </c>
      <c r="V17" s="753" t="s">
        <v>25</v>
      </c>
      <c r="W17" s="754">
        <f>J17</f>
        <v>100</v>
      </c>
      <c r="X17" s="1898"/>
      <c r="Y17" s="3054"/>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4"/>
      <c r="J18" s="427"/>
      <c r="K18" s="655"/>
      <c r="L18" s="1252"/>
      <c r="M18" s="1243"/>
      <c r="N18" s="1243"/>
      <c r="O18" s="1251"/>
      <c r="P18" s="3054"/>
      <c r="Q18" s="1897"/>
      <c r="R18" s="753"/>
      <c r="S18" s="754"/>
      <c r="T18" s="753"/>
      <c r="U18" s="754"/>
      <c r="V18" s="753"/>
      <c r="W18" s="754"/>
      <c r="X18" s="1898"/>
      <c r="Y18" s="3054"/>
      <c r="Z18" s="1900"/>
      <c r="AA18" s="1901">
        <v>1</v>
      </c>
      <c r="AB18" s="1901">
        <v>1</v>
      </c>
      <c r="AC18" s="1901">
        <v>1</v>
      </c>
    </row>
    <row r="19" spans="1:29" ht="15">
      <c r="A19" s="408"/>
      <c r="B19" s="615" t="s">
        <v>2545</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54"/>
      <c r="Q19" s="1897" t="str">
        <f t="shared" ref="Q19:Q33" si="8">B19</f>
        <v>区域土地利用方向</v>
      </c>
      <c r="R19" s="753" t="s">
        <v>25</v>
      </c>
      <c r="S19" s="754">
        <f>F19</f>
        <v>100</v>
      </c>
      <c r="T19" s="753" t="s">
        <v>25</v>
      </c>
      <c r="U19" s="754">
        <f>H19</f>
        <v>100</v>
      </c>
      <c r="V19" s="753" t="s">
        <v>25</v>
      </c>
      <c r="W19" s="754">
        <f>J19</f>
        <v>100</v>
      </c>
      <c r="X19" s="1898"/>
      <c r="Y19" s="3054"/>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54"/>
      <c r="Q20" s="1897"/>
      <c r="R20" s="753"/>
      <c r="S20" s="754"/>
      <c r="T20" s="753"/>
      <c r="U20" s="754"/>
      <c r="V20" s="753"/>
      <c r="W20" s="754"/>
      <c r="X20" s="1898"/>
      <c r="Y20" s="3054"/>
      <c r="Z20" s="1900"/>
      <c r="AA20" s="1901"/>
      <c r="AB20" s="1901"/>
      <c r="AC20" s="1901"/>
    </row>
    <row r="21" spans="1:29" ht="71.25">
      <c r="A21" s="383"/>
      <c r="B21" s="615" t="s">
        <v>2590</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54"/>
      <c r="Q21" s="1897" t="str">
        <f t="shared" si="8"/>
        <v>环境状况</v>
      </c>
      <c r="R21" s="753" t="s">
        <v>25</v>
      </c>
      <c r="S21" s="754">
        <f>F21</f>
        <v>100</v>
      </c>
      <c r="T21" s="753" t="s">
        <v>25</v>
      </c>
      <c r="U21" s="754">
        <f>H21</f>
        <v>100</v>
      </c>
      <c r="V21" s="753" t="s">
        <v>25</v>
      </c>
      <c r="W21" s="754">
        <f>J21</f>
        <v>100</v>
      </c>
      <c r="X21" s="1898"/>
      <c r="Y21" s="3054"/>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54"/>
      <c r="Q22" s="1897"/>
      <c r="R22" s="753"/>
      <c r="S22" s="754"/>
      <c r="T22" s="753"/>
      <c r="U22" s="754"/>
      <c r="V22" s="753"/>
      <c r="W22" s="754"/>
      <c r="X22" s="1898"/>
      <c r="Y22" s="3054"/>
      <c r="Z22" s="1900"/>
      <c r="AA22" s="1901">
        <v>1</v>
      </c>
      <c r="AB22" s="1901">
        <v>1</v>
      </c>
      <c r="AC22" s="1901">
        <v>1</v>
      </c>
    </row>
    <row r="23" spans="1:29" s="35" customFormat="1" ht="42.75">
      <c r="A23" s="633"/>
      <c r="B23" s="615" t="s">
        <v>2448</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54"/>
      <c r="Q23" s="1885" t="str">
        <f t="shared" si="8"/>
        <v>公共配套设施</v>
      </c>
      <c r="R23" s="749" t="s">
        <v>25</v>
      </c>
      <c r="S23" s="750">
        <f>F23</f>
        <v>100</v>
      </c>
      <c r="T23" s="749" t="s">
        <v>25</v>
      </c>
      <c r="U23" s="750">
        <f>H23</f>
        <v>100</v>
      </c>
      <c r="V23" s="749" t="s">
        <v>25</v>
      </c>
      <c r="W23" s="750">
        <f>J23</f>
        <v>100</v>
      </c>
      <c r="X23" s="751"/>
      <c r="Y23" s="3054"/>
      <c r="Z23" s="23" t="str">
        <f>Q23</f>
        <v>公共配套设施</v>
      </c>
      <c r="AA23" s="1901">
        <f>D23/F23</f>
        <v>1</v>
      </c>
      <c r="AB23" s="1901">
        <f>D23/H23</f>
        <v>1</v>
      </c>
      <c r="AC23" s="1901">
        <f>D23/J23</f>
        <v>1</v>
      </c>
    </row>
    <row r="24" spans="1:29" s="35" customFormat="1" ht="15">
      <c r="A24" s="633"/>
      <c r="B24" s="616"/>
      <c r="C24" s="2498"/>
      <c r="D24" s="427"/>
      <c r="E24" s="1471"/>
      <c r="F24" s="427"/>
      <c r="G24" s="1471"/>
      <c r="H24" s="427"/>
      <c r="I24" s="426"/>
      <c r="J24" s="427"/>
      <c r="K24" s="655"/>
      <c r="L24" s="1244"/>
      <c r="M24" s="1245"/>
      <c r="N24" s="1245"/>
      <c r="O24" s="1246"/>
      <c r="P24" s="3054"/>
      <c r="Q24" s="1885"/>
      <c r="R24" s="749"/>
      <c r="S24" s="750"/>
      <c r="T24" s="749"/>
      <c r="U24" s="750"/>
      <c r="V24" s="749"/>
      <c r="W24" s="750"/>
      <c r="X24" s="751"/>
      <c r="Y24" s="3054"/>
      <c r="Z24" s="23"/>
      <c r="AA24" s="752">
        <v>1</v>
      </c>
      <c r="AB24" s="752">
        <v>1</v>
      </c>
      <c r="AC24" s="752">
        <v>1</v>
      </c>
    </row>
    <row r="25" spans="1:29" s="35" customFormat="1" ht="28.5">
      <c r="A25" s="633"/>
      <c r="B25" s="617" t="s">
        <v>2449</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54"/>
      <c r="Q25" s="1885" t="str">
        <f t="shared" ref="Q25" si="9">B25</f>
        <v>基础设施水平</v>
      </c>
      <c r="R25" s="749" t="s">
        <v>25</v>
      </c>
      <c r="S25" s="750">
        <f>F25</f>
        <v>100</v>
      </c>
      <c r="T25" s="749" t="s">
        <v>25</v>
      </c>
      <c r="U25" s="750">
        <f>H25</f>
        <v>100</v>
      </c>
      <c r="V25" s="749" t="s">
        <v>25</v>
      </c>
      <c r="W25" s="750">
        <f>J25</f>
        <v>100</v>
      </c>
      <c r="X25" s="751"/>
      <c r="Y25" s="3054"/>
      <c r="Z25" s="23" t="str">
        <f>Q25</f>
        <v>基础设施水平</v>
      </c>
      <c r="AA25" s="1901">
        <f>D25/F25</f>
        <v>1</v>
      </c>
      <c r="AB25" s="1901">
        <f>D25/H25</f>
        <v>1</v>
      </c>
      <c r="AC25" s="1901">
        <f>D25/J25</f>
        <v>1</v>
      </c>
    </row>
    <row r="26" spans="1:29" s="35" customFormat="1" ht="15">
      <c r="A26" s="633"/>
      <c r="B26" s="616"/>
      <c r="C26" s="2498"/>
      <c r="D26" s="427"/>
      <c r="E26" s="2487"/>
      <c r="F26" s="427"/>
      <c r="G26" s="2487"/>
      <c r="H26" s="427"/>
      <c r="I26" s="2487"/>
      <c r="J26" s="427"/>
      <c r="K26" s="655"/>
      <c r="L26" s="1244"/>
      <c r="M26" s="1245"/>
      <c r="N26" s="1245"/>
      <c r="O26" s="1246"/>
      <c r="P26" s="3054"/>
      <c r="Q26" s="1885"/>
      <c r="R26" s="749"/>
      <c r="S26" s="750"/>
      <c r="T26" s="749"/>
      <c r="U26" s="750"/>
      <c r="V26" s="749"/>
      <c r="W26" s="750"/>
      <c r="X26" s="751"/>
      <c r="Y26" s="3054"/>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54"/>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54"/>
      <c r="Z27" s="1900" t="str">
        <f t="shared" ref="Z27:Z40" si="13">Q27</f>
        <v>临街状况</v>
      </c>
      <c r="AA27" s="1901">
        <f t="shared" si="3"/>
        <v>1</v>
      </c>
      <c r="AB27" s="1901">
        <f t="shared" si="4"/>
        <v>1</v>
      </c>
      <c r="AC27" s="1901">
        <f t="shared" si="5"/>
        <v>1</v>
      </c>
    </row>
    <row r="28" spans="1:29" ht="27">
      <c r="A28" s="408"/>
      <c r="B28" s="617" t="s">
        <v>2480</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54"/>
      <c r="Q28" s="1897" t="str">
        <f t="shared" si="8"/>
        <v>毗邻道路的类型与等级</v>
      </c>
      <c r="R28" s="753" t="s">
        <v>25</v>
      </c>
      <c r="S28" s="754">
        <f t="shared" si="10"/>
        <v>100</v>
      </c>
      <c r="T28" s="753" t="s">
        <v>25</v>
      </c>
      <c r="U28" s="754">
        <f t="shared" si="11"/>
        <v>100</v>
      </c>
      <c r="V28" s="753" t="s">
        <v>25</v>
      </c>
      <c r="W28" s="754">
        <f t="shared" si="12"/>
        <v>100</v>
      </c>
      <c r="X28" s="1898"/>
      <c r="Y28" s="3054"/>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54"/>
      <c r="Q29" s="1897"/>
      <c r="R29" s="753"/>
      <c r="S29" s="754"/>
      <c r="T29" s="753"/>
      <c r="U29" s="754"/>
      <c r="V29" s="753"/>
      <c r="W29" s="754"/>
      <c r="X29" s="1898"/>
      <c r="Y29" s="3054"/>
      <c r="Z29" s="1900"/>
      <c r="AA29" s="1901">
        <v>1</v>
      </c>
      <c r="AB29" s="1901">
        <v>1</v>
      </c>
      <c r="AC29" s="1901">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54"/>
      <c r="Q30" s="1897" t="str">
        <f t="shared" si="8"/>
        <v>土地级别</v>
      </c>
      <c r="R30" s="753" t="s">
        <v>25</v>
      </c>
      <c r="S30" s="754">
        <f t="shared" si="10"/>
        <v>100</v>
      </c>
      <c r="T30" s="753" t="s">
        <v>25</v>
      </c>
      <c r="U30" s="754">
        <f t="shared" si="11"/>
        <v>100</v>
      </c>
      <c r="V30" s="753" t="s">
        <v>25</v>
      </c>
      <c r="W30" s="754">
        <f t="shared" si="12"/>
        <v>100</v>
      </c>
      <c r="X30" s="1898"/>
      <c r="Y30" s="3054"/>
      <c r="Z30" s="1900" t="str">
        <f t="shared" si="13"/>
        <v>土地级别</v>
      </c>
      <c r="AA30" s="1901">
        <f t="shared" si="3"/>
        <v>1</v>
      </c>
      <c r="AB30" s="1901">
        <f t="shared" si="4"/>
        <v>1</v>
      </c>
      <c r="AC30" s="1901">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54"/>
      <c r="Q31" s="1897">
        <f t="shared" si="8"/>
        <v>111</v>
      </c>
      <c r="R31" s="753" t="s">
        <v>25</v>
      </c>
      <c r="S31" s="754">
        <f t="shared" si="10"/>
        <v>100</v>
      </c>
      <c r="T31" s="753" t="s">
        <v>25</v>
      </c>
      <c r="U31" s="754">
        <f t="shared" si="11"/>
        <v>100</v>
      </c>
      <c r="V31" s="753" t="s">
        <v>25</v>
      </c>
      <c r="W31" s="754">
        <f t="shared" si="12"/>
        <v>100</v>
      </c>
      <c r="X31" s="1898"/>
      <c r="Y31" s="3054"/>
      <c r="Z31" s="1900">
        <f t="shared" si="13"/>
        <v>111</v>
      </c>
      <c r="AA31" s="1901">
        <f t="shared" si="3"/>
        <v>1</v>
      </c>
      <c r="AB31" s="1901">
        <f t="shared" si="4"/>
        <v>1</v>
      </c>
      <c r="AC31" s="1901">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02" t="s">
        <v>2368</v>
      </c>
      <c r="Q32" s="1897">
        <f t="shared" si="8"/>
        <v>111</v>
      </c>
      <c r="R32" s="753" t="s">
        <v>25</v>
      </c>
      <c r="S32" s="754">
        <f t="shared" si="10"/>
        <v>100</v>
      </c>
      <c r="T32" s="753" t="s">
        <v>25</v>
      </c>
      <c r="U32" s="754">
        <f t="shared" si="11"/>
        <v>100</v>
      </c>
      <c r="V32" s="753" t="s">
        <v>25</v>
      </c>
      <c r="W32" s="754">
        <f t="shared" si="12"/>
        <v>100</v>
      </c>
      <c r="X32" s="1898"/>
      <c r="Y32" s="3058" t="s">
        <v>2368</v>
      </c>
      <c r="Z32" s="1900">
        <f t="shared" si="13"/>
        <v>111</v>
      </c>
      <c r="AA32" s="1901">
        <f t="shared" si="3"/>
        <v>1</v>
      </c>
      <c r="AB32" s="1901">
        <f t="shared" si="4"/>
        <v>1</v>
      </c>
      <c r="AC32" s="1901">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58"/>
      <c r="Q33" s="1897">
        <f t="shared" si="8"/>
        <v>111</v>
      </c>
      <c r="R33" s="756" t="s">
        <v>25</v>
      </c>
      <c r="S33" s="757">
        <f t="shared" si="10"/>
        <v>100</v>
      </c>
      <c r="T33" s="756" t="s">
        <v>25</v>
      </c>
      <c r="U33" s="757">
        <f t="shared" si="11"/>
        <v>100</v>
      </c>
      <c r="V33" s="756" t="s">
        <v>25</v>
      </c>
      <c r="W33" s="757">
        <f t="shared" si="12"/>
        <v>100</v>
      </c>
      <c r="X33" s="758"/>
      <c r="Y33" s="3058"/>
      <c r="Z33" s="759">
        <f t="shared" si="13"/>
        <v>111</v>
      </c>
      <c r="AA33" s="1901">
        <f t="shared" si="3"/>
        <v>1</v>
      </c>
      <c r="AB33" s="1901">
        <f t="shared" si="4"/>
        <v>1</v>
      </c>
      <c r="AC33" s="1901">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58"/>
      <c r="Q34" s="1897" t="str">
        <f>B34</f>
        <v>宗地面积</v>
      </c>
      <c r="R34" s="753" t="s">
        <v>25</v>
      </c>
      <c r="S34" s="754" t="e">
        <f t="shared" si="10"/>
        <v>#N/A</v>
      </c>
      <c r="T34" s="753" t="s">
        <v>25</v>
      </c>
      <c r="U34" s="754" t="e">
        <f t="shared" si="11"/>
        <v>#N/A</v>
      </c>
      <c r="V34" s="753" t="s">
        <v>25</v>
      </c>
      <c r="W34" s="754" t="e">
        <f t="shared" si="12"/>
        <v>#N/A</v>
      </c>
      <c r="X34" s="1898"/>
      <c r="Y34" s="3058"/>
      <c r="Z34" s="1900" t="str">
        <f t="shared" si="13"/>
        <v>宗地面积</v>
      </c>
      <c r="AA34" s="1901" t="e">
        <f t="shared" si="3"/>
        <v>#N/A</v>
      </c>
      <c r="AB34" s="1901" t="e">
        <f t="shared" si="4"/>
        <v>#N/A</v>
      </c>
      <c r="AC34" s="1901" t="e">
        <f t="shared" si="5"/>
        <v>#N/A</v>
      </c>
    </row>
    <row r="35" spans="1:29" ht="15">
      <c r="A35" s="453"/>
      <c r="B35" s="402" t="s">
        <v>2549</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58"/>
      <c r="Q35" s="1897" t="str">
        <f t="shared" ref="Q35:Q40" si="14">B35</f>
        <v>宗地形状</v>
      </c>
      <c r="R35" s="753" t="s">
        <v>25</v>
      </c>
      <c r="S35" s="754">
        <f t="shared" si="10"/>
        <v>100</v>
      </c>
      <c r="T35" s="753" t="s">
        <v>25</v>
      </c>
      <c r="U35" s="754">
        <f t="shared" si="11"/>
        <v>100</v>
      </c>
      <c r="V35" s="753" t="s">
        <v>25</v>
      </c>
      <c r="W35" s="754">
        <f t="shared" si="12"/>
        <v>100</v>
      </c>
      <c r="X35" s="1898"/>
      <c r="Y35" s="3058"/>
      <c r="Z35" s="1900" t="str">
        <f t="shared" si="13"/>
        <v>宗地形状</v>
      </c>
      <c r="AA35" s="1901">
        <f t="shared" si="3"/>
        <v>1</v>
      </c>
      <c r="AB35" s="1901">
        <f t="shared" si="4"/>
        <v>1</v>
      </c>
      <c r="AC35" s="1901">
        <f t="shared" si="5"/>
        <v>1</v>
      </c>
    </row>
    <row r="36" spans="1:29" s="35" customFormat="1" ht="15">
      <c r="A36" s="454"/>
      <c r="B36" s="402" t="s">
        <v>2551</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58"/>
      <c r="Q36" s="1897" t="str">
        <f t="shared" si="14"/>
        <v>宗地开发程度</v>
      </c>
      <c r="R36" s="749" t="s">
        <v>25</v>
      </c>
      <c r="S36" s="750">
        <f t="shared" si="10"/>
        <v>100</v>
      </c>
      <c r="T36" s="749" t="s">
        <v>25</v>
      </c>
      <c r="U36" s="750">
        <f t="shared" si="11"/>
        <v>100</v>
      </c>
      <c r="V36" s="749" t="s">
        <v>25</v>
      </c>
      <c r="W36" s="750">
        <f t="shared" si="12"/>
        <v>100</v>
      </c>
      <c r="X36" s="751"/>
      <c r="Y36" s="3058"/>
      <c r="Z36" s="23" t="str">
        <f t="shared" si="13"/>
        <v>宗地开发程度</v>
      </c>
      <c r="AA36" s="752">
        <f t="shared" si="3"/>
        <v>1</v>
      </c>
      <c r="AB36" s="752">
        <f t="shared" si="4"/>
        <v>1</v>
      </c>
      <c r="AC36" s="752">
        <f t="shared" si="5"/>
        <v>1</v>
      </c>
    </row>
    <row r="37" spans="1:29" ht="15">
      <c r="A37" s="453"/>
      <c r="B37" s="402" t="s">
        <v>2552</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58" t="s">
        <v>2368</v>
      </c>
      <c r="Q37" s="1897" t="str">
        <f t="shared" si="14"/>
        <v>工程地质条件</v>
      </c>
      <c r="R37" s="753" t="s">
        <v>25</v>
      </c>
      <c r="S37" s="754">
        <f t="shared" si="10"/>
        <v>100</v>
      </c>
      <c r="T37" s="753" t="s">
        <v>25</v>
      </c>
      <c r="U37" s="754">
        <f t="shared" si="11"/>
        <v>100</v>
      </c>
      <c r="V37" s="753" t="s">
        <v>25</v>
      </c>
      <c r="W37" s="754">
        <f t="shared" si="12"/>
        <v>100</v>
      </c>
      <c r="X37" s="1898"/>
      <c r="Y37" s="3058" t="s">
        <v>2368</v>
      </c>
      <c r="Z37" s="1900" t="str">
        <f t="shared" si="13"/>
        <v>工程地质条件</v>
      </c>
      <c r="AA37" s="1901">
        <f t="shared" si="3"/>
        <v>1</v>
      </c>
      <c r="AB37" s="1901">
        <f t="shared" si="4"/>
        <v>1</v>
      </c>
      <c r="AC37" s="1901">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58"/>
      <c r="Q38" s="1897">
        <f t="shared" si="14"/>
        <v>111</v>
      </c>
      <c r="R38" s="753" t="s">
        <v>25</v>
      </c>
      <c r="S38" s="754">
        <f t="shared" si="10"/>
        <v>100</v>
      </c>
      <c r="T38" s="753" t="s">
        <v>25</v>
      </c>
      <c r="U38" s="754">
        <f t="shared" si="11"/>
        <v>100</v>
      </c>
      <c r="V38" s="753" t="s">
        <v>25</v>
      </c>
      <c r="W38" s="754">
        <f t="shared" si="12"/>
        <v>100</v>
      </c>
      <c r="X38" s="1898"/>
      <c r="Y38" s="3058"/>
      <c r="Z38" s="1900">
        <f t="shared" si="13"/>
        <v>111</v>
      </c>
      <c r="AA38" s="1901">
        <f t="shared" si="3"/>
        <v>1</v>
      </c>
      <c r="AB38" s="1901">
        <f t="shared" si="4"/>
        <v>1</v>
      </c>
      <c r="AC38" s="1901">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58"/>
      <c r="Q39" s="1897">
        <f t="shared" si="14"/>
        <v>111</v>
      </c>
      <c r="R39" s="753" t="s">
        <v>25</v>
      </c>
      <c r="S39" s="754">
        <f t="shared" si="10"/>
        <v>100</v>
      </c>
      <c r="T39" s="753" t="s">
        <v>25</v>
      </c>
      <c r="U39" s="754">
        <f t="shared" si="11"/>
        <v>100</v>
      </c>
      <c r="V39" s="753" t="s">
        <v>25</v>
      </c>
      <c r="W39" s="754">
        <f t="shared" si="12"/>
        <v>100</v>
      </c>
      <c r="X39" s="1898"/>
      <c r="Y39" s="3058"/>
      <c r="Z39" s="1900">
        <f t="shared" si="13"/>
        <v>111</v>
      </c>
      <c r="AA39" s="1901">
        <f t="shared" si="3"/>
        <v>1</v>
      </c>
      <c r="AB39" s="1901">
        <f t="shared" si="4"/>
        <v>1</v>
      </c>
      <c r="AC39" s="1901">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58"/>
      <c r="Q40" s="1897">
        <f t="shared" si="14"/>
        <v>111</v>
      </c>
      <c r="R40" s="756" t="s">
        <v>25</v>
      </c>
      <c r="S40" s="757">
        <f t="shared" si="10"/>
        <v>100</v>
      </c>
      <c r="T40" s="756" t="s">
        <v>25</v>
      </c>
      <c r="U40" s="757">
        <f t="shared" si="11"/>
        <v>100</v>
      </c>
      <c r="V40" s="756" t="s">
        <v>25</v>
      </c>
      <c r="W40" s="757">
        <f t="shared" si="12"/>
        <v>100</v>
      </c>
      <c r="X40" s="758"/>
      <c r="Y40" s="3058"/>
      <c r="Z40" s="759">
        <f t="shared" si="13"/>
        <v>111</v>
      </c>
      <c r="AA40" s="1901">
        <f t="shared" si="3"/>
        <v>1</v>
      </c>
      <c r="AB40" s="1901">
        <f t="shared" si="4"/>
        <v>1</v>
      </c>
      <c r="AC40" s="1901">
        <f t="shared" si="5"/>
        <v>1</v>
      </c>
    </row>
    <row r="41" spans="1:29" ht="15">
      <c r="A41" s="460" t="s">
        <v>2516</v>
      </c>
      <c r="B41" s="2492" t="s">
        <v>2591</v>
      </c>
      <c r="C41" s="665" t="s">
        <v>1</v>
      </c>
      <c r="D41" s="462"/>
      <c r="E41" s="463"/>
      <c r="F41" s="464"/>
      <c r="G41" s="465"/>
      <c r="H41" s="466"/>
      <c r="I41" s="463"/>
      <c r="J41" s="466"/>
      <c r="K41" s="762"/>
      <c r="L41" s="1255"/>
      <c r="M41" s="1243"/>
      <c r="N41" s="1243"/>
      <c r="O41" s="1256"/>
      <c r="P41" s="3050" t="str">
        <f>A41</f>
        <v>成交单价</v>
      </c>
      <c r="Q41" s="3050"/>
      <c r="R41" s="3087">
        <f>E41</f>
        <v>0</v>
      </c>
      <c r="S41" s="3087"/>
      <c r="T41" s="3087">
        <f>G41</f>
        <v>0</v>
      </c>
      <c r="U41" s="3087"/>
      <c r="V41" s="3087">
        <f>I41</f>
        <v>0</v>
      </c>
      <c r="W41" s="3087"/>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50" t="str">
        <f>A42</f>
        <v>比较价值（元/平方米）</v>
      </c>
      <c r="Q42" s="3050"/>
      <c r="R42" s="3103" t="e">
        <f>ROUND(PRODUCT(R41,AA7:AA40),0)</f>
        <v>#DIV/0!</v>
      </c>
      <c r="S42" s="3103"/>
      <c r="T42" s="3103" t="e">
        <f>ROUND(PRODUCT(T41,AB7:AB40),0)</f>
        <v>#DIV/0!</v>
      </c>
      <c r="U42" s="3103"/>
      <c r="V42" s="3103" t="e">
        <f>ROUND(PRODUCT(V41,AC7:AC40),0)</f>
        <v>#DIV/0!</v>
      </c>
      <c r="W42" s="3103"/>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47" t="str">
        <f>A43</f>
        <v>估价对象XX用房的比较价值（楼面单价，元/平方米）</v>
      </c>
      <c r="Q43" s="3048"/>
      <c r="R43" s="3104" t="e">
        <f>ROUND(AVERAGE(R42:V42),0)</f>
        <v>#DIV/0!</v>
      </c>
      <c r="S43" s="3104"/>
      <c r="T43" s="3104"/>
      <c r="U43" s="3104"/>
      <c r="V43" s="3104"/>
      <c r="W43" s="3104"/>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3" t="s">
        <v>2556</v>
      </c>
      <c r="D50" s="2494" t="s">
        <v>2557</v>
      </c>
      <c r="E50" s="669" t="s">
        <v>2558</v>
      </c>
      <c r="F50" s="670" t="s">
        <v>2559</v>
      </c>
      <c r="G50" s="1900" t="s">
        <v>2592</v>
      </c>
      <c r="H50" s="1900">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2563</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2565</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2566</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2567</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2568</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2569</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2570</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2571</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2019-2-1</v>
      </c>
      <c r="D63" s="1669">
        <f>EDATE(C63,-3)</f>
        <v>43405</v>
      </c>
      <c r="E63" s="1669">
        <f t="shared" ref="E63:O63" si="18">EDATE(D63,-3)</f>
        <v>43313</v>
      </c>
      <c r="F63" s="1669">
        <f t="shared" si="18"/>
        <v>43221</v>
      </c>
      <c r="G63" s="1669">
        <f t="shared" si="18"/>
        <v>43132</v>
      </c>
      <c r="H63" s="1669">
        <f t="shared" si="18"/>
        <v>43040</v>
      </c>
      <c r="I63" s="1669">
        <f t="shared" si="18"/>
        <v>42948</v>
      </c>
      <c r="J63" s="1669">
        <f t="shared" si="18"/>
        <v>42856</v>
      </c>
      <c r="K63" s="1669">
        <f t="shared" si="18"/>
        <v>42767</v>
      </c>
      <c r="L63" s="1669">
        <f t="shared" si="18"/>
        <v>42675</v>
      </c>
      <c r="M63" s="1669">
        <f t="shared" si="18"/>
        <v>42583</v>
      </c>
      <c r="N63" s="1669">
        <f t="shared" si="18"/>
        <v>42491</v>
      </c>
      <c r="O63" s="1669">
        <f t="shared" si="18"/>
        <v>42401</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6" t="s">
        <v>2573</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502" t="s">
        <v>2593</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1265</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15"/>
      <c r="C6" s="1915"/>
      <c r="D6" s="1915"/>
      <c r="E6" s="1915"/>
      <c r="F6" s="1915"/>
      <c r="G6" s="1915"/>
    </row>
    <row r="7" spans="1:7" ht="18.75">
      <c r="A7" s="1916" t="s">
        <v>1266</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2019年2月20日（评估专业人员实地查勘之日）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1263</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6" zoomScale="90" zoomScaleNormal="90" zoomScaleSheetLayoutView="90" workbookViewId="0">
      <selection activeCell="E14" sqref="E14"/>
    </sheetView>
  </sheetViews>
  <sheetFormatPr defaultColWidth="9" defaultRowHeight="12.75"/>
  <cols>
    <col min="1" max="1" width="9.75" style="2581" customWidth="1"/>
    <col min="2" max="2" width="19.25" style="2694"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1" customWidth="1"/>
    <col min="27" max="32" width="9.375" style="2657" customWidth="1"/>
    <col min="33" max="36" width="9.375" style="2581" customWidth="1"/>
    <col min="37" max="38" width="9.375" style="2507" customWidth="1"/>
    <col min="39" max="16384" width="9" style="2507"/>
  </cols>
  <sheetData>
    <row r="1" spans="1:36" ht="28.5">
      <c r="A1" s="161" t="s">
        <v>2594</v>
      </c>
      <c r="B1" s="2504"/>
      <c r="C1" s="162" t="s">
        <v>2595</v>
      </c>
      <c r="D1" s="2505">
        <f>SUM(D29:D30,D33:D39)</f>
        <v>1</v>
      </c>
      <c r="E1" s="2505"/>
      <c r="F1" s="2505"/>
      <c r="G1" s="2505"/>
      <c r="H1" s="2505"/>
      <c r="I1" s="2505"/>
      <c r="J1" s="2505"/>
      <c r="L1" s="2506"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f ca="1">C26</f>
        <v>29719</v>
      </c>
      <c r="C2" s="2508" t="s">
        <v>2603</v>
      </c>
      <c r="D2" s="2509" t="s">
        <v>2604</v>
      </c>
      <c r="E2" s="2510" t="s">
        <v>2831</v>
      </c>
      <c r="F2" s="2509" t="s">
        <v>2605</v>
      </c>
      <c r="G2" s="2511" t="str">
        <f>项目基本情况!F9</f>
        <v>四级</v>
      </c>
      <c r="H2" s="2512" t="s">
        <v>2606</v>
      </c>
      <c r="I2" s="2511" t="str">
        <f>项目基本情况!F10</f>
        <v>Ⅳ-19</v>
      </c>
      <c r="J2" s="2513"/>
      <c r="L2" s="2514" t="s">
        <v>2607</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55364</v>
      </c>
      <c r="U2" s="1709"/>
      <c r="V2" s="1708">
        <f ca="1">ROUND(T2*U2/10000,0)</f>
        <v>0</v>
      </c>
      <c r="W2" s="1712"/>
      <c r="X2" s="1712"/>
      <c r="Y2" s="1712"/>
      <c r="Z2" s="1712"/>
      <c r="AA2" s="1712"/>
      <c r="AB2" s="1712"/>
      <c r="AC2" s="1713"/>
      <c r="AD2" s="1714"/>
      <c r="AE2" s="1714"/>
      <c r="AF2" s="1714"/>
      <c r="AG2" s="1714"/>
      <c r="AH2" s="1714"/>
      <c r="AI2" s="1714"/>
      <c r="AJ2" s="1715"/>
    </row>
    <row r="3" spans="1:36" ht="25.5">
      <c r="A3" s="167" t="s">
        <v>2608</v>
      </c>
      <c r="B3" s="168">
        <f ca="1">ROUND(B2/D1,0)</f>
        <v>29719</v>
      </c>
      <c r="C3" s="2508" t="s">
        <v>2609</v>
      </c>
      <c r="D3" s="2509" t="s">
        <v>2610</v>
      </c>
      <c r="E3" s="2515" t="s">
        <v>2852</v>
      </c>
      <c r="F3" s="2516" t="s">
        <v>2611</v>
      </c>
      <c r="G3" s="941">
        <f>项目基本情况!C15</f>
        <v>2.5</v>
      </c>
      <c r="H3" s="115" t="s">
        <v>2612</v>
      </c>
      <c r="I3" s="973">
        <v>7</v>
      </c>
      <c r="J3" s="2513" t="s">
        <v>2613</v>
      </c>
      <c r="L3" s="2514" t="s">
        <v>2614</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39741</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108"/>
      <c r="B4" s="3109"/>
      <c r="C4" s="3109"/>
      <c r="D4" s="3110"/>
      <c r="E4" s="3110"/>
      <c r="F4" s="3110"/>
      <c r="G4" s="3110"/>
      <c r="H4" s="3110"/>
      <c r="I4" s="3110"/>
      <c r="J4" s="3111"/>
      <c r="L4" s="2514" t="s">
        <v>2615</v>
      </c>
      <c r="M4" s="1119">
        <f>SUMPRODUCT((区片价!B49:B75=I2)*(区片价!C3:F3=E2)*(区片价!C49:F75))</f>
        <v>15630</v>
      </c>
      <c r="N4" s="1122">
        <f>SUMPRODUCT((因素修正幅度!B49:B75=I2)*(因素修正幅度!C3:F3=E2)*(因素修正幅度!C49:F75))</f>
        <v>8.7999999999999995E-2</v>
      </c>
      <c r="O4" s="1461"/>
      <c r="P4" s="1461"/>
      <c r="Q4" s="1461"/>
      <c r="R4" s="1708">
        <v>3</v>
      </c>
      <c r="S4" s="1708">
        <f>ROUND(IF(G3&gt;1,IF(R4&lt;7,SUMPRODUCT((B93:B98=R4)*(C92:N92=G2)*(C93:N98)),SUMIF(C92:N92,G2,C100:N100)),IF(R4&lt;7,SUMPRODUCT((B102:B107=R4)*(C92:N92=G2)*(C102:N107)),SUMIF(C92:N92,G2,C109:N109))),4)</f>
        <v>1.0788</v>
      </c>
      <c r="T4" s="1708">
        <f t="shared" ca="1" si="0"/>
        <v>32061</v>
      </c>
      <c r="U4" s="1709"/>
      <c r="V4" s="1708">
        <f t="shared" ca="1" si="1"/>
        <v>0</v>
      </c>
      <c r="W4" s="1712"/>
      <c r="X4" s="1712"/>
      <c r="Y4" s="1712"/>
      <c r="Z4" s="1712"/>
      <c r="AA4" s="1712"/>
      <c r="AB4" s="1712"/>
      <c r="AC4" s="1713"/>
      <c r="AD4" s="1714"/>
      <c r="AE4" s="1714"/>
      <c r="AF4" s="1714"/>
      <c r="AG4" s="1714"/>
      <c r="AH4" s="1714"/>
      <c r="AI4" s="1714"/>
      <c r="AJ4" s="1715"/>
    </row>
    <row r="5" spans="1:36" s="2525" customFormat="1" ht="15.75" thickBot="1">
      <c r="A5" s="2517" t="s">
        <v>2616</v>
      </c>
      <c r="B5" s="2518" t="s">
        <v>2617</v>
      </c>
      <c r="C5" s="2731">
        <f>ROUND(IF(E2="商业",IF(F16="增加",C6*C7+C16,C6*C7-C16),IF(E2="住宅",IF(F16="增加",C6*C12+C16,C6*C12-C16),IF(F16="增加",C6+C16,C6-C16))),0)</f>
        <v>18876</v>
      </c>
      <c r="D5" s="2732">
        <f>ROUND(IF(F16="增加",C6+C16,C6-C16),0)</f>
        <v>15594</v>
      </c>
      <c r="E5" s="2732"/>
      <c r="F5" s="2733"/>
      <c r="G5" s="2519"/>
      <c r="H5" s="2519"/>
      <c r="I5" s="2519"/>
      <c r="J5" s="2520"/>
      <c r="K5" s="2521"/>
      <c r="L5" s="2514" t="s">
        <v>2618</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25725</v>
      </c>
      <c r="U5" s="1709"/>
      <c r="V5" s="1708">
        <f t="shared" ca="1" si="1"/>
        <v>0</v>
      </c>
      <c r="W5" s="1712"/>
      <c r="X5" s="1712"/>
      <c r="Y5" s="1712"/>
      <c r="Z5" s="1712"/>
      <c r="AA5" s="1712"/>
      <c r="AB5" s="1712"/>
      <c r="AC5" s="2522"/>
      <c r="AD5" s="2523"/>
      <c r="AE5" s="2523"/>
      <c r="AF5" s="2523"/>
      <c r="AG5" s="2523"/>
      <c r="AH5" s="2523"/>
      <c r="AI5" s="2523"/>
      <c r="AJ5" s="2524"/>
    </row>
    <row r="6" spans="1:36" ht="15.75" thickBot="1">
      <c r="A6" s="2526">
        <v>1</v>
      </c>
      <c r="B6" s="2527" t="s">
        <v>2619</v>
      </c>
      <c r="C6" s="942">
        <f>SUMIF(L1:L12,G2,M1:M12)</f>
        <v>15630</v>
      </c>
      <c r="D6" s="2528" t="s">
        <v>2620</v>
      </c>
      <c r="E6" s="2529"/>
      <c r="F6" s="2529"/>
      <c r="G6" s="2530"/>
      <c r="H6" s="2530"/>
      <c r="I6" s="2530"/>
      <c r="J6" s="2531"/>
      <c r="K6" s="2532"/>
      <c r="L6" s="2514" t="s">
        <v>2621</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21906</v>
      </c>
      <c r="U6" s="1709"/>
      <c r="V6" s="1708">
        <f t="shared" ca="1" si="1"/>
        <v>0</v>
      </c>
      <c r="W6" s="1712"/>
      <c r="X6" s="1712"/>
      <c r="Y6" s="1712"/>
      <c r="Z6" s="1712"/>
      <c r="AA6" s="1712"/>
      <c r="AB6" s="1712"/>
      <c r="AC6" s="2522"/>
      <c r="AD6" s="2523"/>
      <c r="AE6" s="2523"/>
      <c r="AF6" s="2523"/>
      <c r="AG6" s="2523"/>
      <c r="AH6" s="2523"/>
      <c r="AI6" s="2523"/>
      <c r="AJ6" s="2524"/>
    </row>
    <row r="7" spans="1:36" ht="24">
      <c r="A7" s="3112" t="str">
        <f>IF(E2="商业",IF(C8="不临58条商业街","",2),"")</f>
        <v/>
      </c>
      <c r="B7" s="2533" t="s">
        <v>2622</v>
      </c>
      <c r="C7" s="943">
        <f>IF(C8="不临58条商业街",1,ROUND(1+(1.6*E8+1.2*E9+0.8*E10+0.4*E11)*C9,4))</f>
        <v>1</v>
      </c>
      <c r="D7" s="2534" t="s">
        <v>2623</v>
      </c>
      <c r="E7" s="974">
        <v>60</v>
      </c>
      <c r="F7" s="2535"/>
      <c r="G7" s="2536"/>
      <c r="H7" s="2536"/>
      <c r="I7" s="2536"/>
      <c r="J7" s="2537"/>
      <c r="K7" s="2532"/>
      <c r="L7" s="2514" t="s">
        <v>2624</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19264</v>
      </c>
      <c r="U7" s="1709"/>
      <c r="V7" s="1708">
        <f t="shared" ca="1" si="1"/>
        <v>0</v>
      </c>
      <c r="W7" s="1903" t="s">
        <v>2625</v>
      </c>
      <c r="X7" s="1710" t="str">
        <f>G2</f>
        <v>四级</v>
      </c>
      <c r="Y7" s="1710" t="s">
        <v>2626</v>
      </c>
      <c r="Z7" s="1711">
        <f>G3</f>
        <v>2.5</v>
      </c>
      <c r="AA7" s="1712"/>
      <c r="AB7" s="1712"/>
      <c r="AC7" s="1713"/>
      <c r="AD7" s="1714"/>
      <c r="AE7" s="1714"/>
      <c r="AF7" s="1714"/>
      <c r="AG7" s="1714"/>
      <c r="AH7" s="1714"/>
      <c r="AI7" s="1714"/>
      <c r="AJ7" s="1715"/>
    </row>
    <row r="8" spans="1:36" ht="15">
      <c r="A8" s="3113"/>
      <c r="B8" s="115" t="s">
        <v>2627</v>
      </c>
      <c r="C8" s="2538"/>
      <c r="D8" s="944" t="s">
        <v>89</v>
      </c>
      <c r="E8" s="945">
        <f>ROUND(C11/E7,4)</f>
        <v>0</v>
      </c>
      <c r="F8" s="2539" t="s">
        <v>2628</v>
      </c>
      <c r="G8" s="2540"/>
      <c r="H8" s="2540"/>
      <c r="I8" s="2540"/>
      <c r="J8" s="2541"/>
      <c r="L8" s="2514"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105" t="s">
        <v>2630</v>
      </c>
      <c r="X8" s="3106"/>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113"/>
      <c r="B9" s="115" t="s">
        <v>2643</v>
      </c>
      <c r="C9" s="946">
        <f>SUMIF(修正!C59:C119,C8,修正!E59:E119)</f>
        <v>0</v>
      </c>
      <c r="D9" s="117" t="s">
        <v>90</v>
      </c>
      <c r="E9" s="117">
        <f>ROUND(C11/E7,4)</f>
        <v>0</v>
      </c>
      <c r="F9" s="2539" t="s">
        <v>2644</v>
      </c>
      <c r="G9" s="2540"/>
      <c r="H9" s="2540"/>
      <c r="I9" s="2540"/>
      <c r="J9" s="2541"/>
      <c r="L9" s="2514"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107"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13"/>
      <c r="B10" s="115" t="s">
        <v>2648</v>
      </c>
      <c r="C10" s="117">
        <f>SUMIF(修正!C59:C119,C8,修正!F59:F119)</f>
        <v>0</v>
      </c>
      <c r="D10" s="117" t="s">
        <v>91</v>
      </c>
      <c r="E10" s="117">
        <f>ROUND(C11/E7,4)</f>
        <v>0</v>
      </c>
      <c r="F10" s="2539" t="s">
        <v>2649</v>
      </c>
      <c r="G10" s="2540"/>
      <c r="H10" s="2540"/>
      <c r="I10" s="2540"/>
      <c r="J10" s="2541"/>
      <c r="L10" s="2514"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107"/>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13"/>
      <c r="B11" s="2542" t="s">
        <v>2651</v>
      </c>
      <c r="C11" s="947">
        <f>C10/4</f>
        <v>0</v>
      </c>
      <c r="D11" s="947" t="s">
        <v>92</v>
      </c>
      <c r="E11" s="947">
        <f>ROUND(C11/E7,4)</f>
        <v>0</v>
      </c>
      <c r="F11" s="2543" t="s">
        <v>2652</v>
      </c>
      <c r="G11" s="2544"/>
      <c r="H11" s="2544"/>
      <c r="I11" s="2544"/>
      <c r="J11" s="2545"/>
      <c r="L11" s="2514"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107" t="s">
        <v>2654</v>
      </c>
      <c r="X11" s="1721" t="s">
        <v>2655</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112">
        <f>IF(E2="住宅",2,"")</f>
        <v>2</v>
      </c>
      <c r="B12" s="2546" t="s">
        <v>2656</v>
      </c>
      <c r="C12" s="943">
        <f>ROUND(C15*D15*E15*F15*G15*H15*I15*J15,4)</f>
        <v>1.21</v>
      </c>
      <c r="D12" s="2547" t="s">
        <v>2657</v>
      </c>
      <c r="E12" s="2548"/>
      <c r="F12" s="2548"/>
      <c r="G12" s="2549"/>
      <c r="H12" s="2549"/>
      <c r="I12" s="2549"/>
      <c r="J12" s="2550"/>
      <c r="L12" s="2551"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107"/>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14"/>
      <c r="B13" s="2552" t="s">
        <v>2660</v>
      </c>
      <c r="C13" s="2553" t="s">
        <v>2661</v>
      </c>
      <c r="D13" s="2554" t="s">
        <v>2662</v>
      </c>
      <c r="E13" s="2554" t="s">
        <v>2663</v>
      </c>
      <c r="F13" s="20" t="s">
        <v>2664</v>
      </c>
      <c r="G13" s="2555" t="s">
        <v>2665</v>
      </c>
      <c r="H13" s="2555" t="s">
        <v>2665</v>
      </c>
      <c r="I13" s="2555" t="s">
        <v>2665</v>
      </c>
      <c r="J13" s="2556" t="s">
        <v>2665</v>
      </c>
      <c r="L13" s="1461"/>
      <c r="M13" s="1461"/>
      <c r="N13" s="1461"/>
      <c r="O13" s="1461"/>
      <c r="P13" s="1461"/>
      <c r="Q13" s="1461"/>
      <c r="R13" s="1708">
        <v>12</v>
      </c>
      <c r="S13" s="1709"/>
      <c r="T13" s="1708">
        <f t="shared" ca="1" si="0"/>
        <v>0</v>
      </c>
      <c r="U13" s="1709"/>
      <c r="V13" s="1708">
        <f t="shared" ca="1" si="1"/>
        <v>0</v>
      </c>
      <c r="W13" s="3107"/>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114"/>
      <c r="B14" s="2557"/>
      <c r="C14" s="2760" t="s">
        <v>2858</v>
      </c>
      <c r="D14" s="2558" t="s">
        <v>2854</v>
      </c>
      <c r="E14" s="2558" t="s">
        <v>2858</v>
      </c>
      <c r="F14" s="2761" t="s">
        <v>2859</v>
      </c>
      <c r="G14" s="2559" t="s">
        <v>2666</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115"/>
      <c r="B15" s="2563" t="s">
        <v>2667</v>
      </c>
      <c r="C15" s="150">
        <f>IF(C14="有",1.1,1)</f>
        <v>1</v>
      </c>
      <c r="D15" s="150">
        <f>IF(D14="有",1.1,1)</f>
        <v>1.1000000000000001</v>
      </c>
      <c r="E15" s="150">
        <f>IF(E14="有",1.1,1)</f>
        <v>1</v>
      </c>
      <c r="F15" s="150">
        <f>IF(F14="500米范围内",1.2,IF(F14="500-1000米",1.1,1))</f>
        <v>1.1000000000000001</v>
      </c>
      <c r="G15" s="975">
        <v>1</v>
      </c>
      <c r="H15" s="975">
        <v>1</v>
      </c>
      <c r="I15" s="975">
        <v>1</v>
      </c>
      <c r="J15" s="976">
        <v>1</v>
      </c>
      <c r="L15" s="2564" t="s">
        <v>2668</v>
      </c>
      <c r="M15" s="944" t="s">
        <v>2669</v>
      </c>
      <c r="N15" s="944" t="s">
        <v>2670</v>
      </c>
      <c r="O15" s="944" t="s">
        <v>2671</v>
      </c>
      <c r="P15" s="2565" t="s">
        <v>2672</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112">
        <f>IF(E2="办公",2,IF(E2="工业",2,IF(E2="住宅",3,IF(E2="商业",IF(C8="不临58条商业街",2,3)))))</f>
        <v>3</v>
      </c>
      <c r="B16" s="2533" t="s">
        <v>2673</v>
      </c>
      <c r="C16" s="1883">
        <f>ROUND(SUM(G17:J17)/C17,0)</f>
        <v>36</v>
      </c>
      <c r="D16" s="2566" t="s">
        <v>2674</v>
      </c>
      <c r="E16" s="2567" t="s">
        <v>2922</v>
      </c>
      <c r="F16" s="2568" t="s">
        <v>2923</v>
      </c>
      <c r="G16" s="2569" t="s">
        <v>2924</v>
      </c>
      <c r="H16" s="2569" t="s">
        <v>2925</v>
      </c>
      <c r="I16" s="2569"/>
      <c r="J16" s="2570"/>
      <c r="L16" s="1459" t="s">
        <v>2675</v>
      </c>
      <c r="M16" s="946">
        <v>0.25</v>
      </c>
      <c r="N16" s="946">
        <v>0.2</v>
      </c>
      <c r="O16" s="946">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113"/>
      <c r="B17" s="2571" t="s">
        <v>2676</v>
      </c>
      <c r="C17" s="948">
        <f>SUMPRODUCT((修正!A2:A5=E2)*(修正!B1:M1=G2)*(修正!B2:M5))</f>
        <v>2.5</v>
      </c>
      <c r="D17" s="2572" t="s">
        <v>2677</v>
      </c>
      <c r="E17" s="947" t="str">
        <f>IF(OR(G2="八级",G2="九级",G2="十级",G2="十一级",G2="十二级"),"五通一平","七通一平")</f>
        <v>七通一平</v>
      </c>
      <c r="F17" s="948" t="s">
        <v>2678</v>
      </c>
      <c r="G17" s="948">
        <f>SUMPRODUCT((七通一平=G16)*(修正!B1:M1=G2)*(修正!B6:M14))</f>
        <v>50</v>
      </c>
      <c r="H17" s="948">
        <f>SUMPRODUCT((七通一平=H16)*(修正!B1:M1=G2)*(修正!B6:M14))</f>
        <v>40</v>
      </c>
      <c r="I17" s="948">
        <f>SUMPRODUCT((七通一平=I16)*(修正!B1:M1=G2)*(修正!B6:M14))</f>
        <v>0</v>
      </c>
      <c r="J17" s="949">
        <f>SUMPRODUCT((七通一平=J16)*(修正!B1:M1=G2)*(修正!B6:M14))</f>
        <v>0</v>
      </c>
      <c r="L17" s="1463" t="s">
        <v>2679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5" customFormat="1" ht="15.75" thickBot="1">
      <c r="A18" s="2573" t="s">
        <v>2680</v>
      </c>
      <c r="B18" s="2574" t="s">
        <v>2681</v>
      </c>
      <c r="C18" s="950">
        <f>SUMIF(修正!C18:C39,E3,修正!E18:E39)</f>
        <v>1</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5" customFormat="1" ht="29.25" thickBot="1">
      <c r="A19" s="2573" t="s">
        <v>2682</v>
      </c>
      <c r="B19" s="2574" t="s">
        <v>2683</v>
      </c>
      <c r="C19" s="951">
        <f>ROUND(IF(H19="按公示增长率计算",SUMPRODUCT((地价!A3:A25=YEAR(G19)&amp;"-"&amp;ROUNDUP(MONTH(G19)/3,0))*(地价!X2:AB2=E2)*(地价!X3:AB25)),IF(H19="地价指数",M20/M19,(1+I19)^O19)),4)</f>
        <v>1.5683</v>
      </c>
      <c r="D19" s="2582" t="s">
        <v>2684</v>
      </c>
      <c r="E19" s="952">
        <v>41640</v>
      </c>
      <c r="F19" s="2582" t="s">
        <v>2685</v>
      </c>
      <c r="G19" s="953">
        <f>'数据-取费表'!B2</f>
        <v>43516</v>
      </c>
      <c r="H19" s="2583" t="s">
        <v>2853</v>
      </c>
      <c r="I19" s="954" t="str">
        <f>IF(H19="季度增幅（自定义）",SUMIF(N21:N24,E2,O21:O24),"")</f>
        <v/>
      </c>
      <c r="J19" s="2579"/>
      <c r="K19" s="2580"/>
      <c r="L19" s="2584" t="s">
        <v>2686</v>
      </c>
      <c r="M19" s="1825">
        <f>ROUND(SUMIF(地价!B2:F2,E2,地价!B25:F25),0)</f>
        <v>423</v>
      </c>
      <c r="N19" s="1465" t="s">
        <v>2687</v>
      </c>
      <c r="O19" s="955">
        <f>ROUNDDOWN(DATEDIF(E19,G19,"M")/3,0)</f>
        <v>20</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5" customFormat="1" ht="27.75" thickBot="1">
      <c r="A20" s="2588" t="s">
        <v>2688</v>
      </c>
      <c r="B20" s="2589" t="s">
        <v>2689</v>
      </c>
      <c r="C20" s="956">
        <f ca="1">ROUND(POWER(1+G20,J20-I20)*(POWER(1+G20,I20)-1)/(POWER(1+G20,J20)-1),4)</f>
        <v>0.9667</v>
      </c>
      <c r="D20" s="2590" t="s">
        <v>2690</v>
      </c>
      <c r="E20" s="1855">
        <f ca="1">存贷款利率!D4/100</f>
        <v>4.3499999999999997E-2</v>
      </c>
      <c r="F20" s="2590" t="s">
        <v>2679</v>
      </c>
      <c r="G20" s="962">
        <f ca="1">SUMIF(M15:P15,E2,M17:P17)</f>
        <v>0.05</v>
      </c>
      <c r="H20" s="2590" t="s">
        <v>2691</v>
      </c>
      <c r="I20" s="963">
        <f>'数据-取费表'!B13</f>
        <v>56</v>
      </c>
      <c r="J20" s="964">
        <f>IF(E2="住宅",70,IF(E2="商业",40,50))</f>
        <v>70</v>
      </c>
      <c r="K20" s="2580"/>
      <c r="L20" s="2591" t="s">
        <v>2692</v>
      </c>
      <c r="M20" s="1826">
        <f>ROUND(SUMPRODUCT((地价!A4:A25=YEAR(G19)&amp;"-"&amp;ROUNDUP(MONTH(G19)/3,0))*(地价!B2:F2=E2)*(地价!B4:F25)),0)</f>
        <v>663</v>
      </c>
      <c r="N20" s="2592" t="s">
        <v>2693</v>
      </c>
      <c r="O20" s="2593" t="s">
        <v>2694</v>
      </c>
      <c r="P20" s="2594" t="s">
        <v>2695</v>
      </c>
      <c r="R20" s="1461"/>
      <c r="S20" s="1461"/>
      <c r="T20" s="1461"/>
      <c r="U20" s="1461"/>
      <c r="V20" s="1461"/>
      <c r="W20" s="1461"/>
      <c r="X20" s="1461"/>
      <c r="Y20" s="1461"/>
      <c r="Z20" s="1461"/>
      <c r="AA20" s="1461"/>
      <c r="AB20" s="1461"/>
      <c r="AC20" s="1461"/>
      <c r="AD20" s="1461"/>
      <c r="AE20" s="2580"/>
      <c r="AF20" s="2580"/>
    </row>
    <row r="21" spans="1:37" s="2525" customFormat="1" ht="14.25">
      <c r="A21" s="2595" t="s">
        <v>2696</v>
      </c>
      <c r="B21" s="2596" t="s">
        <v>2697</v>
      </c>
      <c r="C21" s="965">
        <f>IF(B21="容积率修正",IF(G3&lt;=10,D22,J22),C23)</f>
        <v>1</v>
      </c>
      <c r="D21" s="2597"/>
      <c r="E21" s="2597"/>
      <c r="F21" s="2597"/>
      <c r="G21" s="2597"/>
      <c r="H21" s="2597"/>
      <c r="I21" s="2597"/>
      <c r="J21" s="2598"/>
      <c r="K21" s="2580"/>
      <c r="N21" s="2599" t="s">
        <v>2698</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80"/>
      <c r="AF21" s="2580"/>
    </row>
    <row r="22" spans="1:37" s="2525" customFormat="1" ht="14.25">
      <c r="A22" s="2600">
        <v>1</v>
      </c>
      <c r="B22" s="2601" t="s">
        <v>2699</v>
      </c>
      <c r="C22" s="1897" t="s">
        <v>2700</v>
      </c>
      <c r="D22" s="1897">
        <f>IF(E22=G22,F22,IF(G3&lt;=10,ROUND(F22+(H22-F22)*(G3-E22)/(G22-E22),4),"——"))</f>
        <v>1</v>
      </c>
      <c r="E22" s="941">
        <f>ROUNDDOWN(G3,1)</f>
        <v>2.5</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7" t="s">
        <v>104</v>
      </c>
      <c r="J22" s="966" t="str">
        <f>IF(G3&gt;10,D113,"——")</f>
        <v>——</v>
      </c>
      <c r="K22" s="2580"/>
      <c r="N22" s="2599" t="s">
        <v>2701</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80"/>
      <c r="AF22" s="2580"/>
    </row>
    <row r="23" spans="1:37" ht="27">
      <c r="A23" s="2600">
        <v>2</v>
      </c>
      <c r="B23" s="2601" t="s">
        <v>2702</v>
      </c>
      <c r="C23" s="957">
        <f>ROUND(IF(G3&gt;1,IF(I3&lt;7,SUMPRODUCT((B93:B98=I3)*(C92:N92=G2)*(C93:N98)),SUMIF(C92:N92,G2,C100:N100)),IF(I3&lt;7,SUMPRODUCT((B102:B107=I3)*(C92:N92=G2)*(C102:N107)),SUMIF(C92:N92,G2,C109:N109))),4)</f>
        <v>0.64729999999999999</v>
      </c>
      <c r="D23" s="2560"/>
      <c r="E23" s="2560"/>
      <c r="F23" s="2602"/>
      <c r="G23" s="2603"/>
      <c r="H23" s="2604"/>
      <c r="I23" s="2605"/>
      <c r="J23" s="2606"/>
      <c r="N23" s="2599" t="s">
        <v>2703</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81"/>
    </row>
    <row r="24" spans="1:37" s="2525" customFormat="1" ht="15.75" thickBot="1">
      <c r="A24" s="2607" t="s">
        <v>2704</v>
      </c>
      <c r="B24" s="2608" t="s">
        <v>2705</v>
      </c>
      <c r="C24" s="967">
        <f>SUMIF(A46:A88,E2,B46:B88)</f>
        <v>1.0385</v>
      </c>
      <c r="D24" s="2609"/>
      <c r="E24" s="2610"/>
      <c r="F24" s="2610"/>
      <c r="G24" s="2610"/>
      <c r="H24" s="2610"/>
      <c r="I24" s="2610"/>
      <c r="J24" s="2611"/>
      <c r="K24" s="2580"/>
      <c r="N24" s="2612" t="s">
        <v>2706</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80"/>
      <c r="AF24" s="2580"/>
    </row>
    <row r="25" spans="1:37" ht="15" thickBot="1">
      <c r="A25" s="2588" t="s">
        <v>2707</v>
      </c>
      <c r="B25" s="2613" t="s">
        <v>2708</v>
      </c>
      <c r="C25" s="958"/>
      <c r="D25" s="2536"/>
      <c r="E25" s="2536"/>
      <c r="F25" s="2614"/>
      <c r="G25" s="2536"/>
      <c r="H25" s="2536"/>
      <c r="I25" s="2536"/>
      <c r="J25" s="2537"/>
      <c r="L25" s="1461"/>
      <c r="M25" s="1461"/>
      <c r="N25" s="2615" t="s">
        <v>2709</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6"/>
      <c r="B26" s="2601" t="s">
        <v>2710</v>
      </c>
      <c r="C26" s="123">
        <f ca="1">E29+SUM(E33:E39)</f>
        <v>29719</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2711</v>
      </c>
      <c r="C27" s="959">
        <f ca="1">E30+SUM(I33:I39)</f>
        <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2712</v>
      </c>
      <c r="C28" s="2626" t="s">
        <v>2713</v>
      </c>
      <c r="D28" s="2626" t="s">
        <v>2714</v>
      </c>
      <c r="E28" s="2627" t="s">
        <v>2715</v>
      </c>
      <c r="F28" s="2628"/>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2716</v>
      </c>
      <c r="C29" s="123">
        <f ca="1">ROUND(C5*C18*C19*C20*C21*C24,0)</f>
        <v>29719</v>
      </c>
      <c r="D29" s="2631">
        <f>项目基本情况!C12</f>
        <v>1</v>
      </c>
      <c r="E29" s="971">
        <f ca="1">ROUND(C29*D29,0)</f>
        <v>29719</v>
      </c>
      <c r="F29" s="2632" t="s">
        <v>2717</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5"/>
      <c r="B30" s="2636" t="s">
        <v>2718</v>
      </c>
      <c r="C30" s="150">
        <f ca="1">ROUND(IF(E2="工业",C29*M39,C29*M38),0)</f>
        <v>7430</v>
      </c>
      <c r="D30" s="2637"/>
      <c r="E30" s="971">
        <f ca="1">ROUND(C30*D30,0)</f>
        <v>0</v>
      </c>
      <c r="F30" s="2638" t="s">
        <v>2719</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1"/>
      <c r="B31" s="2642" t="s">
        <v>2720</v>
      </c>
      <c r="C31" s="2643" t="s">
        <v>2721</v>
      </c>
      <c r="D31" s="2549"/>
      <c r="E31" s="2643"/>
      <c r="F31" s="2643"/>
      <c r="G31" s="2547" t="s">
        <v>2722</v>
      </c>
      <c r="H31" s="2549"/>
      <c r="I31" s="2644"/>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29"/>
      <c r="B32" s="2645"/>
      <c r="C32" s="482" t="s">
        <v>2713</v>
      </c>
      <c r="D32" s="479" t="s">
        <v>2714</v>
      </c>
      <c r="E32" s="479" t="s">
        <v>2715</v>
      </c>
      <c r="F32" s="367" t="s">
        <v>2723</v>
      </c>
      <c r="G32" s="957" t="s">
        <v>2713</v>
      </c>
      <c r="H32" s="957" t="s">
        <v>2714</v>
      </c>
      <c r="I32" s="957" t="s">
        <v>2715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124" t="s">
        <v>2724</v>
      </c>
      <c r="B33" s="2646" t="s">
        <v>2725</v>
      </c>
      <c r="C33" s="123">
        <f ca="1">ROUND(D5*C19*C20*C24*F33,0)</f>
        <v>17186</v>
      </c>
      <c r="D33" s="2631"/>
      <c r="E33" s="117">
        <f t="shared" ref="E33:E39" ca="1" si="6">ROUND(C33*D33,0)</f>
        <v>0</v>
      </c>
      <c r="F33" s="117">
        <f>SUMIF(修正!A45:A56,G2,修正!B45:B56)</f>
        <v>0.7</v>
      </c>
      <c r="G33" s="117">
        <f t="shared" ref="G33" ca="1" si="7">ROUND(IF(E2="工业",C33*$M$39,C33*$M$38),0)</f>
        <v>4297</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25"/>
      <c r="B34" s="2553" t="s">
        <v>2726</v>
      </c>
      <c r="C34" s="123">
        <f ca="1">ROUND(D5*C19*C20*C24*F34,0)</f>
        <v>9821</v>
      </c>
      <c r="D34" s="2631"/>
      <c r="E34" s="117">
        <f t="shared" ca="1" si="6"/>
        <v>0</v>
      </c>
      <c r="F34" s="117">
        <f>SUMIF(修正!A45:A56,G2,修正!C45:C56)</f>
        <v>0.4</v>
      </c>
      <c r="G34" s="117">
        <f ca="1">ROUND(IF(E2="工业",C34*$M$39,C34*$M$38),0)</f>
        <v>2455</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25"/>
      <c r="B35" s="2553" t="s">
        <v>2727</v>
      </c>
      <c r="C35" s="123">
        <f ca="1">ROUND(D5*C19*C20*C24*F35,0)</f>
        <v>6875</v>
      </c>
      <c r="D35" s="2631"/>
      <c r="E35" s="117">
        <f t="shared" ca="1" si="6"/>
        <v>0</v>
      </c>
      <c r="F35" s="117">
        <f>SUMIF(修正!A45:A56,G2,修正!D45:D56)</f>
        <v>0.28000000000000003</v>
      </c>
      <c r="G35" s="117">
        <f ca="1">ROUND(IF(E2="工业",C35*$M$39,C35*$M$38),0)</f>
        <v>1719</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26"/>
      <c r="B36" s="2553" t="s">
        <v>2728</v>
      </c>
      <c r="C36" s="123">
        <f ca="1">ROUND(D5*C19*C20*C24*F36,0)</f>
        <v>6138</v>
      </c>
      <c r="D36" s="2631"/>
      <c r="E36" s="117">
        <f t="shared" ca="1" si="6"/>
        <v>0</v>
      </c>
      <c r="F36" s="117">
        <f>SUMIF(修正!A45:A56,G2,修正!E45:E56)</f>
        <v>0.25</v>
      </c>
      <c r="G36" s="117">
        <f ca="1">ROUND(IF(E2="工业",C36*$M$39,C36*$M$38),0)</f>
        <v>1535</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3" t="s">
        <v>2729</v>
      </c>
      <c r="C37" s="117">
        <f ca="1">ROUND(D5*C19*C20*C24*F37,0)</f>
        <v>6138</v>
      </c>
      <c r="D37" s="2631"/>
      <c r="E37" s="117">
        <f t="shared" ca="1" si="6"/>
        <v>0</v>
      </c>
      <c r="F37" s="123">
        <f>SUMIF(修正!A45:A56,G2,修正!F45:F56)</f>
        <v>0.25</v>
      </c>
      <c r="G37" s="117">
        <f ca="1">ROUND(IF(E2="工业",C37*$M$39,C37*$M$38),0)</f>
        <v>1535</v>
      </c>
      <c r="H37" s="117">
        <f t="shared" si="9"/>
        <v>0</v>
      </c>
      <c r="I37" s="117">
        <f t="shared" ca="1" si="8"/>
        <v>0</v>
      </c>
      <c r="J37" s="2647"/>
      <c r="L37" s="2650" t="s">
        <v>2730</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3" t="s">
        <v>2731</v>
      </c>
      <c r="C38" s="117">
        <f ca="1">ROUND(D5*C19*C41*C24*F38,0)</f>
        <v>0</v>
      </c>
      <c r="D38" s="2631"/>
      <c r="E38" s="117">
        <f t="shared" ca="1" si="6"/>
        <v>0</v>
      </c>
      <c r="F38" s="123">
        <f>SUMIF(修正!A45:A56,G2,修正!G45:G56)</f>
        <v>0.25</v>
      </c>
      <c r="G38" s="117">
        <f ca="1">ROUND(IF(E2="工业",C38*$M$39,C38*$M$38),0)</f>
        <v>0</v>
      </c>
      <c r="H38" s="117">
        <f t="shared" si="9"/>
        <v>0</v>
      </c>
      <c r="I38" s="117">
        <f t="shared" ca="1" si="8"/>
        <v>0</v>
      </c>
      <c r="J38" s="2647"/>
      <c r="L38" s="2651" t="s">
        <v>2732</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2733</v>
      </c>
      <c r="C39" s="150">
        <f ca="1">ROUND(D5*C19*C41*C24*F39,0)</f>
        <v>0</v>
      </c>
      <c r="D39" s="2637"/>
      <c r="E39" s="150">
        <f t="shared" ca="1" si="6"/>
        <v>0</v>
      </c>
      <c r="F39" s="960">
        <f>SUMIF(修正!A45:A56,G2,修正!H45:H56)</f>
        <v>0.2</v>
      </c>
      <c r="G39" s="150">
        <f ca="1">ROUND(IF(E2="工业",C39*$M$39,C39*$M$38),0)</f>
        <v>0</v>
      </c>
      <c r="H39" s="150">
        <f t="shared" si="9"/>
        <v>0</v>
      </c>
      <c r="I39" s="150">
        <f t="shared" ca="1" si="8"/>
        <v>0</v>
      </c>
      <c r="J39" s="2654"/>
      <c r="L39" s="2655" t="s">
        <v>2672</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729" t="s">
        <v>2817</v>
      </c>
      <c r="C41" s="367">
        <f ca="1">ROUND(POWER(1+E41,H41-G41)*(POWER(1+E41,G41)-1)/(POWER(1+E41,H41)-1),4)</f>
        <v>0</v>
      </c>
      <c r="D41" s="117" t="s">
        <v>2815</v>
      </c>
      <c r="E41" s="827">
        <f ca="1">G20</f>
        <v>0.05</v>
      </c>
      <c r="F41" s="117" t="s">
        <v>2816</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2734</v>
      </c>
      <c r="B45" s="2661"/>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hidden="1">
      <c r="A46" s="2662" t="s">
        <v>2735</v>
      </c>
      <c r="B46" s="2663">
        <f>1+E48</f>
        <v>1</v>
      </c>
      <c r="C46" s="2664"/>
      <c r="D46" s="817"/>
      <c r="E46" s="818"/>
      <c r="F46" s="2665"/>
      <c r="G46" s="7"/>
      <c r="H46" s="9"/>
      <c r="I46" s="9"/>
      <c r="J46" s="9"/>
      <c r="K46" s="9"/>
      <c r="L46" s="9"/>
      <c r="M46" s="2505"/>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hidden="1">
      <c r="A47" s="2667" t="s">
        <v>2736</v>
      </c>
      <c r="B47" s="823" t="s">
        <v>2737</v>
      </c>
      <c r="C47" s="823" t="s">
        <v>2738</v>
      </c>
      <c r="D47" s="823" t="s">
        <v>2739</v>
      </c>
      <c r="E47" s="824" t="s">
        <v>2740</v>
      </c>
      <c r="F47" s="2668" t="s">
        <v>2741</v>
      </c>
      <c r="G47" s="823" t="s">
        <v>2742</v>
      </c>
      <c r="H47" s="2669" t="s">
        <v>2743</v>
      </c>
      <c r="I47" s="823" t="s">
        <v>2744</v>
      </c>
      <c r="J47" s="587" t="s">
        <v>2745</v>
      </c>
      <c r="K47" s="587" t="s">
        <v>2746</v>
      </c>
      <c r="L47" s="587" t="s">
        <v>2747</v>
      </c>
      <c r="M47" s="587" t="s">
        <v>2748</v>
      </c>
      <c r="N47" s="587" t="s">
        <v>2749</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38.25" hidden="1">
      <c r="A48" s="2667" t="s">
        <v>2750</v>
      </c>
      <c r="B48" s="2670" t="str">
        <f>估价对象房地状况!C16</f>
        <v>估价对象位于XX商圈，周边商业氛围成熟，人流量大，商业繁华度好</v>
      </c>
      <c r="C48" s="2558"/>
      <c r="D48" s="1375">
        <f t="shared" ref="D48:D56" si="10">SUMIF($J$47:$N$47,C48,J48:N48)</f>
        <v>0</v>
      </c>
      <c r="E48" s="829">
        <f>ROUND(SUM(D48:D56),4)</f>
        <v>0</v>
      </c>
      <c r="F48" s="2277"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51" hidden="1">
      <c r="A49" s="2667" t="s">
        <v>2751</v>
      </c>
      <c r="B49" s="2671" t="str">
        <f>估价对象房地状况!C18</f>
        <v>估价对象周边道路状况、公共交通通达情况、停车便捷程度，综合评价交通便捷度较好</v>
      </c>
      <c r="C49" s="2558"/>
      <c r="D49" s="1375">
        <f t="shared" si="10"/>
        <v>0</v>
      </c>
      <c r="E49" s="832"/>
      <c r="F49" s="2277"/>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hidden="1">
      <c r="A50" s="2667" t="s">
        <v>2752</v>
      </c>
      <c r="B50" s="2671">
        <f>估价对象房地状况!C19</f>
        <v>0</v>
      </c>
      <c r="C50" s="2558"/>
      <c r="D50" s="1375">
        <f t="shared" si="10"/>
        <v>0</v>
      </c>
      <c r="E50" s="832"/>
      <c r="F50" s="2277"/>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hidden="1">
      <c r="A51" s="2667" t="s">
        <v>2753</v>
      </c>
      <c r="B51" s="2672" t="s">
        <v>2754</v>
      </c>
      <c r="C51" s="2558"/>
      <c r="D51" s="1375">
        <f t="shared" si="10"/>
        <v>0</v>
      </c>
      <c r="E51" s="832"/>
      <c r="F51" s="2277"/>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hidden="1">
      <c r="A52" s="2667" t="s">
        <v>2755</v>
      </c>
      <c r="B52" s="2671">
        <f>估价对象房地状况!C24</f>
        <v>0</v>
      </c>
      <c r="C52" s="2558"/>
      <c r="D52" s="1375">
        <f t="shared" si="10"/>
        <v>0</v>
      </c>
      <c r="E52" s="832"/>
      <c r="F52" s="2277"/>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hidden="1">
      <c r="A53" s="2667" t="s">
        <v>2756</v>
      </c>
      <c r="B53" s="2673" t="s">
        <v>2757</v>
      </c>
      <c r="C53" s="2558"/>
      <c r="D53" s="1375">
        <f t="shared" si="10"/>
        <v>0</v>
      </c>
      <c r="E53" s="832"/>
      <c r="F53" s="2277"/>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25.5" hidden="1">
      <c r="A54" s="2674" t="s">
        <v>2758</v>
      </c>
      <c r="B54" s="2675" t="str">
        <f>估价对象房地状况!C21</f>
        <v>估价对象所在区域公共配套设施齐备情况</v>
      </c>
      <c r="C54" s="2558"/>
      <c r="D54" s="1375">
        <f t="shared" si="10"/>
        <v>0</v>
      </c>
      <c r="E54" s="832"/>
      <c r="F54" s="2277"/>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hidden="1">
      <c r="A55" s="2674" t="s">
        <v>2759</v>
      </c>
      <c r="B55" s="2671" t="str">
        <f>估价对象房地状况!C22</f>
        <v>估价对象所在区域基础设施水平</v>
      </c>
      <c r="C55" s="2558"/>
      <c r="D55" s="1375">
        <f t="shared" si="10"/>
        <v>0</v>
      </c>
      <c r="E55" s="832"/>
      <c r="F55" s="2277"/>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39" hidden="1" thickBot="1">
      <c r="A56" s="2676" t="s">
        <v>2760</v>
      </c>
      <c r="B56" s="2677" t="str">
        <f>估价对象房地状况!C20</f>
        <v>区域自然环境：；人文环境；综合评价环境状况一般</v>
      </c>
      <c r="C56" s="2558"/>
      <c r="D56" s="1375">
        <f t="shared" si="10"/>
        <v>0</v>
      </c>
      <c r="E56" s="838"/>
      <c r="F56" s="2277"/>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hidden="1">
      <c r="A57" s="2662" t="s">
        <v>2761</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hidden="1">
      <c r="A58" s="2667" t="s">
        <v>2736</v>
      </c>
      <c r="B58" s="2671"/>
      <c r="C58" s="823" t="s">
        <v>2738</v>
      </c>
      <c r="D58" s="823" t="s">
        <v>2739</v>
      </c>
      <c r="E58" s="824" t="s">
        <v>2740</v>
      </c>
      <c r="F58" s="2668" t="s">
        <v>2741</v>
      </c>
      <c r="G58" s="823" t="s">
        <v>2762</v>
      </c>
      <c r="H58" s="2669" t="s">
        <v>2763</v>
      </c>
      <c r="I58" s="823" t="s">
        <v>2764</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38.25" hidden="1">
      <c r="A59" s="2667" t="s">
        <v>2765</v>
      </c>
      <c r="B59" s="2670" t="str">
        <f>估价对象房地状况!C17</f>
        <v>估价对象位于XX商圈，周边办公楼项目较多，入驻率高，办公集聚程度较好</v>
      </c>
      <c r="C59" s="2558"/>
      <c r="D59" s="1375">
        <f t="shared" ref="D59:D67" si="15">SUMIF($J$58:$N$58,C59,J59:N59)</f>
        <v>0</v>
      </c>
      <c r="E59" s="829">
        <f>ROUND(SUM(D59:D67),4)</f>
        <v>0</v>
      </c>
      <c r="F59" s="2277"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51" hidden="1">
      <c r="A60" s="2667" t="s">
        <v>2751</v>
      </c>
      <c r="B60" s="2671" t="str">
        <f>估价对象房地状况!C18</f>
        <v>估价对象周边道路状况、公共交通通达情况、停车便捷程度，综合评价交通便捷度较好</v>
      </c>
      <c r="C60" s="2558"/>
      <c r="D60" s="1375">
        <f t="shared" si="15"/>
        <v>0</v>
      </c>
      <c r="E60" s="832"/>
      <c r="F60" s="2277"/>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hidden="1">
      <c r="A61" s="2667" t="s">
        <v>2752</v>
      </c>
      <c r="B61" s="2671">
        <f>估价对象房地状况!C19</f>
        <v>0</v>
      </c>
      <c r="C61" s="2558"/>
      <c r="D61" s="1375">
        <f t="shared" si="15"/>
        <v>0</v>
      </c>
      <c r="E61" s="832"/>
      <c r="F61" s="2277"/>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hidden="1">
      <c r="A62" s="2667" t="s">
        <v>2753</v>
      </c>
      <c r="B62" s="2672" t="s">
        <v>2754</v>
      </c>
      <c r="C62" s="2558"/>
      <c r="D62" s="1375">
        <f t="shared" si="15"/>
        <v>0</v>
      </c>
      <c r="E62" s="832"/>
      <c r="F62" s="2277"/>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hidden="1">
      <c r="A63" s="2667" t="s">
        <v>2755</v>
      </c>
      <c r="B63" s="2671">
        <f>估价对象房地状况!C24</f>
        <v>0</v>
      </c>
      <c r="C63" s="2558"/>
      <c r="D63" s="1375">
        <f t="shared" si="15"/>
        <v>0</v>
      </c>
      <c r="E63" s="832"/>
      <c r="F63" s="2277"/>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hidden="1">
      <c r="A64" s="2667" t="s">
        <v>2756</v>
      </c>
      <c r="B64" s="2673" t="s">
        <v>2757</v>
      </c>
      <c r="C64" s="2558"/>
      <c r="D64" s="1375">
        <f t="shared" si="15"/>
        <v>0</v>
      </c>
      <c r="E64" s="832"/>
      <c r="F64" s="2277"/>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25.5" hidden="1">
      <c r="A65" s="2667" t="s">
        <v>2758</v>
      </c>
      <c r="B65" s="2675" t="str">
        <f>估价对象房地状况!C21</f>
        <v>估价对象所在区域公共配套设施齐备情况</v>
      </c>
      <c r="C65" s="2558"/>
      <c r="D65" s="1375">
        <f t="shared" si="15"/>
        <v>0</v>
      </c>
      <c r="E65" s="832"/>
      <c r="F65" s="2277"/>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hidden="1">
      <c r="A66" s="2667" t="s">
        <v>2759</v>
      </c>
      <c r="B66" s="2675" t="str">
        <f>估价对象房地状况!C22</f>
        <v>估价对象所在区域基础设施水平</v>
      </c>
      <c r="C66" s="2558"/>
      <c r="D66" s="1375">
        <f t="shared" si="15"/>
        <v>0</v>
      </c>
      <c r="E66" s="832"/>
      <c r="F66" s="2277"/>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39" hidden="1" thickBot="1">
      <c r="A67" s="2676" t="s">
        <v>2760</v>
      </c>
      <c r="B67" s="2679" t="str">
        <f>估价对象房地状况!C20</f>
        <v>区域自然环境：；人文环境；综合评价环境状况一般</v>
      </c>
      <c r="C67" s="2558"/>
      <c r="D67" s="1375">
        <f t="shared" si="15"/>
        <v>0</v>
      </c>
      <c r="E67" s="838"/>
      <c r="F67" s="2277"/>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2766</v>
      </c>
      <c r="B68" s="2678">
        <f>1+E70</f>
        <v>1.0385</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2736</v>
      </c>
      <c r="B69" s="2671"/>
      <c r="C69" s="823" t="s">
        <v>2738</v>
      </c>
      <c r="D69" s="823" t="s">
        <v>2739</v>
      </c>
      <c r="E69" s="824" t="s">
        <v>2740</v>
      </c>
      <c r="F69" s="2668" t="s">
        <v>2741</v>
      </c>
      <c r="G69" s="823" t="s">
        <v>2762</v>
      </c>
      <c r="H69" s="2669" t="s">
        <v>2763</v>
      </c>
      <c r="I69" s="823" t="s">
        <v>2764</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51">
      <c r="A70" s="2667" t="s">
        <v>2767</v>
      </c>
      <c r="B70" s="2670" t="str">
        <f>估价对象房地状况!C15</f>
        <v>估价对象周边居住用地比例、居住小区规模和社区发展完善程度，综合评价居住社区成熟度一般</v>
      </c>
      <c r="C70" s="2558" t="s">
        <v>30</v>
      </c>
      <c r="D70" s="1375">
        <f t="shared" ref="D70:D78" si="20">SUMIF($J$69:$N$69,C70,J70:N70)</f>
        <v>6.1000000000000004E-3</v>
      </c>
      <c r="E70" s="829">
        <f>ROUND(SUM(D70:D78),4)</f>
        <v>3.85E-2</v>
      </c>
      <c r="F70" s="2277">
        <f>IF(E2="住宅",SUMIF(L1:L12,G2,N1:N12),"——")</f>
        <v>8.7999999999999995E-2</v>
      </c>
      <c r="G70" s="1376">
        <v>6.1000000000000004E-3</v>
      </c>
      <c r="H70" s="1380">
        <f t="shared" ref="H70:H78" si="21">IFERROR(ROUNDDOWN($F$70*I70/2,4),"——")</f>
        <v>6.1000000000000004E-3</v>
      </c>
      <c r="I70" s="828">
        <v>0.14000000000000001</v>
      </c>
      <c r="J70" s="1377">
        <f t="shared" ref="J70:J78" si="22">K70+$G70</f>
        <v>1.2200000000000001E-2</v>
      </c>
      <c r="K70" s="1377">
        <f t="shared" ref="K70:K78" si="23">$L70+$G70</f>
        <v>6.1000000000000004E-3</v>
      </c>
      <c r="L70" s="1377">
        <v>0</v>
      </c>
      <c r="M70" s="1377">
        <f t="shared" ref="M70:N78" si="24">L70-$G70</f>
        <v>-6.1000000000000004E-3</v>
      </c>
      <c r="N70" s="1377">
        <f t="shared" si="24"/>
        <v>-1.2200000000000001E-2</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51">
      <c r="A71" s="2667" t="s">
        <v>2751</v>
      </c>
      <c r="B71" s="2671" t="str">
        <f>估价对象房地状况!C18</f>
        <v>估价对象周边道路状况、公共交通通达情况、停车便捷程度，综合评价交通便捷度较好</v>
      </c>
      <c r="C71" s="2558" t="s">
        <v>30</v>
      </c>
      <c r="D71" s="1375">
        <f t="shared" si="20"/>
        <v>1.32E-2</v>
      </c>
      <c r="E71" s="840"/>
      <c r="F71" s="2680"/>
      <c r="G71" s="1376">
        <v>1.32E-2</v>
      </c>
      <c r="H71" s="1380">
        <f t="shared" si="21"/>
        <v>1.32E-2</v>
      </c>
      <c r="I71" s="828">
        <v>0.3</v>
      </c>
      <c r="J71" s="1377">
        <f t="shared" si="22"/>
        <v>2.64E-2</v>
      </c>
      <c r="K71" s="1377">
        <f t="shared" si="23"/>
        <v>1.32E-2</v>
      </c>
      <c r="L71" s="1377">
        <v>0</v>
      </c>
      <c r="M71" s="1377">
        <f t="shared" si="24"/>
        <v>-1.32E-2</v>
      </c>
      <c r="N71" s="1377">
        <f t="shared" si="24"/>
        <v>-2.64E-2</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2752</v>
      </c>
      <c r="B72" s="2671">
        <f>估价对象房地状况!C19</f>
        <v>0</v>
      </c>
      <c r="C72" s="2558" t="s">
        <v>30</v>
      </c>
      <c r="D72" s="1375">
        <f t="shared" si="20"/>
        <v>3.5000000000000001E-3</v>
      </c>
      <c r="E72" s="840"/>
      <c r="F72" s="2680"/>
      <c r="G72" s="1376">
        <v>3.5000000000000001E-3</v>
      </c>
      <c r="H72" s="1380">
        <f t="shared" si="21"/>
        <v>3.5000000000000001E-3</v>
      </c>
      <c r="I72" s="828">
        <v>0.08</v>
      </c>
      <c r="J72" s="1377">
        <f t="shared" si="22"/>
        <v>7.0000000000000001E-3</v>
      </c>
      <c r="K72" s="1377">
        <f t="shared" si="23"/>
        <v>3.5000000000000001E-3</v>
      </c>
      <c r="L72" s="1377">
        <v>0</v>
      </c>
      <c r="M72" s="1377">
        <f t="shared" si="24"/>
        <v>-3.5000000000000001E-3</v>
      </c>
      <c r="N72" s="1377">
        <f t="shared" si="24"/>
        <v>-7.0000000000000001E-3</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2768</v>
      </c>
      <c r="B73" s="2671">
        <f>估价对象房地状况!C24</f>
        <v>0</v>
      </c>
      <c r="C73" s="2558" t="s">
        <v>30</v>
      </c>
      <c r="D73" s="1375">
        <f t="shared" si="20"/>
        <v>1.6999999999999999E-3</v>
      </c>
      <c r="E73" s="840"/>
      <c r="F73" s="2680"/>
      <c r="G73" s="1376">
        <v>1.6999999999999999E-3</v>
      </c>
      <c r="H73" s="1380">
        <f t="shared" si="21"/>
        <v>1.6999999999999999E-3</v>
      </c>
      <c r="I73" s="828">
        <v>0.04</v>
      </c>
      <c r="J73" s="1377">
        <f t="shared" si="22"/>
        <v>3.3999999999999998E-3</v>
      </c>
      <c r="K73" s="1377">
        <f t="shared" si="23"/>
        <v>1.6999999999999999E-3</v>
      </c>
      <c r="L73" s="1377">
        <v>0</v>
      </c>
      <c r="M73" s="1377">
        <f t="shared" si="24"/>
        <v>-1.6999999999999999E-3</v>
      </c>
      <c r="N73" s="1377">
        <f t="shared" si="24"/>
        <v>-3.3999999999999998E-3</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25.5">
      <c r="A74" s="2667" t="s">
        <v>2758</v>
      </c>
      <c r="B74" s="2675" t="str">
        <f>估价对象房地状况!C21</f>
        <v>估价对象所在区域公共配套设施齐备情况</v>
      </c>
      <c r="C74" s="2558" t="s">
        <v>30</v>
      </c>
      <c r="D74" s="1375">
        <f t="shared" si="20"/>
        <v>3.5000000000000001E-3</v>
      </c>
      <c r="E74" s="840"/>
      <c r="F74" s="2680"/>
      <c r="G74" s="1376">
        <v>3.5000000000000001E-3</v>
      </c>
      <c r="H74" s="1380">
        <f t="shared" si="21"/>
        <v>3.5000000000000001E-3</v>
      </c>
      <c r="I74" s="828">
        <v>0.08</v>
      </c>
      <c r="J74" s="1377">
        <f t="shared" si="22"/>
        <v>7.0000000000000001E-3</v>
      </c>
      <c r="K74" s="1377">
        <f t="shared" si="23"/>
        <v>3.5000000000000001E-3</v>
      </c>
      <c r="L74" s="1377">
        <v>0</v>
      </c>
      <c r="M74" s="1377">
        <f t="shared" si="24"/>
        <v>-3.5000000000000001E-3</v>
      </c>
      <c r="N74" s="1377">
        <f t="shared" si="24"/>
        <v>-7.0000000000000001E-3</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2759</v>
      </c>
      <c r="B75" s="2675" t="str">
        <f>估价对象房地状况!C22</f>
        <v>估价对象所在区域基础设施水平</v>
      </c>
      <c r="C75" s="2558" t="s">
        <v>31</v>
      </c>
      <c r="D75" s="1375">
        <f t="shared" si="20"/>
        <v>0</v>
      </c>
      <c r="E75" s="840"/>
      <c r="F75" s="2680"/>
      <c r="G75" s="1376">
        <v>5.1999999999999998E-3</v>
      </c>
      <c r="H75" s="1380">
        <f t="shared" si="21"/>
        <v>5.1999999999999998E-3</v>
      </c>
      <c r="I75" s="828">
        <v>0.12</v>
      </c>
      <c r="J75" s="1377">
        <f t="shared" si="22"/>
        <v>1.04E-2</v>
      </c>
      <c r="K75" s="1377">
        <f t="shared" si="23"/>
        <v>5.1999999999999998E-3</v>
      </c>
      <c r="L75" s="1377">
        <v>0</v>
      </c>
      <c r="M75" s="1377">
        <f t="shared" si="24"/>
        <v>-5.1999999999999998E-3</v>
      </c>
      <c r="N75" s="1377">
        <f t="shared" si="24"/>
        <v>-1.04E-2</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2756</v>
      </c>
      <c r="B76" s="2673" t="s">
        <v>2757</v>
      </c>
      <c r="C76" s="2558" t="s">
        <v>30</v>
      </c>
      <c r="D76" s="1375">
        <f t="shared" si="20"/>
        <v>2.2000000000000001E-3</v>
      </c>
      <c r="E76" s="840"/>
      <c r="F76" s="2680"/>
      <c r="G76" s="1376">
        <v>2.2000000000000001E-3</v>
      </c>
      <c r="H76" s="1380">
        <f t="shared" si="21"/>
        <v>2.2000000000000001E-3</v>
      </c>
      <c r="I76" s="828">
        <v>0.05</v>
      </c>
      <c r="J76" s="1377">
        <f t="shared" si="22"/>
        <v>4.4000000000000003E-3</v>
      </c>
      <c r="K76" s="1377">
        <f t="shared" si="23"/>
        <v>2.2000000000000001E-3</v>
      </c>
      <c r="L76" s="1377">
        <v>0</v>
      </c>
      <c r="M76" s="1377">
        <f t="shared" si="24"/>
        <v>-2.2000000000000001E-3</v>
      </c>
      <c r="N76" s="1377">
        <f t="shared" si="24"/>
        <v>-4.4000000000000003E-3</v>
      </c>
      <c r="Z76" s="2507"/>
      <c r="AA76" s="2581"/>
      <c r="AG76" s="2657"/>
      <c r="AK76" s="2581"/>
    </row>
    <row r="77" spans="1:37" ht="38.25">
      <c r="A77" s="2667" t="s">
        <v>2760</v>
      </c>
      <c r="B77" s="2670" t="str">
        <f>估价对象房地状况!C20</f>
        <v>区域自然环境：；人文环境；综合评价环境状况一般</v>
      </c>
      <c r="C77" s="2558" t="s">
        <v>30</v>
      </c>
      <c r="D77" s="1375">
        <f t="shared" si="20"/>
        <v>6.6E-3</v>
      </c>
      <c r="E77" s="840"/>
      <c r="F77" s="2680"/>
      <c r="G77" s="1376">
        <v>6.6E-3</v>
      </c>
      <c r="H77" s="1380">
        <f t="shared" si="21"/>
        <v>6.6E-3</v>
      </c>
      <c r="I77" s="828">
        <v>0.15</v>
      </c>
      <c r="J77" s="1377">
        <f t="shared" si="22"/>
        <v>1.32E-2</v>
      </c>
      <c r="K77" s="1377">
        <f t="shared" si="23"/>
        <v>6.6E-3</v>
      </c>
      <c r="L77" s="1377">
        <v>0</v>
      </c>
      <c r="M77" s="1377">
        <f t="shared" si="24"/>
        <v>-6.6E-3</v>
      </c>
      <c r="N77" s="1377">
        <f t="shared" si="24"/>
        <v>-1.32E-2</v>
      </c>
      <c r="Z77" s="2507"/>
      <c r="AA77" s="2581"/>
      <c r="AG77" s="2657"/>
      <c r="AK77" s="2581"/>
    </row>
    <row r="78" spans="1:37" ht="24.75" thickBot="1">
      <c r="A78" s="2676" t="s">
        <v>2769</v>
      </c>
      <c r="B78" s="2681"/>
      <c r="C78" s="2558" t="s">
        <v>30</v>
      </c>
      <c r="D78" s="1375">
        <f t="shared" si="20"/>
        <v>1.6999999999999999E-3</v>
      </c>
      <c r="E78" s="841"/>
      <c r="F78" s="2680"/>
      <c r="G78" s="1376">
        <v>1.6999999999999999E-3</v>
      </c>
      <c r="H78" s="1380">
        <f t="shared" si="21"/>
        <v>1.6999999999999999E-3</v>
      </c>
      <c r="I78" s="837">
        <v>0.04</v>
      </c>
      <c r="J78" s="1377">
        <f t="shared" si="22"/>
        <v>3.3999999999999998E-3</v>
      </c>
      <c r="K78" s="1377">
        <f t="shared" si="23"/>
        <v>1.6999999999999999E-3</v>
      </c>
      <c r="L78" s="1377">
        <v>0</v>
      </c>
      <c r="M78" s="1377">
        <f t="shared" si="24"/>
        <v>-1.6999999999999999E-3</v>
      </c>
      <c r="N78" s="1377">
        <f t="shared" si="24"/>
        <v>-3.3999999999999998E-3</v>
      </c>
      <c r="Z78" s="2507"/>
      <c r="AA78" s="2581"/>
      <c r="AG78" s="2657"/>
      <c r="AK78" s="2581"/>
    </row>
    <row r="79" spans="1:37" ht="15" hidden="1">
      <c r="A79" s="2662" t="s">
        <v>2770</v>
      </c>
      <c r="B79" s="2678">
        <f>1+E81</f>
        <v>1</v>
      </c>
      <c r="C79" s="817"/>
      <c r="D79" s="817"/>
      <c r="E79" s="818"/>
      <c r="F79" s="2665"/>
      <c r="G79" s="7"/>
      <c r="H79" s="7"/>
      <c r="I79" s="7"/>
      <c r="J79" s="9"/>
      <c r="K79" s="9"/>
      <c r="L79" s="9"/>
      <c r="M79" s="9"/>
      <c r="N79" s="9"/>
      <c r="Z79" s="2507"/>
      <c r="AA79" s="2581"/>
      <c r="AG79" s="2657"/>
      <c r="AK79" s="2581"/>
    </row>
    <row r="80" spans="1:37" ht="24.75" hidden="1">
      <c r="A80" s="2667" t="s">
        <v>2736</v>
      </c>
      <c r="B80" s="2671"/>
      <c r="C80" s="823" t="s">
        <v>2738</v>
      </c>
      <c r="D80" s="823" t="s">
        <v>2739</v>
      </c>
      <c r="E80" s="824" t="s">
        <v>2740</v>
      </c>
      <c r="F80" s="2668" t="s">
        <v>2741</v>
      </c>
      <c r="G80" s="823" t="s">
        <v>2762</v>
      </c>
      <c r="H80" s="2669" t="s">
        <v>2763</v>
      </c>
      <c r="I80" s="823" t="s">
        <v>2764</v>
      </c>
      <c r="J80" s="587" t="s">
        <v>2400</v>
      </c>
      <c r="K80" s="587" t="s">
        <v>2401</v>
      </c>
      <c r="L80" s="587" t="s">
        <v>2402</v>
      </c>
      <c r="M80" s="587" t="s">
        <v>2403</v>
      </c>
      <c r="N80" s="587" t="s">
        <v>2404</v>
      </c>
      <c r="Z80" s="2507"/>
      <c r="AA80" s="2581"/>
      <c r="AG80" s="2657"/>
      <c r="AK80" s="2581"/>
    </row>
    <row r="81" spans="1:37" ht="38.25" hidden="1">
      <c r="A81" s="2667" t="s">
        <v>2771</v>
      </c>
      <c r="B81" s="2671" t="str">
        <f>估价对象房地状况!G15</f>
        <v>估价对象位于XX开发区，园区建设成熟度XX，产业集聚程度XX</v>
      </c>
      <c r="C81" s="2558"/>
      <c r="D81" s="1375">
        <f t="shared" ref="D81:D88" si="25">SUMIF($J$80:$N$80,C81,J81:N81)</f>
        <v>0</v>
      </c>
      <c r="E81" s="829">
        <f>ROUND(SUM(D81:D88),4)</f>
        <v>0</v>
      </c>
      <c r="F81" s="2277"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1"/>
      <c r="AG81" s="2657"/>
      <c r="AK81" s="2581"/>
    </row>
    <row r="82" spans="1:37" ht="51" hidden="1">
      <c r="A82" s="2667" t="s">
        <v>2751</v>
      </c>
      <c r="B82" s="2671" t="str">
        <f>估价对象房地状况!G16</f>
        <v>估价对象周边道路状况、公共交通通达情况、停车便捷程度，综合评价交通便捷度较好</v>
      </c>
      <c r="C82" s="2558"/>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7"/>
      <c r="AA82" s="2581"/>
      <c r="AG82" s="2657"/>
      <c r="AK82" s="2581"/>
    </row>
    <row r="83" spans="1:37" ht="24" hidden="1">
      <c r="A83" s="2667" t="s">
        <v>2752</v>
      </c>
      <c r="B83" s="2671">
        <f>估价对象房地状况!G17</f>
        <v>0</v>
      </c>
      <c r="C83" s="2558"/>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7"/>
      <c r="AA83" s="2581"/>
      <c r="AG83" s="2657"/>
      <c r="AK83" s="2581"/>
    </row>
    <row r="84" spans="1:37" ht="14.25" hidden="1">
      <c r="A84" s="2667" t="s">
        <v>2768</v>
      </c>
      <c r="B84" s="2671">
        <f>估价对象房地状况!G22</f>
        <v>0</v>
      </c>
      <c r="C84" s="2558"/>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7"/>
      <c r="AA84" s="2581"/>
      <c r="AG84" s="2657"/>
      <c r="AK84" s="2581"/>
    </row>
    <row r="85" spans="1:37" ht="25.5" hidden="1">
      <c r="A85" s="2667" t="s">
        <v>2758</v>
      </c>
      <c r="B85" s="2675" t="str">
        <f>估价对象房地状况!G19</f>
        <v>估价对象所在区域公共配套设施齐备情况</v>
      </c>
      <c r="C85" s="2558"/>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7"/>
      <c r="AA85" s="2581"/>
      <c r="AG85" s="2657"/>
      <c r="AK85" s="2581"/>
    </row>
    <row r="86" spans="1:37" ht="25.5" hidden="1">
      <c r="A86" s="2667" t="s">
        <v>2759</v>
      </c>
      <c r="B86" s="2675" t="str">
        <f>估价对象房地状况!G20</f>
        <v>估价对象所在区域基础设施水平</v>
      </c>
      <c r="C86" s="2558"/>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7"/>
      <c r="AA86" s="2581"/>
      <c r="AG86" s="2657"/>
      <c r="AK86" s="2581"/>
    </row>
    <row r="87" spans="1:37" ht="24" hidden="1">
      <c r="A87" s="2667" t="s">
        <v>2756</v>
      </c>
      <c r="B87" s="2673" t="s">
        <v>2757</v>
      </c>
      <c r="C87" s="2558"/>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7"/>
      <c r="AA87" s="2581"/>
      <c r="AG87" s="2657"/>
      <c r="AK87" s="2581"/>
    </row>
    <row r="88" spans="1:37" ht="39" hidden="1" thickBot="1">
      <c r="A88" s="2676" t="s">
        <v>2772</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7"/>
      <c r="AA88" s="2581"/>
      <c r="AG88" s="2657"/>
      <c r="AK88" s="2581"/>
    </row>
    <row r="90" spans="1:37">
      <c r="A90" s="3116" t="s">
        <v>2773</v>
      </c>
      <c r="B90" s="3116"/>
      <c r="C90" s="3116"/>
      <c r="D90" s="3116"/>
      <c r="E90" s="3116"/>
      <c r="F90" s="3116"/>
      <c r="G90" s="3116"/>
      <c r="H90" s="3116"/>
      <c r="I90" s="3116"/>
      <c r="J90" s="3116"/>
      <c r="K90" s="2684"/>
      <c r="L90" s="2684"/>
      <c r="M90" s="2684"/>
      <c r="N90" s="2684"/>
    </row>
    <row r="91" spans="1:37">
      <c r="A91" s="3118" t="s">
        <v>2774</v>
      </c>
      <c r="B91" s="3118" t="s">
        <v>2775</v>
      </c>
      <c r="C91" s="2632" t="s">
        <v>2776</v>
      </c>
      <c r="D91" s="2633"/>
      <c r="E91" s="2633"/>
      <c r="F91" s="2633"/>
      <c r="G91" s="2633"/>
      <c r="H91" s="2633"/>
      <c r="I91" s="2633"/>
      <c r="J91" s="2685"/>
      <c r="K91" s="2686"/>
      <c r="L91" s="2686"/>
      <c r="M91" s="2686"/>
      <c r="N91" s="2686"/>
    </row>
    <row r="92" spans="1:37">
      <c r="A92" s="3118"/>
      <c r="B92" s="3118"/>
      <c r="C92" s="971" t="s">
        <v>2631</v>
      </c>
      <c r="D92" s="971" t="s">
        <v>2632</v>
      </c>
      <c r="E92" s="971" t="s">
        <v>2633</v>
      </c>
      <c r="F92" s="971" t="s">
        <v>2634</v>
      </c>
      <c r="G92" s="971" t="s">
        <v>2635</v>
      </c>
      <c r="H92" s="971" t="s">
        <v>2636</v>
      </c>
      <c r="I92" s="971" t="s">
        <v>2637</v>
      </c>
      <c r="J92" s="971" t="s">
        <v>2638</v>
      </c>
      <c r="K92" s="971" t="s">
        <v>2639</v>
      </c>
      <c r="L92" s="971" t="s">
        <v>2640</v>
      </c>
      <c r="M92" s="971" t="s">
        <v>2641</v>
      </c>
      <c r="N92" s="971" t="s">
        <v>2642</v>
      </c>
    </row>
    <row r="93" spans="1:37">
      <c r="A93" s="3119" t="s">
        <v>2777</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20"/>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20"/>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20"/>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20"/>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20"/>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20"/>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21"/>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19" t="s">
        <v>2778</v>
      </c>
      <c r="B101" s="2691" t="s">
        <v>2779</v>
      </c>
      <c r="C101" s="2692">
        <f>$G$3</f>
        <v>2.5</v>
      </c>
      <c r="D101" s="2692">
        <f t="shared" ref="D101:N101" si="31">$G$3</f>
        <v>2.5</v>
      </c>
      <c r="E101" s="2692">
        <f t="shared" si="31"/>
        <v>2.5</v>
      </c>
      <c r="F101" s="2692">
        <f t="shared" si="31"/>
        <v>2.5</v>
      </c>
      <c r="G101" s="2692">
        <f t="shared" si="31"/>
        <v>2.5</v>
      </c>
      <c r="H101" s="2692">
        <f t="shared" si="31"/>
        <v>2.5</v>
      </c>
      <c r="I101" s="2692">
        <f t="shared" si="31"/>
        <v>2.5</v>
      </c>
      <c r="J101" s="2692">
        <f t="shared" si="31"/>
        <v>2.5</v>
      </c>
      <c r="K101" s="2692">
        <f t="shared" si="31"/>
        <v>2.5</v>
      </c>
      <c r="L101" s="2692">
        <f t="shared" si="31"/>
        <v>2.5</v>
      </c>
      <c r="M101" s="2692">
        <f t="shared" si="31"/>
        <v>2.5</v>
      </c>
      <c r="N101" s="2692">
        <f t="shared" si="31"/>
        <v>2.5</v>
      </c>
    </row>
    <row r="102" spans="1:14">
      <c r="A102" s="3120"/>
      <c r="B102" s="2687">
        <v>1</v>
      </c>
      <c r="C102" s="2688">
        <f>1.9362/C101</f>
        <v>0.77447999999999995</v>
      </c>
      <c r="D102" s="2688">
        <f>1.9362/D101</f>
        <v>0.77447999999999995</v>
      </c>
      <c r="E102" s="2688">
        <f>1.8629/E101</f>
        <v>0.74516000000000004</v>
      </c>
      <c r="F102" s="2688">
        <f>1.8629/F101</f>
        <v>0.74516000000000004</v>
      </c>
      <c r="G102" s="2688">
        <f>1.8629/G101</f>
        <v>0.74516000000000004</v>
      </c>
      <c r="H102" s="2688">
        <f>1.8629/H101</f>
        <v>0.74516000000000004</v>
      </c>
      <c r="I102" s="2688">
        <f>1.8629/I101</f>
        <v>0.74516000000000004</v>
      </c>
      <c r="J102" s="2688">
        <f>1.942/J101</f>
        <v>0.77679999999999993</v>
      </c>
      <c r="K102" s="2688">
        <f>1.942/K101</f>
        <v>0.77679999999999993</v>
      </c>
      <c r="L102" s="2688">
        <f>1.942/L101</f>
        <v>0.77679999999999993</v>
      </c>
      <c r="M102" s="2688">
        <f>1.942/M101</f>
        <v>0.77679999999999993</v>
      </c>
      <c r="N102" s="2688">
        <f>1.942/N101</f>
        <v>0.77679999999999993</v>
      </c>
    </row>
    <row r="103" spans="1:14">
      <c r="A103" s="3120"/>
      <c r="B103" s="2687">
        <v>2</v>
      </c>
      <c r="C103" s="2688">
        <f>1.4198/C101</f>
        <v>0.56791999999999998</v>
      </c>
      <c r="D103" s="2688">
        <f>1.4198/D101</f>
        <v>0.56791999999999998</v>
      </c>
      <c r="E103" s="2688">
        <f>1.3372/E101</f>
        <v>0.53488000000000002</v>
      </c>
      <c r="F103" s="2688">
        <f>1.3372/F101</f>
        <v>0.53488000000000002</v>
      </c>
      <c r="G103" s="2688">
        <f>1.3372/G101</f>
        <v>0.53488000000000002</v>
      </c>
      <c r="H103" s="2688">
        <f>1.3372/H101</f>
        <v>0.53488000000000002</v>
      </c>
      <c r="I103" s="2688">
        <f>1.3372/I101</f>
        <v>0.53488000000000002</v>
      </c>
      <c r="J103" s="2688">
        <f>1.2799/J101</f>
        <v>0.51195999999999997</v>
      </c>
      <c r="K103" s="2688">
        <f>1.2799/K101</f>
        <v>0.51195999999999997</v>
      </c>
      <c r="L103" s="2688">
        <f>1.2799/L101</f>
        <v>0.51195999999999997</v>
      </c>
      <c r="M103" s="2688">
        <f>1.2799/M101</f>
        <v>0.51195999999999997</v>
      </c>
      <c r="N103" s="2688">
        <f>1.2799/N101</f>
        <v>0.51195999999999997</v>
      </c>
    </row>
    <row r="104" spans="1:14">
      <c r="A104" s="3120"/>
      <c r="B104" s="2687">
        <v>3</v>
      </c>
      <c r="C104" s="2688">
        <f>1.1594/C101</f>
        <v>0.46376000000000001</v>
      </c>
      <c r="D104" s="2688">
        <f>1.1594/D101</f>
        <v>0.46376000000000001</v>
      </c>
      <c r="E104" s="2688">
        <f>1.0788/E101</f>
        <v>0.43152000000000001</v>
      </c>
      <c r="F104" s="2688">
        <f>1.0788/F101</f>
        <v>0.43152000000000001</v>
      </c>
      <c r="G104" s="2688">
        <f>1.0788/G101</f>
        <v>0.43152000000000001</v>
      </c>
      <c r="H104" s="2688">
        <f>1.0788/H101</f>
        <v>0.43152000000000001</v>
      </c>
      <c r="I104" s="2688">
        <f>1.0788/I101</f>
        <v>0.43152000000000001</v>
      </c>
      <c r="J104" s="2688">
        <f>1.0072/J101</f>
        <v>0.40288000000000002</v>
      </c>
      <c r="K104" s="2688">
        <f>1.0072/K101</f>
        <v>0.40288000000000002</v>
      </c>
      <c r="L104" s="2688">
        <f>1.0072/L101</f>
        <v>0.40288000000000002</v>
      </c>
      <c r="M104" s="2688">
        <f>1.0072/M101</f>
        <v>0.40288000000000002</v>
      </c>
      <c r="N104" s="2688">
        <f>1.0072/N101</f>
        <v>0.40288000000000002</v>
      </c>
    </row>
    <row r="105" spans="1:14">
      <c r="A105" s="3120"/>
      <c r="B105" s="2687">
        <v>4</v>
      </c>
      <c r="C105" s="2688">
        <f>0.9622/C101</f>
        <v>0.38488</v>
      </c>
      <c r="D105" s="2688">
        <f>0.9622/D101</f>
        <v>0.38488</v>
      </c>
      <c r="E105" s="2688">
        <f>0.8656/E101</f>
        <v>0.34623999999999999</v>
      </c>
      <c r="F105" s="2688">
        <f>0.8656/F101</f>
        <v>0.34623999999999999</v>
      </c>
      <c r="G105" s="2688">
        <f>0.8656/G101</f>
        <v>0.34623999999999999</v>
      </c>
      <c r="H105" s="2688">
        <f>0.8656/H101</f>
        <v>0.34623999999999999</v>
      </c>
      <c r="I105" s="2688">
        <f>0.8656/I101</f>
        <v>0.34623999999999999</v>
      </c>
      <c r="J105" s="2688">
        <f>0.7525/J101</f>
        <v>0.30099999999999999</v>
      </c>
      <c r="K105" s="2688">
        <f>0.7525/K101</f>
        <v>0.30099999999999999</v>
      </c>
      <c r="L105" s="2688">
        <f>0.7525/L101</f>
        <v>0.30099999999999999</v>
      </c>
      <c r="M105" s="2688">
        <f>0.7525/M101</f>
        <v>0.30099999999999999</v>
      </c>
      <c r="N105" s="2688">
        <f>0.7525/N101</f>
        <v>0.30099999999999999</v>
      </c>
    </row>
    <row r="106" spans="1:14">
      <c r="A106" s="3120"/>
      <c r="B106" s="2687">
        <v>5</v>
      </c>
      <c r="C106" s="2688">
        <f>0.8417/C101</f>
        <v>0.33667999999999998</v>
      </c>
      <c r="D106" s="2688">
        <f>0.8417/D101</f>
        <v>0.33667999999999998</v>
      </c>
      <c r="E106" s="2688">
        <f>0.7371/E101</f>
        <v>0.29483999999999999</v>
      </c>
      <c r="F106" s="2688">
        <f>0.7371/F101</f>
        <v>0.29483999999999999</v>
      </c>
      <c r="G106" s="2688">
        <f>0.7371/G101</f>
        <v>0.29483999999999999</v>
      </c>
      <c r="H106" s="2688">
        <f>0.7371/H101</f>
        <v>0.29483999999999999</v>
      </c>
      <c r="I106" s="2688">
        <f>0.7371/I101</f>
        <v>0.29483999999999999</v>
      </c>
      <c r="J106" s="2688">
        <f>0.5659/J101</f>
        <v>0.22635999999999998</v>
      </c>
      <c r="K106" s="2688">
        <f>0.5659/K101</f>
        <v>0.22635999999999998</v>
      </c>
      <c r="L106" s="2688">
        <f>0.5659/L101</f>
        <v>0.22635999999999998</v>
      </c>
      <c r="M106" s="2688">
        <f>0.5659/M101</f>
        <v>0.22635999999999998</v>
      </c>
      <c r="N106" s="2688">
        <f>0.5659/N101</f>
        <v>0.22635999999999998</v>
      </c>
    </row>
    <row r="107" spans="1:14">
      <c r="A107" s="3120"/>
      <c r="B107" s="2687">
        <v>6</v>
      </c>
      <c r="C107" s="2688">
        <f>0.7608/C101</f>
        <v>0.30432000000000003</v>
      </c>
      <c r="D107" s="2688">
        <f>0.7608/D101</f>
        <v>0.30432000000000003</v>
      </c>
      <c r="E107" s="2688">
        <f>0.6482/E101</f>
        <v>0.25928000000000001</v>
      </c>
      <c r="F107" s="2688">
        <f>0.6482/F101</f>
        <v>0.25928000000000001</v>
      </c>
      <c r="G107" s="2688">
        <f>0.6482/G101</f>
        <v>0.25928000000000001</v>
      </c>
      <c r="H107" s="2688">
        <f>0.6482/H101</f>
        <v>0.25928000000000001</v>
      </c>
      <c r="I107" s="2688">
        <f>0.6482/I101</f>
        <v>0.25928000000000001</v>
      </c>
      <c r="J107" s="2688">
        <f>0.4525/J101</f>
        <v>0.18099999999999999</v>
      </c>
      <c r="K107" s="2688">
        <f>0.4525/K101</f>
        <v>0.18099999999999999</v>
      </c>
      <c r="L107" s="2688">
        <f>0.4525/L101</f>
        <v>0.18099999999999999</v>
      </c>
      <c r="M107" s="2688">
        <f>0.4525/M101</f>
        <v>0.18099999999999999</v>
      </c>
      <c r="N107" s="2688">
        <f>0.4525/N101</f>
        <v>0.18099999999999999</v>
      </c>
    </row>
    <row r="108" spans="1:14">
      <c r="A108" s="3120"/>
      <c r="B108" s="3122" t="s">
        <v>2780</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21"/>
      <c r="B109" s="3123"/>
      <c r="C109" s="2690">
        <f>(-0.163*(C108^2)-0.59*C108+7617)*(10^(-4))/C101</f>
        <v>0.30419531999999999</v>
      </c>
      <c r="D109" s="2690">
        <f>(-0.163*(D108^2)-0.59*D108+7617)*(10^(-4))/D101</f>
        <v>0.30419531999999999</v>
      </c>
      <c r="E109" s="2690">
        <f>(-0.161*(E108^2)-7.509*E108+6533)*(10^(-4))/E101</f>
        <v>0.25890192000000001</v>
      </c>
      <c r="F109" s="2690">
        <f>(-0.161*(F108^2)-7.509*F108+6533)*(10^(-4))/F101</f>
        <v>0.25890192000000001</v>
      </c>
      <c r="G109" s="2690">
        <f>(-0.161*(G108^2)-7.509*G108+6533)*(10^(-4))/G101</f>
        <v>0.25890192000000001</v>
      </c>
      <c r="H109" s="2690">
        <f>(-0.161*(H108^2)-7.509*H108+6533)*(10^(-4))/H101</f>
        <v>0.25890192000000001</v>
      </c>
      <c r="I109" s="2690">
        <f>(-0.161*(I108^2)-7.509*I108+6533)*(10^(-4))/I101</f>
        <v>0.25890192000000001</v>
      </c>
      <c r="J109" s="2690">
        <f>(-0.214*(J108^2)-21.991*J108+4665)*(10^(-4))/J101</f>
        <v>0.18002308000000003</v>
      </c>
      <c r="K109" s="2690">
        <f>(-0.214*(K108^2)-21.991*K108+4665)*(10^(-4))/K101</f>
        <v>0.18002308000000003</v>
      </c>
      <c r="L109" s="2690">
        <f>(-0.214*(L108^2)-21.991*L108+4665)*(10^(-4))/L101</f>
        <v>0.18002308000000003</v>
      </c>
      <c r="M109" s="2690">
        <f>(-0.214*(M108^2)-21.991*M108+4665)*(10^(-4))/M101</f>
        <v>0.18002308000000003</v>
      </c>
      <c r="N109" s="2690">
        <f>(-0.214*(N108^2)-21.991*N108+4665)*(10^(-4))/N101</f>
        <v>0.18002308000000003</v>
      </c>
    </row>
    <row r="110" spans="1:14">
      <c r="A110" s="3117" t="s">
        <v>2781</v>
      </c>
      <c r="B110" s="3117"/>
      <c r="C110" s="3117"/>
      <c r="D110" s="3117"/>
      <c r="E110" s="3117"/>
      <c r="F110" s="3117"/>
      <c r="G110" s="3117"/>
      <c r="H110" s="3117"/>
      <c r="I110" s="3117"/>
      <c r="J110" s="3117"/>
      <c r="K110" s="2693"/>
      <c r="L110" s="2693"/>
      <c r="M110" s="2693"/>
      <c r="N110" s="2693"/>
    </row>
    <row r="112" spans="1:14" ht="13.5" thickBot="1"/>
    <row r="113" spans="1:13" ht="25.5" thickBot="1">
      <c r="A113" s="928" t="s">
        <v>2782</v>
      </c>
      <c r="B113" s="1378">
        <f>G3</f>
        <v>2.5</v>
      </c>
      <c r="C113" s="929" t="s">
        <v>2783</v>
      </c>
      <c r="D113" s="930">
        <f>SUMPRODUCT((A115:A118=F113)*(B114:M114=H113)*B115:M118)</f>
        <v>0.8548</v>
      </c>
      <c r="E113" s="2695" t="s">
        <v>2668</v>
      </c>
      <c r="F113" s="2696" t="str">
        <f>E2</f>
        <v>住宅</v>
      </c>
      <c r="G113" s="2695" t="s">
        <v>2605</v>
      </c>
      <c r="H113" s="2696" t="str">
        <f>G2</f>
        <v>四级</v>
      </c>
      <c r="I113" s="2695"/>
      <c r="J113" s="2697"/>
      <c r="K113" s="2697"/>
      <c r="L113" s="2697"/>
      <c r="M113" s="2697"/>
    </row>
    <row r="114" spans="1:13">
      <c r="A114" s="933"/>
      <c r="B114" s="2698" t="s">
        <v>2784</v>
      </c>
      <c r="C114" s="2698" t="s">
        <v>2785</v>
      </c>
      <c r="D114" s="2698" t="s">
        <v>2786</v>
      </c>
      <c r="E114" s="2699" t="s">
        <v>2787</v>
      </c>
      <c r="F114" s="2699" t="s">
        <v>2788</v>
      </c>
      <c r="G114" s="2699" t="s">
        <v>2789</v>
      </c>
      <c r="H114" s="2700" t="s">
        <v>2790</v>
      </c>
      <c r="I114" s="2700" t="s">
        <v>2791</v>
      </c>
      <c r="J114" s="2701" t="s">
        <v>2792</v>
      </c>
      <c r="K114" s="2701" t="s">
        <v>2793</v>
      </c>
      <c r="L114" s="2701" t="s">
        <v>2794</v>
      </c>
      <c r="M114" s="2702" t="s">
        <v>2795</v>
      </c>
    </row>
    <row r="115" spans="1:13">
      <c r="A115" s="934" t="s">
        <v>2669</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2670</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2671</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2672</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7" t="s">
        <v>785</v>
      </c>
      <c r="B1" s="3127"/>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8.7999999999999995E-2</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7" t="s">
        <v>105</v>
      </c>
      <c r="B1" s="3127"/>
      <c r="C1" s="3127"/>
      <c r="D1" s="3127"/>
      <c r="E1" s="3127"/>
      <c r="F1" s="312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8" t="s">
        <v>118</v>
      </c>
      <c r="B2" s="3128"/>
      <c r="C2" s="3128"/>
      <c r="D2" s="3128"/>
      <c r="E2" s="3128"/>
      <c r="F2" s="312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3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15630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31" t="s">
        <v>132</v>
      </c>
      <c r="B18" s="907" t="s">
        <v>517</v>
      </c>
      <c r="C18" s="908" t="s">
        <v>518</v>
      </c>
      <c r="D18" s="909"/>
      <c r="E18" s="907">
        <v>1</v>
      </c>
      <c r="F18" s="910" t="s">
        <v>519</v>
      </c>
      <c r="G18" s="911"/>
      <c r="H18" s="903"/>
      <c r="I18" s="903"/>
    </row>
    <row r="19" spans="1:9" s="912" customFormat="1" ht="19.5" customHeight="1">
      <c r="A19" s="3131"/>
      <c r="B19" s="3131" t="s">
        <v>520</v>
      </c>
      <c r="C19" s="908" t="s">
        <v>521</v>
      </c>
      <c r="D19" s="909"/>
      <c r="E19" s="907">
        <v>0.9</v>
      </c>
      <c r="F19" s="910" t="s">
        <v>522</v>
      </c>
      <c r="G19" s="911"/>
      <c r="H19" s="903"/>
      <c r="I19" s="903"/>
    </row>
    <row r="20" spans="1:9" s="912" customFormat="1" ht="19.5" customHeight="1">
      <c r="A20" s="3131"/>
      <c r="B20" s="3131"/>
      <c r="C20" s="908" t="s">
        <v>523</v>
      </c>
      <c r="D20" s="909"/>
      <c r="E20" s="907">
        <v>1.1000000000000001</v>
      </c>
      <c r="F20" s="910" t="s">
        <v>524</v>
      </c>
      <c r="G20" s="911"/>
      <c r="H20" s="903"/>
      <c r="I20" s="903"/>
    </row>
    <row r="21" spans="1:9" s="912" customFormat="1" ht="19.5" customHeight="1">
      <c r="A21" s="3131"/>
      <c r="B21" s="3131"/>
      <c r="C21" s="908" t="s">
        <v>525</v>
      </c>
      <c r="D21" s="909"/>
      <c r="E21" s="907">
        <v>0.8</v>
      </c>
      <c r="F21" s="910" t="s">
        <v>526</v>
      </c>
      <c r="G21" s="911"/>
      <c r="H21" s="903"/>
      <c r="I21" s="903"/>
    </row>
    <row r="22" spans="1:9" s="912" customFormat="1" ht="19.5" customHeight="1">
      <c r="A22" s="3131"/>
      <c r="B22" s="3131"/>
      <c r="C22" s="908" t="s">
        <v>527</v>
      </c>
      <c r="D22" s="909"/>
      <c r="E22" s="907">
        <v>0.5</v>
      </c>
      <c r="F22" s="910"/>
      <c r="G22" s="911"/>
      <c r="H22" s="903"/>
      <c r="I22" s="903"/>
    </row>
    <row r="23" spans="1:9" s="912" customFormat="1" ht="19.5" customHeight="1">
      <c r="A23" s="3131" t="s">
        <v>133</v>
      </c>
      <c r="B23" s="907" t="s">
        <v>517</v>
      </c>
      <c r="C23" s="908" t="s">
        <v>528</v>
      </c>
      <c r="D23" s="909"/>
      <c r="E23" s="907">
        <v>1</v>
      </c>
      <c r="F23" s="910" t="s">
        <v>529</v>
      </c>
      <c r="G23" s="911"/>
      <c r="H23" s="903"/>
      <c r="I23" s="903"/>
    </row>
    <row r="24" spans="1:9" s="912" customFormat="1" ht="19.5" customHeight="1">
      <c r="A24" s="3131"/>
      <c r="B24" s="3131" t="s">
        <v>520</v>
      </c>
      <c r="C24" s="908" t="s">
        <v>530</v>
      </c>
      <c r="D24" s="909"/>
      <c r="E24" s="907">
        <v>0.5</v>
      </c>
      <c r="F24" s="910"/>
      <c r="G24" s="911"/>
      <c r="H24" s="903"/>
      <c r="I24" s="903"/>
    </row>
    <row r="25" spans="1:9" s="912" customFormat="1" ht="19.5" customHeight="1">
      <c r="A25" s="3131"/>
      <c r="B25" s="3131"/>
      <c r="C25" s="908" t="s">
        <v>531</v>
      </c>
      <c r="D25" s="909"/>
      <c r="E25" s="907">
        <v>1.1000000000000001</v>
      </c>
      <c r="F25" s="910"/>
      <c r="G25" s="911"/>
      <c r="H25" s="903"/>
      <c r="I25" s="903"/>
    </row>
    <row r="26" spans="1:9" s="912" customFormat="1" ht="19.5" customHeight="1">
      <c r="A26" s="3131"/>
      <c r="B26" s="3131"/>
      <c r="C26" s="908" t="s">
        <v>532</v>
      </c>
      <c r="D26" s="909"/>
      <c r="E26" s="907">
        <v>1.1000000000000001</v>
      </c>
      <c r="F26" s="910"/>
      <c r="G26" s="911"/>
      <c r="H26" s="903"/>
      <c r="I26" s="903"/>
    </row>
    <row r="27" spans="1:9" s="912" customFormat="1" ht="19.5" customHeight="1">
      <c r="A27" s="3131"/>
      <c r="B27" s="3131"/>
      <c r="C27" s="908" t="s">
        <v>533</v>
      </c>
      <c r="D27" s="909"/>
      <c r="E27" s="907">
        <v>0.9</v>
      </c>
      <c r="F27" s="910" t="s">
        <v>534</v>
      </c>
      <c r="G27" s="911"/>
      <c r="H27" s="903"/>
      <c r="I27" s="903"/>
    </row>
    <row r="28" spans="1:9" s="912" customFormat="1" ht="19.5" customHeight="1">
      <c r="A28" s="3131"/>
      <c r="B28" s="3131"/>
      <c r="C28" s="908" t="s">
        <v>535</v>
      </c>
      <c r="D28" s="909"/>
      <c r="E28" s="907">
        <v>0.9</v>
      </c>
      <c r="F28" s="910" t="s">
        <v>536</v>
      </c>
      <c r="G28" s="911"/>
      <c r="H28" s="903"/>
      <c r="I28" s="903"/>
    </row>
    <row r="29" spans="1:9" s="912" customFormat="1" ht="19.5" customHeight="1">
      <c r="A29" s="3131"/>
      <c r="B29" s="3131"/>
      <c r="C29" s="908" t="s">
        <v>537</v>
      </c>
      <c r="D29" s="909"/>
      <c r="E29" s="907">
        <v>0.9</v>
      </c>
      <c r="F29" s="910" t="s">
        <v>538</v>
      </c>
      <c r="G29" s="911"/>
      <c r="H29" s="903"/>
      <c r="I29" s="903"/>
    </row>
    <row r="30" spans="1:9" s="912" customFormat="1" ht="19.5" customHeight="1">
      <c r="A30" s="3131"/>
      <c r="B30" s="3131"/>
      <c r="C30" s="908" t="s">
        <v>539</v>
      </c>
      <c r="D30" s="909"/>
      <c r="E30" s="907">
        <v>0.9</v>
      </c>
      <c r="F30" s="910" t="s">
        <v>540</v>
      </c>
      <c r="G30" s="911"/>
      <c r="H30" s="903"/>
      <c r="I30" s="903"/>
    </row>
    <row r="31" spans="1:9" s="912" customFormat="1" ht="19.5" customHeight="1">
      <c r="A31" s="3131"/>
      <c r="B31" s="3131"/>
      <c r="C31" s="908" t="s">
        <v>541</v>
      </c>
      <c r="D31" s="909"/>
      <c r="E31" s="907">
        <v>0.8</v>
      </c>
      <c r="F31" s="910" t="s">
        <v>542</v>
      </c>
      <c r="G31" s="911"/>
      <c r="H31" s="903"/>
      <c r="I31" s="903"/>
    </row>
    <row r="32" spans="1:9" s="912" customFormat="1" ht="19.5" customHeight="1">
      <c r="A32" s="3131"/>
      <c r="B32" s="3131"/>
      <c r="C32" s="908" t="s">
        <v>543</v>
      </c>
      <c r="D32" s="909"/>
      <c r="E32" s="907">
        <v>0.8</v>
      </c>
      <c r="F32" s="910" t="s">
        <v>544</v>
      </c>
      <c r="G32" s="911"/>
      <c r="H32" s="903"/>
      <c r="I32" s="903"/>
    </row>
    <row r="33" spans="1:9" s="912" customFormat="1" ht="19.5" customHeight="1">
      <c r="A33" s="3131" t="s">
        <v>134</v>
      </c>
      <c r="B33" s="907" t="s">
        <v>517</v>
      </c>
      <c r="C33" s="908" t="s">
        <v>545</v>
      </c>
      <c r="D33" s="909"/>
      <c r="E33" s="907">
        <v>1</v>
      </c>
      <c r="F33" s="910" t="s">
        <v>546</v>
      </c>
      <c r="G33" s="911"/>
      <c r="H33" s="903"/>
      <c r="I33" s="903"/>
    </row>
    <row r="34" spans="1:9" s="912" customFormat="1" ht="19.5" customHeight="1">
      <c r="A34" s="3131"/>
      <c r="B34" s="907" t="s">
        <v>520</v>
      </c>
      <c r="C34" s="908" t="s">
        <v>547</v>
      </c>
      <c r="D34" s="909"/>
      <c r="E34" s="907">
        <v>1.5</v>
      </c>
      <c r="F34" s="910" t="s">
        <v>548</v>
      </c>
      <c r="G34" s="911"/>
      <c r="H34" s="903"/>
      <c r="I34" s="903"/>
    </row>
    <row r="35" spans="1:9" s="912" customFormat="1" ht="19.5" customHeight="1">
      <c r="A35" s="3131" t="s">
        <v>135</v>
      </c>
      <c r="B35" s="907" t="s">
        <v>517</v>
      </c>
      <c r="C35" s="908" t="s">
        <v>549</v>
      </c>
      <c r="D35" s="909"/>
      <c r="E35" s="907">
        <v>1</v>
      </c>
      <c r="F35" s="910" t="s">
        <v>550</v>
      </c>
      <c r="G35" s="911"/>
      <c r="H35" s="903"/>
      <c r="I35" s="903"/>
    </row>
    <row r="36" spans="1:9" s="912" customFormat="1" ht="19.5" customHeight="1">
      <c r="A36" s="3131"/>
      <c r="B36" s="3131" t="s">
        <v>520</v>
      </c>
      <c r="C36" s="908" t="s">
        <v>551</v>
      </c>
      <c r="D36" s="909"/>
      <c r="E36" s="907">
        <v>1</v>
      </c>
      <c r="F36" s="910" t="s">
        <v>552</v>
      </c>
      <c r="G36" s="911"/>
      <c r="H36" s="903"/>
      <c r="I36" s="903"/>
    </row>
    <row r="37" spans="1:9" s="912" customFormat="1" ht="19.5" customHeight="1">
      <c r="A37" s="3131"/>
      <c r="B37" s="3131"/>
      <c r="C37" s="908" t="s">
        <v>553</v>
      </c>
      <c r="D37" s="909"/>
      <c r="E37" s="907">
        <v>1.5</v>
      </c>
      <c r="F37" s="910" t="s">
        <v>554</v>
      </c>
      <c r="G37" s="911"/>
      <c r="H37" s="903"/>
      <c r="I37" s="903"/>
    </row>
    <row r="38" spans="1:9" s="912" customFormat="1" ht="19.5" customHeight="1">
      <c r="A38" s="3131"/>
      <c r="B38" s="3131"/>
      <c r="C38" s="908" t="s">
        <v>555</v>
      </c>
      <c r="D38" s="909"/>
      <c r="E38" s="907">
        <v>1</v>
      </c>
      <c r="F38" s="910" t="s">
        <v>556</v>
      </c>
      <c r="G38" s="911"/>
      <c r="H38" s="903"/>
      <c r="I38" s="903"/>
    </row>
    <row r="39" spans="1:9" s="912" customFormat="1" ht="19.5" customHeight="1">
      <c r="A39" s="3131"/>
      <c r="B39" s="313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31" t="s">
        <v>571</v>
      </c>
      <c r="C61" s="821" t="s">
        <v>572</v>
      </c>
      <c r="D61" s="821" t="s">
        <v>573</v>
      </c>
      <c r="E61" s="920">
        <v>0.5</v>
      </c>
      <c r="F61" s="907">
        <v>80</v>
      </c>
    </row>
    <row r="62" spans="1:8" s="903" customFormat="1" ht="24">
      <c r="A62" s="907">
        <v>2</v>
      </c>
      <c r="B62" s="3131"/>
      <c r="C62" s="821" t="s">
        <v>574</v>
      </c>
      <c r="D62" s="821" t="s">
        <v>575</v>
      </c>
      <c r="E62" s="920">
        <v>0.5</v>
      </c>
      <c r="F62" s="907">
        <v>80</v>
      </c>
    </row>
    <row r="63" spans="1:8" s="903" customFormat="1" ht="36">
      <c r="A63" s="907">
        <v>3</v>
      </c>
      <c r="B63" s="3131"/>
      <c r="C63" s="821" t="s">
        <v>576</v>
      </c>
      <c r="D63" s="821" t="s">
        <v>577</v>
      </c>
      <c r="E63" s="920">
        <v>0.5</v>
      </c>
      <c r="F63" s="907">
        <v>80</v>
      </c>
    </row>
    <row r="64" spans="1:8" s="903" customFormat="1" ht="36">
      <c r="A64" s="907">
        <v>4</v>
      </c>
      <c r="B64" s="3131"/>
      <c r="C64" s="821" t="s">
        <v>578</v>
      </c>
      <c r="D64" s="821" t="s">
        <v>579</v>
      </c>
      <c r="E64" s="920">
        <v>0.4</v>
      </c>
      <c r="F64" s="907">
        <v>60</v>
      </c>
    </row>
    <row r="65" spans="1:6" s="903" customFormat="1" ht="36">
      <c r="A65" s="907">
        <v>5</v>
      </c>
      <c r="B65" s="3131"/>
      <c r="C65" s="821" t="s">
        <v>580</v>
      </c>
      <c r="D65" s="821" t="s">
        <v>581</v>
      </c>
      <c r="E65" s="920">
        <v>0.2</v>
      </c>
      <c r="F65" s="907">
        <v>30</v>
      </c>
    </row>
    <row r="66" spans="1:6" s="903" customFormat="1" ht="36">
      <c r="A66" s="907">
        <v>6</v>
      </c>
      <c r="B66" s="3131"/>
      <c r="C66" s="821" t="s">
        <v>582</v>
      </c>
      <c r="D66" s="821" t="s">
        <v>583</v>
      </c>
      <c r="E66" s="920">
        <v>0.3</v>
      </c>
      <c r="F66" s="907">
        <v>50</v>
      </c>
    </row>
    <row r="67" spans="1:6" s="903" customFormat="1" ht="36">
      <c r="A67" s="907">
        <v>7</v>
      </c>
      <c r="B67" s="3131"/>
      <c r="C67" s="821" t="s">
        <v>584</v>
      </c>
      <c r="D67" s="821" t="s">
        <v>585</v>
      </c>
      <c r="E67" s="920">
        <v>0.2</v>
      </c>
      <c r="F67" s="907">
        <v>30</v>
      </c>
    </row>
    <row r="68" spans="1:6" s="903" customFormat="1" ht="36">
      <c r="A68" s="907">
        <v>8</v>
      </c>
      <c r="B68" s="3131"/>
      <c r="C68" s="821" t="s">
        <v>586</v>
      </c>
      <c r="D68" s="821" t="s">
        <v>587</v>
      </c>
      <c r="E68" s="920">
        <v>0.2</v>
      </c>
      <c r="F68" s="907">
        <v>30</v>
      </c>
    </row>
    <row r="69" spans="1:6" s="903" customFormat="1" ht="36">
      <c r="A69" s="907">
        <v>9</v>
      </c>
      <c r="B69" s="3131"/>
      <c r="C69" s="821" t="s">
        <v>588</v>
      </c>
      <c r="D69" s="821" t="s">
        <v>589</v>
      </c>
      <c r="E69" s="920">
        <v>0.2</v>
      </c>
      <c r="F69" s="907">
        <v>30</v>
      </c>
    </row>
    <row r="70" spans="1:6" s="903" customFormat="1" ht="48">
      <c r="A70" s="907">
        <v>10</v>
      </c>
      <c r="B70" s="3131"/>
      <c r="C70" s="821" t="s">
        <v>590</v>
      </c>
      <c r="D70" s="821" t="s">
        <v>591</v>
      </c>
      <c r="E70" s="920">
        <v>0.2</v>
      </c>
      <c r="F70" s="907">
        <v>30</v>
      </c>
    </row>
    <row r="71" spans="1:6" s="903" customFormat="1" ht="48">
      <c r="A71" s="907">
        <v>11</v>
      </c>
      <c r="B71" s="3131"/>
      <c r="C71" s="821" t="s">
        <v>592</v>
      </c>
      <c r="D71" s="821" t="s">
        <v>593</v>
      </c>
      <c r="E71" s="920">
        <v>0.2</v>
      </c>
      <c r="F71" s="907">
        <v>30</v>
      </c>
    </row>
    <row r="72" spans="1:6" s="903" customFormat="1" ht="36">
      <c r="A72" s="907">
        <v>12</v>
      </c>
      <c r="B72" s="3131"/>
      <c r="C72" s="821" t="s">
        <v>594</v>
      </c>
      <c r="D72" s="821" t="s">
        <v>595</v>
      </c>
      <c r="E72" s="920">
        <v>0.5</v>
      </c>
      <c r="F72" s="907">
        <v>80</v>
      </c>
    </row>
    <row r="73" spans="1:6" s="903" customFormat="1" ht="24">
      <c r="A73" s="907">
        <v>13</v>
      </c>
      <c r="B73" s="3131"/>
      <c r="C73" s="821" t="s">
        <v>596</v>
      </c>
      <c r="D73" s="821" t="s">
        <v>597</v>
      </c>
      <c r="E73" s="920">
        <v>0.4</v>
      </c>
      <c r="F73" s="907">
        <v>60</v>
      </c>
    </row>
    <row r="74" spans="1:6" s="903" customFormat="1" ht="24">
      <c r="A74" s="907">
        <v>14</v>
      </c>
      <c r="B74" s="3131"/>
      <c r="C74" s="821" t="s">
        <v>598</v>
      </c>
      <c r="D74" s="821" t="s">
        <v>599</v>
      </c>
      <c r="E74" s="920">
        <v>0.2</v>
      </c>
      <c r="F74" s="907">
        <v>30</v>
      </c>
    </row>
    <row r="75" spans="1:6" s="903" customFormat="1" ht="24">
      <c r="A75" s="907">
        <v>15</v>
      </c>
      <c r="B75" s="3131"/>
      <c r="C75" s="821" t="s">
        <v>600</v>
      </c>
      <c r="D75" s="821" t="s">
        <v>601</v>
      </c>
      <c r="E75" s="920">
        <v>0.2</v>
      </c>
      <c r="F75" s="907">
        <v>30</v>
      </c>
    </row>
    <row r="76" spans="1:6" s="903" customFormat="1" ht="24">
      <c r="A76" s="907">
        <v>16</v>
      </c>
      <c r="B76" s="3131" t="s">
        <v>602</v>
      </c>
      <c r="C76" s="821" t="s">
        <v>603</v>
      </c>
      <c r="D76" s="821" t="s">
        <v>604</v>
      </c>
      <c r="E76" s="920">
        <v>0.5</v>
      </c>
      <c r="F76" s="907">
        <v>80</v>
      </c>
    </row>
    <row r="77" spans="1:6" s="903" customFormat="1" ht="24">
      <c r="A77" s="907">
        <v>17</v>
      </c>
      <c r="B77" s="3131"/>
      <c r="C77" s="821" t="s">
        <v>605</v>
      </c>
      <c r="D77" s="821" t="s">
        <v>606</v>
      </c>
      <c r="E77" s="920">
        <v>0.5</v>
      </c>
      <c r="F77" s="907">
        <v>80</v>
      </c>
    </row>
    <row r="78" spans="1:6" s="903" customFormat="1" ht="24">
      <c r="A78" s="907">
        <v>18</v>
      </c>
      <c r="B78" s="3131"/>
      <c r="C78" s="821" t="s">
        <v>607</v>
      </c>
      <c r="D78" s="821" t="s">
        <v>608</v>
      </c>
      <c r="E78" s="920">
        <v>0.2</v>
      </c>
      <c r="F78" s="907">
        <v>30</v>
      </c>
    </row>
    <row r="79" spans="1:6" s="903" customFormat="1" ht="24">
      <c r="A79" s="907">
        <v>19</v>
      </c>
      <c r="B79" s="3131"/>
      <c r="C79" s="821" t="s">
        <v>609</v>
      </c>
      <c r="D79" s="821" t="s">
        <v>610</v>
      </c>
      <c r="E79" s="920">
        <v>0.5</v>
      </c>
      <c r="F79" s="907">
        <v>80</v>
      </c>
    </row>
    <row r="80" spans="1:6" s="903" customFormat="1" ht="36">
      <c r="A80" s="907">
        <v>20</v>
      </c>
      <c r="B80" s="3131"/>
      <c r="C80" s="821" t="s">
        <v>611</v>
      </c>
      <c r="D80" s="821" t="s">
        <v>612</v>
      </c>
      <c r="E80" s="920">
        <v>0.2</v>
      </c>
      <c r="F80" s="907">
        <v>30</v>
      </c>
    </row>
    <row r="81" spans="1:6" s="903" customFormat="1" ht="36">
      <c r="A81" s="907">
        <v>21</v>
      </c>
      <c r="B81" s="3131"/>
      <c r="C81" s="821" t="s">
        <v>613</v>
      </c>
      <c r="D81" s="821" t="s">
        <v>614</v>
      </c>
      <c r="E81" s="920">
        <v>0.2</v>
      </c>
      <c r="F81" s="907">
        <v>30</v>
      </c>
    </row>
    <row r="82" spans="1:6" s="903" customFormat="1" ht="48">
      <c r="A82" s="907">
        <v>22</v>
      </c>
      <c r="B82" s="3131"/>
      <c r="C82" s="821" t="s">
        <v>615</v>
      </c>
      <c r="D82" s="821" t="s">
        <v>616</v>
      </c>
      <c r="E82" s="920">
        <v>0.2</v>
      </c>
      <c r="F82" s="907">
        <v>30</v>
      </c>
    </row>
    <row r="83" spans="1:6" s="903" customFormat="1" ht="48">
      <c r="A83" s="907">
        <v>23</v>
      </c>
      <c r="B83" s="3131"/>
      <c r="C83" s="821" t="s">
        <v>617</v>
      </c>
      <c r="D83" s="821" t="s">
        <v>618</v>
      </c>
      <c r="E83" s="920">
        <v>0.2</v>
      </c>
      <c r="F83" s="907">
        <v>30</v>
      </c>
    </row>
    <row r="84" spans="1:6" s="903" customFormat="1" ht="36">
      <c r="A84" s="907">
        <v>24</v>
      </c>
      <c r="B84" s="3131"/>
      <c r="C84" s="821" t="s">
        <v>619</v>
      </c>
      <c r="D84" s="821" t="s">
        <v>620</v>
      </c>
      <c r="E84" s="920">
        <v>0.2</v>
      </c>
      <c r="F84" s="907">
        <v>30</v>
      </c>
    </row>
    <row r="85" spans="1:6" s="903" customFormat="1" ht="36">
      <c r="A85" s="907">
        <v>25</v>
      </c>
      <c r="B85" s="3131"/>
      <c r="C85" s="821" t="s">
        <v>621</v>
      </c>
      <c r="D85" s="821" t="s">
        <v>622</v>
      </c>
      <c r="E85" s="920">
        <v>0.5</v>
      </c>
      <c r="F85" s="907">
        <v>80</v>
      </c>
    </row>
    <row r="86" spans="1:6" s="903" customFormat="1" ht="36">
      <c r="A86" s="907">
        <v>26</v>
      </c>
      <c r="B86" s="3131"/>
      <c r="C86" s="821" t="s">
        <v>623</v>
      </c>
      <c r="D86" s="821" t="s">
        <v>624</v>
      </c>
      <c r="E86" s="920">
        <v>0.2</v>
      </c>
      <c r="F86" s="907">
        <v>30</v>
      </c>
    </row>
    <row r="87" spans="1:6" s="903" customFormat="1" ht="36">
      <c r="A87" s="907">
        <v>27</v>
      </c>
      <c r="B87" s="3131"/>
      <c r="C87" s="821" t="s">
        <v>625</v>
      </c>
      <c r="D87" s="821" t="s">
        <v>626</v>
      </c>
      <c r="E87" s="920">
        <v>0.2</v>
      </c>
      <c r="F87" s="907">
        <v>30</v>
      </c>
    </row>
    <row r="88" spans="1:6" s="903" customFormat="1" ht="36">
      <c r="A88" s="907">
        <v>28</v>
      </c>
      <c r="B88" s="3131"/>
      <c r="C88" s="821" t="s">
        <v>627</v>
      </c>
      <c r="D88" s="821" t="s">
        <v>628</v>
      </c>
      <c r="E88" s="920">
        <v>0.2</v>
      </c>
      <c r="F88" s="907">
        <v>30</v>
      </c>
    </row>
    <row r="89" spans="1:6" s="903" customFormat="1" ht="24">
      <c r="A89" s="907">
        <v>29</v>
      </c>
      <c r="B89" s="3131"/>
      <c r="C89" s="821" t="s">
        <v>629</v>
      </c>
      <c r="D89" s="821" t="s">
        <v>630</v>
      </c>
      <c r="E89" s="920">
        <v>0.2</v>
      </c>
      <c r="F89" s="907">
        <v>30</v>
      </c>
    </row>
    <row r="90" spans="1:6" s="903" customFormat="1" ht="24">
      <c r="A90" s="907">
        <v>30</v>
      </c>
      <c r="B90" s="3131"/>
      <c r="C90" s="821" t="s">
        <v>631</v>
      </c>
      <c r="D90" s="821" t="s">
        <v>632</v>
      </c>
      <c r="E90" s="920">
        <v>0.2</v>
      </c>
      <c r="F90" s="907">
        <v>30</v>
      </c>
    </row>
    <row r="91" spans="1:6" s="903" customFormat="1" ht="36">
      <c r="A91" s="907">
        <v>31</v>
      </c>
      <c r="B91" s="3131"/>
      <c r="C91" s="821" t="s">
        <v>633</v>
      </c>
      <c r="D91" s="821" t="s">
        <v>634</v>
      </c>
      <c r="E91" s="920">
        <v>0.2</v>
      </c>
      <c r="F91" s="907">
        <v>30</v>
      </c>
    </row>
    <row r="92" spans="1:6" s="903" customFormat="1" ht="24">
      <c r="A92" s="907">
        <v>32</v>
      </c>
      <c r="B92" s="3131" t="s">
        <v>635</v>
      </c>
      <c r="C92" s="907" t="s">
        <v>636</v>
      </c>
      <c r="D92" s="821" t="s">
        <v>637</v>
      </c>
      <c r="E92" s="920">
        <v>0.2</v>
      </c>
      <c r="F92" s="907">
        <v>30</v>
      </c>
    </row>
    <row r="93" spans="1:6" s="903" customFormat="1" ht="36">
      <c r="A93" s="907">
        <v>33</v>
      </c>
      <c r="B93" s="3131"/>
      <c r="C93" s="907" t="s">
        <v>638</v>
      </c>
      <c r="D93" s="821" t="s">
        <v>639</v>
      </c>
      <c r="E93" s="920">
        <v>0.2</v>
      </c>
      <c r="F93" s="907">
        <v>30</v>
      </c>
    </row>
    <row r="94" spans="1:6" s="903" customFormat="1" ht="48">
      <c r="A94" s="907">
        <v>34</v>
      </c>
      <c r="B94" s="3131"/>
      <c r="C94" s="907" t="s">
        <v>640</v>
      </c>
      <c r="D94" s="821" t="s">
        <v>641</v>
      </c>
      <c r="E94" s="920">
        <v>0.2</v>
      </c>
      <c r="F94" s="907">
        <v>30</v>
      </c>
    </row>
    <row r="95" spans="1:6" s="903" customFormat="1" ht="36">
      <c r="A95" s="907">
        <v>35</v>
      </c>
      <c r="B95" s="3131"/>
      <c r="C95" s="907" t="s">
        <v>642</v>
      </c>
      <c r="D95" s="821" t="s">
        <v>643</v>
      </c>
      <c r="E95" s="920">
        <v>0.2</v>
      </c>
      <c r="F95" s="907">
        <v>30</v>
      </c>
    </row>
    <row r="96" spans="1:6" s="903" customFormat="1" ht="48">
      <c r="A96" s="907">
        <v>36</v>
      </c>
      <c r="B96" s="3131"/>
      <c r="C96" s="821" t="s">
        <v>644</v>
      </c>
      <c r="D96" s="821" t="s">
        <v>645</v>
      </c>
      <c r="E96" s="920">
        <v>0.2</v>
      </c>
      <c r="F96" s="907">
        <v>30</v>
      </c>
    </row>
    <row r="97" spans="1:6" s="903" customFormat="1" ht="36">
      <c r="A97" s="907">
        <v>37</v>
      </c>
      <c r="B97" s="3131"/>
      <c r="C97" s="907" t="s">
        <v>646</v>
      </c>
      <c r="D97" s="821" t="s">
        <v>647</v>
      </c>
      <c r="E97" s="920">
        <v>0.2</v>
      </c>
      <c r="F97" s="907">
        <v>30</v>
      </c>
    </row>
    <row r="98" spans="1:6" s="903" customFormat="1" ht="36">
      <c r="A98" s="907">
        <v>38</v>
      </c>
      <c r="B98" s="3131"/>
      <c r="C98" s="907" t="s">
        <v>648</v>
      </c>
      <c r="D98" s="821" t="s">
        <v>649</v>
      </c>
      <c r="E98" s="920">
        <v>0.2</v>
      </c>
      <c r="F98" s="907">
        <v>30</v>
      </c>
    </row>
    <row r="99" spans="1:6" s="903" customFormat="1" ht="36">
      <c r="A99" s="907">
        <v>39</v>
      </c>
      <c r="B99" s="3131" t="s">
        <v>650</v>
      </c>
      <c r="C99" s="907" t="s">
        <v>651</v>
      </c>
      <c r="D99" s="821" t="s">
        <v>652</v>
      </c>
      <c r="E99" s="920">
        <v>0.3</v>
      </c>
      <c r="F99" s="907">
        <v>50</v>
      </c>
    </row>
    <row r="100" spans="1:6" s="903" customFormat="1" ht="24">
      <c r="A100" s="907">
        <v>40</v>
      </c>
      <c r="B100" s="3131"/>
      <c r="C100" s="907" t="s">
        <v>653</v>
      </c>
      <c r="D100" s="821" t="s">
        <v>654</v>
      </c>
      <c r="E100" s="920">
        <v>0.2</v>
      </c>
      <c r="F100" s="907">
        <v>30</v>
      </c>
    </row>
    <row r="101" spans="1:6" s="903" customFormat="1" ht="36">
      <c r="A101" s="907">
        <v>41</v>
      </c>
      <c r="B101" s="313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1" t="s">
        <v>665</v>
      </c>
      <c r="C105" s="907" t="s">
        <v>666</v>
      </c>
      <c r="D105" s="821" t="s">
        <v>667</v>
      </c>
      <c r="E105" s="920">
        <v>0.2</v>
      </c>
      <c r="F105" s="907">
        <v>30</v>
      </c>
    </row>
    <row r="106" spans="1:6" s="903" customFormat="1" ht="36">
      <c r="A106" s="907">
        <v>46</v>
      </c>
      <c r="B106" s="3131"/>
      <c r="C106" s="907" t="s">
        <v>668</v>
      </c>
      <c r="D106" s="821" t="s">
        <v>669</v>
      </c>
      <c r="E106" s="920">
        <v>0.2</v>
      </c>
      <c r="F106" s="907">
        <v>30</v>
      </c>
    </row>
    <row r="107" spans="1:6" s="903" customFormat="1" ht="36">
      <c r="A107" s="907">
        <v>47</v>
      </c>
      <c r="B107" s="3131" t="s">
        <v>670</v>
      </c>
      <c r="C107" s="907" t="s">
        <v>671</v>
      </c>
      <c r="D107" s="821" t="s">
        <v>672</v>
      </c>
      <c r="E107" s="920">
        <v>0.3</v>
      </c>
      <c r="F107" s="907">
        <v>50</v>
      </c>
    </row>
    <row r="108" spans="1:6" s="903" customFormat="1" ht="36">
      <c r="A108" s="907">
        <v>48</v>
      </c>
      <c r="B108" s="313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1" t="s">
        <v>681</v>
      </c>
      <c r="C111" s="907" t="s">
        <v>682</v>
      </c>
      <c r="D111" s="821" t="s">
        <v>683</v>
      </c>
      <c r="E111" s="920">
        <v>0.2</v>
      </c>
      <c r="F111" s="907">
        <v>30</v>
      </c>
    </row>
    <row r="112" spans="1:6" s="903" customFormat="1" ht="24">
      <c r="A112" s="907">
        <v>52</v>
      </c>
      <c r="B112" s="3131"/>
      <c r="C112" s="907" t="s">
        <v>684</v>
      </c>
      <c r="D112" s="821" t="s">
        <v>685</v>
      </c>
      <c r="E112" s="920">
        <v>0.2</v>
      </c>
      <c r="F112" s="907">
        <v>30</v>
      </c>
    </row>
    <row r="113" spans="1:6" s="903" customFormat="1" ht="24">
      <c r="A113" s="907">
        <v>53</v>
      </c>
      <c r="B113" s="313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1" t="s">
        <v>694</v>
      </c>
      <c r="C116" s="907" t="s">
        <v>695</v>
      </c>
      <c r="D116" s="821" t="s">
        <v>696</v>
      </c>
      <c r="E116" s="920">
        <v>0.2</v>
      </c>
      <c r="F116" s="907">
        <v>30</v>
      </c>
    </row>
    <row r="117" spans="1:6" ht="36">
      <c r="A117" s="907">
        <v>57</v>
      </c>
      <c r="B117" s="313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I36" sqref="I36"/>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7" t="s">
        <v>1030</v>
      </c>
      <c r="C1" s="3137"/>
      <c r="D1" s="3137"/>
      <c r="E1" s="3137"/>
      <c r="F1" s="3137"/>
      <c r="G1" s="3133" t="s">
        <v>1031</v>
      </c>
      <c r="H1" s="3133"/>
      <c r="I1" s="3133"/>
      <c r="J1" s="3133"/>
      <c r="K1" s="3133"/>
      <c r="L1" s="3133"/>
      <c r="N1" s="3133" t="s">
        <v>1032</v>
      </c>
      <c r="O1" s="3133"/>
      <c r="P1" s="3133"/>
      <c r="Q1" s="3133"/>
      <c r="R1" s="1547"/>
      <c r="S1" s="3133" t="s">
        <v>1033</v>
      </c>
      <c r="T1" s="3133"/>
      <c r="U1" s="3133"/>
      <c r="V1" s="3133"/>
      <c r="X1" s="3132" t="s">
        <v>1034</v>
      </c>
      <c r="Y1" s="3133"/>
      <c r="Z1" s="3133"/>
      <c r="AA1" s="3133"/>
      <c r="AB1" s="3133"/>
      <c r="AD1" s="3132" t="s">
        <v>1035</v>
      </c>
      <c r="AE1" s="3133"/>
      <c r="AF1" s="3133"/>
      <c r="AG1" s="3133"/>
      <c r="AH1" s="3133"/>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4" customFormat="1" ht="14.25">
      <c r="A3" s="2725" t="s">
        <v>2803</v>
      </c>
      <c r="B3" s="2715"/>
      <c r="C3" s="2715"/>
      <c r="D3" s="2716"/>
      <c r="E3" s="2716"/>
      <c r="F3" s="2715"/>
      <c r="G3" s="2717"/>
      <c r="H3" s="2718"/>
      <c r="I3" s="2719">
        <f>ROUND(AVERAGE(I4:I25),2)</f>
        <v>2.13</v>
      </c>
      <c r="J3" s="2719">
        <f>ROUND(AVERAGE(J4:J25),2)</f>
        <v>1.51</v>
      </c>
      <c r="K3" s="2719">
        <f>ROUND(AVERAGE(K4:K25),2)</f>
        <v>2.34</v>
      </c>
      <c r="L3" s="2720">
        <f>ROUND(AVERAGE(L4:L25),2)</f>
        <v>1.42</v>
      </c>
      <c r="N3" s="2717"/>
      <c r="O3" s="2721"/>
      <c r="P3" s="2721"/>
      <c r="Q3" s="2721"/>
      <c r="R3" s="2721"/>
      <c r="S3" s="2717"/>
      <c r="T3" s="2721"/>
      <c r="U3" s="2721"/>
      <c r="V3" s="2721"/>
      <c r="W3" s="2724"/>
      <c r="X3" s="2722">
        <f>ROUND(SUMPRODUCT(PRODUCT(1+N3:N$24)),4)</f>
        <v>1.5099</v>
      </c>
      <c r="Y3" s="2722">
        <f>ROUND(SUMPRODUCT(PRODUCT(1+O3:O$24)),4)</f>
        <v>1.3372999999999999</v>
      </c>
      <c r="Z3" s="2722">
        <f t="shared" ref="Z3:Z22" si="0">Y3</f>
        <v>1.3372999999999999</v>
      </c>
      <c r="AA3" s="2722">
        <f>ROUND(SUMPRODUCT(PRODUCT(1+P3:P$24)),4)</f>
        <v>1.5683</v>
      </c>
      <c r="AB3" s="2722">
        <f>ROUND(SUMPRODUCT(PRODUCT(1+Q3:Q$24)),4)</f>
        <v>1.3255999999999999</v>
      </c>
      <c r="AD3" s="2723">
        <f>ROUND(AVERAGE(I3:I$25)/100,4)</f>
        <v>2.1299999999999999E-2</v>
      </c>
      <c r="AE3" s="2723">
        <f>ROUND(AVERAGE(J3:J$25)/100,4)</f>
        <v>1.5100000000000001E-2</v>
      </c>
      <c r="AF3" s="2723">
        <f t="shared" ref="AF3:AF13" si="1">AE3</f>
        <v>1.5100000000000001E-2</v>
      </c>
      <c r="AG3" s="2723">
        <f>ROUND(AVERAGE(K3:K$25)/100,4)</f>
        <v>2.3400000000000001E-2</v>
      </c>
      <c r="AH3" s="2723">
        <f>ROUND(AVERAGE(L3:L$25)/100,4)</f>
        <v>1.4200000000000001E-2</v>
      </c>
    </row>
    <row r="4" spans="1:34" s="1554" customFormat="1" ht="14.25">
      <c r="B4" s="1555"/>
      <c r="C4" s="1555"/>
      <c r="D4" s="1556"/>
      <c r="E4" s="1556"/>
      <c r="F4" s="1555"/>
      <c r="G4" s="1557"/>
      <c r="H4" s="1558"/>
      <c r="I4" s="2707"/>
      <c r="J4" s="2707"/>
      <c r="K4" s="2707"/>
      <c r="L4" s="2707"/>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2818</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30">
        <v>2019</v>
      </c>
      <c r="H5" s="1820">
        <v>1</v>
      </c>
      <c r="I5" s="2708">
        <v>0</v>
      </c>
      <c r="J5" s="2708">
        <v>0</v>
      </c>
      <c r="K5" s="2708">
        <v>0</v>
      </c>
      <c r="L5" s="2709">
        <v>0</v>
      </c>
      <c r="N5" s="1569">
        <f>I5/100</f>
        <v>0</v>
      </c>
      <c r="O5" s="1569">
        <f t="shared" ref="O5" si="6">J5/100</f>
        <v>0</v>
      </c>
      <c r="P5" s="1569">
        <f t="shared" ref="P5" si="7">K5/100</f>
        <v>0</v>
      </c>
      <c r="Q5" s="1569">
        <f t="shared" ref="Q5" si="8">L5/100</f>
        <v>0</v>
      </c>
      <c r="R5" s="1822"/>
      <c r="S5" s="1823"/>
      <c r="T5" s="1822"/>
      <c r="U5" s="1822"/>
      <c r="V5" s="1822"/>
      <c r="W5" s="2713" t="s">
        <v>2802</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2819</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135">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2811</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135"/>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2810</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135"/>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2807</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142"/>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2804</v>
      </c>
      <c r="B10" s="1571">
        <v>439</v>
      </c>
      <c r="C10" s="1571">
        <v>327</v>
      </c>
      <c r="D10" s="1571">
        <f t="shared" si="41"/>
        <v>327</v>
      </c>
      <c r="E10" s="1571">
        <v>627</v>
      </c>
      <c r="F10" s="1572">
        <v>283</v>
      </c>
      <c r="G10" s="3138">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2799</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135"/>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135"/>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142"/>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138">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135"/>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135"/>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136"/>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134">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135"/>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135"/>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136"/>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134">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135"/>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135"/>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136"/>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139">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140"/>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140"/>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141"/>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134">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135"/>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135"/>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136"/>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134">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135">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135">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136">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134">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135">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135">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136">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134">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135">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135">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136">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134">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135">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135">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136">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134">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135">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135">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136">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134">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135">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135">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136">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134">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135">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135">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136">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134">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135">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135">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136">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134">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135">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135">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136">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134">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135">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135">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136">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43516</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J4:S32"/>
  <sheetViews>
    <sheetView workbookViewId="0">
      <selection activeCell="M49" sqref="M49"/>
    </sheetView>
  </sheetViews>
  <sheetFormatPr defaultRowHeight="13.5"/>
  <cols>
    <col min="10" max="10" width="9" style="2736"/>
    <col min="19" max="19" width="9" style="2734"/>
  </cols>
  <sheetData>
    <row r="4" spans="10:10">
      <c r="J4" s="2738" t="s">
        <v>2820</v>
      </c>
    </row>
    <row r="15" spans="10:10">
      <c r="J15" s="2738" t="s">
        <v>2821</v>
      </c>
    </row>
    <row r="26" spans="10:19">
      <c r="J26" s="2735"/>
    </row>
    <row r="32" spans="10:19">
      <c r="S32" s="2737" t="s">
        <v>2822</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H4:P32"/>
  <sheetViews>
    <sheetView topLeftCell="A4" workbookViewId="0">
      <selection activeCell="S31" sqref="S31"/>
    </sheetView>
  </sheetViews>
  <sheetFormatPr defaultRowHeight="13.5"/>
  <sheetData>
    <row r="4" spans="8:16">
      <c r="P4">
        <v>136</v>
      </c>
    </row>
    <row r="6" spans="8:16">
      <c r="H6">
        <v>121</v>
      </c>
    </row>
    <row r="19" spans="8:16">
      <c r="H19">
        <v>98</v>
      </c>
      <c r="P19">
        <v>121</v>
      </c>
    </row>
    <row r="27" spans="8:16">
      <c r="P27">
        <v>125</v>
      </c>
    </row>
    <row r="32" spans="8:16">
      <c r="H32">
        <v>107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9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7"/>
      <c r="C2" s="2797"/>
      <c r="D2" s="2797"/>
      <c r="E2" s="2797"/>
    </row>
    <row r="3" spans="1:5" ht="13.5" customHeight="1">
      <c r="A3" s="1928"/>
      <c r="B3" s="1928"/>
      <c r="C3" s="1928"/>
      <c r="D3" s="1928"/>
      <c r="E3" s="1928"/>
    </row>
    <row r="4" spans="1:5" ht="19.5" thickBot="1">
      <c r="A4" s="2798" t="str">
        <f>IF(项目基本情况!D5="房地产市场价值","估价结果一览表（市场价值不需本页表格)","估价结果一览表")</f>
        <v>估价结果一览表（市场价值不需本页表格)</v>
      </c>
      <c r="B4" s="2798"/>
      <c r="C4" s="2798"/>
      <c r="D4" s="2798"/>
      <c r="E4" s="2798"/>
    </row>
    <row r="5" spans="1:5" ht="14.25" customHeight="1" thickTop="1">
      <c r="A5" s="1925"/>
      <c r="B5" s="1929" t="s">
        <v>742</v>
      </c>
      <c r="C5" s="2799" t="s">
        <v>781</v>
      </c>
      <c r="D5" s="2800"/>
      <c r="E5" s="1925"/>
    </row>
    <row r="6" spans="1:5" ht="14.25">
      <c r="A6" s="1925"/>
      <c r="B6" s="1930" t="str">
        <f>项目基本情况!I1</f>
        <v>北京市房地产</v>
      </c>
      <c r="C6" s="2801">
        <f>项目基本情况!C12</f>
        <v>1</v>
      </c>
      <c r="D6" s="2801"/>
      <c r="E6" s="1925"/>
    </row>
    <row r="7" spans="1:5" ht="14.25">
      <c r="A7" s="1925"/>
      <c r="B7" s="2795" t="s">
        <v>782</v>
      </c>
      <c r="C7" s="1931" t="str">
        <f>IF('数据-取费表'!B3="万元","总价（万元）","总价（元）")</f>
        <v>总价（元）</v>
      </c>
      <c r="D7" s="1932">
        <f ca="1">IF('数据-取费表'!E3="否",结果表!I102,'结果表 (1修多)'!I103)</f>
        <v>32570</v>
      </c>
      <c r="E7" s="1925"/>
    </row>
    <row r="8" spans="1:5" ht="14.25">
      <c r="A8" s="1925"/>
      <c r="B8" s="2795"/>
      <c r="C8" s="1933" t="s">
        <v>1172</v>
      </c>
      <c r="D8" s="1934" t="str">
        <f ca="1">IF('数据-取费表'!B3="万元",NUMBERSTRING(INT(D7*10000),2)&amp;"元整",NUMBERSTRING(INT(D7),2)&amp;"元整")</f>
        <v>叁万贰仟伍佰柒拾元整</v>
      </c>
      <c r="E8" s="1925"/>
    </row>
    <row r="9" spans="1:5" ht="14.25">
      <c r="A9" s="1925"/>
      <c r="B9" s="2795"/>
      <c r="C9" s="1935" t="s">
        <v>1270</v>
      </c>
      <c r="D9" s="1932">
        <f ca="1">IF('数据-取费表'!E3="否",结果表!I103,'结果表 (1修多)'!I104)</f>
        <v>32570</v>
      </c>
      <c r="E9" s="1925"/>
    </row>
    <row r="10" spans="1:5" ht="14.25">
      <c r="A10" s="1925"/>
      <c r="B10" s="2802"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802"/>
      <c r="C11" s="1933" t="s">
        <v>1172</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802" t="str">
        <f>IF('数据-取费表'!E3="否",结果表!F110,'结果表 (1修多)'!F111)</f>
        <v>3.房地产抵押价值</v>
      </c>
      <c r="C15" s="1926" t="str">
        <f>C7</f>
        <v>总价（元）</v>
      </c>
      <c r="D15" s="1932">
        <f ca="1">IF('数据-取费表'!E3="否",结果表!I110,'结果表 (1修多)'!I111)</f>
        <v>32570</v>
      </c>
      <c r="E15" s="1925"/>
    </row>
    <row r="16" spans="1:5" ht="14.25">
      <c r="A16" s="1925"/>
      <c r="B16" s="2802"/>
      <c r="C16" s="1933" t="s">
        <v>1172</v>
      </c>
      <c r="D16" s="1932" t="str">
        <f ca="1">IF('数据-取费表'!B3="万元",NUMBERSTRING(INT(D15*10000),2)&amp;"元整",NUMBERSTRING(INT(D15),2)&amp;"元整")</f>
        <v>叁万贰仟伍佰柒拾元整</v>
      </c>
      <c r="E16" s="1925"/>
    </row>
    <row r="17" spans="1:5" ht="14.25">
      <c r="A17" s="1925"/>
      <c r="B17" s="2802"/>
      <c r="C17" s="1935" t="s">
        <v>1270</v>
      </c>
      <c r="D17" s="1932">
        <f ca="1">IF('数据-取费表'!E3="否",结果表!I111,'结果表 (1修多)'!I112)</f>
        <v>32570</v>
      </c>
      <c r="E17" s="1925"/>
    </row>
    <row r="18" spans="1:5" ht="14.25">
      <c r="A18" s="1925"/>
      <c r="B18" s="2802" t="str">
        <f>IF('数据-取费表'!E3="否",结果表!F112,'结果表 (1修多)'!F113)</f>
        <v>——</v>
      </c>
      <c r="C18" s="1926" t="str">
        <f>C7</f>
        <v>总价（元）</v>
      </c>
      <c r="D18" s="1932" t="str">
        <f>IF('数据-取费表'!E3="否",结果表!I112,'结果表 (1修多)'!I113)</f>
        <v>——</v>
      </c>
      <c r="E18" s="1925"/>
    </row>
    <row r="19" spans="1:5" ht="14.25">
      <c r="A19" s="1925"/>
      <c r="B19" s="2802"/>
      <c r="C19" s="1933" t="s">
        <v>1172</v>
      </c>
      <c r="D19" s="1932" t="e">
        <f>IF('数据-取费表'!B3="万元",NUMBERSTRING(INT(D18*10000),2)&amp;"元整",NUMBERSTRING(INT(D18),2)&amp;"元整")</f>
        <v>#VALUE!</v>
      </c>
      <c r="E19" s="1925"/>
    </row>
    <row r="20" spans="1:5" ht="14.25">
      <c r="A20" s="1925"/>
      <c r="B20" s="2802"/>
      <c r="C20" s="1935" t="s">
        <v>1270</v>
      </c>
      <c r="D20" s="1932" t="str">
        <f>IF('数据-取费表'!E3="否",结果表!I113,'结果表 (1修多)'!I114)</f>
        <v>——</v>
      </c>
      <c r="E20" s="1925"/>
    </row>
    <row r="21" spans="1:5" ht="14.25">
      <c r="A21" s="1925"/>
      <c r="B21" s="2795" t="str">
        <f>IF('数据-取费表'!E3="否",结果表!F114,'结果表 (1修多)'!F115)</f>
        <v>——</v>
      </c>
      <c r="C21" s="1931" t="str">
        <f>C7</f>
        <v>总价（元）</v>
      </c>
      <c r="D21" s="1932" t="str">
        <f>IF('数据-取费表'!E3="否",结果表!I114,'结果表 (1修多)'!I115)</f>
        <v>——</v>
      </c>
      <c r="E21" s="1925"/>
    </row>
    <row r="22" spans="1:5" ht="14.25">
      <c r="A22" s="1925"/>
      <c r="B22" s="2795"/>
      <c r="C22" s="1933" t="s">
        <v>1172</v>
      </c>
      <c r="D22" s="1934" t="e">
        <f>IF('数据-取费表'!B3="万元",NUMBERSTRING(INT(D21*10000),2)&amp;"元整",NUMBERSTRING(INT(D21),2)&amp;"元整")</f>
        <v>#VALUE!</v>
      </c>
      <c r="E22" s="1925"/>
    </row>
    <row r="23" spans="1:5" ht="15" thickBot="1">
      <c r="A23" s="1925"/>
      <c r="B23" s="2796"/>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87" t="s">
        <v>1271</v>
      </c>
      <c r="C25" s="2787"/>
      <c r="D25" s="2787"/>
      <c r="E25" s="1925"/>
    </row>
    <row r="26" spans="1:5" ht="18.75" customHeight="1" thickTop="1">
      <c r="A26" s="1925"/>
      <c r="B26" s="2790" t="s">
        <v>1171</v>
      </c>
      <c r="C26" s="2791"/>
      <c r="D26" s="2788" t="s">
        <v>1170</v>
      </c>
      <c r="E26" s="1925"/>
    </row>
    <row r="27" spans="1:5" ht="18.75" customHeight="1">
      <c r="A27" s="1925"/>
      <c r="B27" s="2792"/>
      <c r="C27" s="2793"/>
      <c r="D27" s="2789"/>
      <c r="E27" s="1925"/>
    </row>
    <row r="28" spans="1:5" ht="14.25">
      <c r="A28" s="1925"/>
      <c r="B28" s="2780" t="s">
        <v>782</v>
      </c>
      <c r="C28" s="1942" t="s">
        <v>1173</v>
      </c>
      <c r="D28" s="1943">
        <f ca="1">IF('数据-取费表'!E3="否",结果表!I102,'结果表 (1修多)'!I103)</f>
        <v>32570</v>
      </c>
      <c r="E28" s="1925"/>
    </row>
    <row r="29" spans="1:5" ht="14.25">
      <c r="A29" s="1925"/>
      <c r="B29" s="2781"/>
      <c r="C29" s="1944" t="s">
        <v>1172</v>
      </c>
      <c r="D29" s="1945" t="str">
        <f ca="1">IF('数据-取费表'!B3="万元",NUMBERSTRING(INT(D28*10000),2)&amp;"元整",NUMBERSTRING(INT(D28),2)&amp;"元整")</f>
        <v>叁万贰仟伍佰柒拾元整</v>
      </c>
      <c r="E29" s="1925"/>
    </row>
    <row r="30" spans="1:5" ht="14.25">
      <c r="A30" s="1925"/>
      <c r="B30" s="2782"/>
      <c r="C30" s="1935" t="s">
        <v>1175</v>
      </c>
      <c r="D30" s="1946">
        <f ca="1">IF('数据-取费表'!E3="否",结果表!I103,'结果表 (1修多)'!I104)</f>
        <v>32570</v>
      </c>
      <c r="E30" s="1925"/>
    </row>
    <row r="31" spans="1:5" ht="14.25">
      <c r="A31" s="1925"/>
      <c r="B31" s="2785" t="str">
        <f>B10</f>
        <v>2.估价师所知悉的法定优先受偿款</v>
      </c>
      <c r="C31" s="1947" t="s">
        <v>1174</v>
      </c>
      <c r="D31" s="1948">
        <f>IF('数据-取费表'!E3="否",结果表!I105,'结果表 (1修多)'!I106)</f>
        <v>0</v>
      </c>
      <c r="E31" s="1925"/>
    </row>
    <row r="32" spans="1:5" ht="14.25">
      <c r="A32" s="1925"/>
      <c r="B32" s="2794"/>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83" t="str">
        <f>B15</f>
        <v>3.房地产抵押价值</v>
      </c>
      <c r="C36" s="1947" t="str">
        <f>C28</f>
        <v>总价</v>
      </c>
      <c r="D36" s="1948">
        <f ca="1">IF('数据-取费表'!E3="否",结果表!I110,'结果表 (1修多)'!I111)</f>
        <v>32570</v>
      </c>
      <c r="E36" s="1925"/>
    </row>
    <row r="37" spans="1:5" ht="14.25">
      <c r="A37" s="1925"/>
      <c r="B37" s="2783"/>
      <c r="C37" s="1944" t="s">
        <v>1172</v>
      </c>
      <c r="D37" s="1949" t="str">
        <f ca="1">IF('数据-取费表'!B3="万元",NUMBERSTRING(INT(D36*10000),2)&amp;"元整",NUMBERSTRING(INT(D36),2)&amp;"元整")</f>
        <v>叁万贰仟伍佰柒拾元整</v>
      </c>
      <c r="E37" s="1925"/>
    </row>
    <row r="38" spans="1:5" ht="14.25">
      <c r="A38" s="1925"/>
      <c r="B38" s="2783"/>
      <c r="C38" s="1935" t="s">
        <v>1176</v>
      </c>
      <c r="D38" s="1946">
        <f ca="1">IF('数据-取费表'!E3="否",结果表!D113,'结果表 (1修多)'!D116)</f>
        <v>32570</v>
      </c>
      <c r="E38" s="1925"/>
    </row>
    <row r="39" spans="1:5" ht="14.25">
      <c r="A39" s="1925"/>
      <c r="B39" s="2784" t="str">
        <f>B18</f>
        <v>——</v>
      </c>
      <c r="C39" s="1947" t="str">
        <f>C28</f>
        <v>总价</v>
      </c>
      <c r="D39" s="1948" t="str">
        <f>IF('数据-取费表'!E3="否",结果表!I112,'结果表 (1修多)'!I113)</f>
        <v>——</v>
      </c>
      <c r="E39" s="1925"/>
    </row>
    <row r="40" spans="1:5" ht="14.25">
      <c r="A40" s="1925"/>
      <c r="B40" s="2784"/>
      <c r="C40" s="1944" t="s">
        <v>1172</v>
      </c>
      <c r="D40" s="1949" t="e">
        <f>IF('数据-取费表'!B3="万元",NUMBERSTRING(INT(D39*10000),2)&amp;"元整",NUMBERSTRING(INT(D39),2)&amp;"元整")</f>
        <v>#VALUE!</v>
      </c>
      <c r="E40" s="1925"/>
    </row>
    <row r="41" spans="1:5" ht="14.25">
      <c r="A41" s="1925"/>
      <c r="B41" s="2784"/>
      <c r="C41" s="1935" t="s">
        <v>1176</v>
      </c>
      <c r="D41" s="1946" t="str">
        <f>IF('数据-取费表'!E3="否",结果表!D115,'结果表 (1修多)'!D118)</f>
        <v>——</v>
      </c>
      <c r="E41" s="1925"/>
    </row>
    <row r="42" spans="1:5" ht="14.25">
      <c r="A42" s="1925"/>
      <c r="B42" s="2783" t="str">
        <f>B21</f>
        <v>——</v>
      </c>
      <c r="C42" s="1947" t="str">
        <f>C28</f>
        <v>总价</v>
      </c>
      <c r="D42" s="1948" t="str">
        <f>IF('数据-取费表'!E3="否",结果表!I114,'结果表 (1修多)'!I115)</f>
        <v>——</v>
      </c>
      <c r="E42" s="1925"/>
    </row>
    <row r="43" spans="1:5" ht="14.25">
      <c r="A43" s="1925"/>
      <c r="B43" s="2785"/>
      <c r="C43" s="1944" t="s">
        <v>1172</v>
      </c>
      <c r="D43" s="1950" t="e">
        <f>IF('数据-取费表'!B3="万元",NUMBERSTRING(INT(D42*10000),2)&amp;"元整",NUMBERSTRING(INT(D42),2)&amp;"元整")</f>
        <v>#VALUE!</v>
      </c>
      <c r="E43" s="1925"/>
    </row>
    <row r="44" spans="1:5" ht="15" thickBot="1">
      <c r="A44" s="1925"/>
      <c r="B44" s="2786"/>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A1:F11"/>
  <sheetViews>
    <sheetView tabSelected="1" workbookViewId="0">
      <selection activeCell="H17" sqref="H17"/>
    </sheetView>
  </sheetViews>
  <sheetFormatPr defaultRowHeight="13.5"/>
  <sheetData>
    <row r="1" spans="1:6">
      <c r="A1" s="3143" t="s">
        <v>2939</v>
      </c>
      <c r="B1" s="3143"/>
      <c r="C1" s="3143"/>
      <c r="D1" s="3143"/>
      <c r="E1" s="3143"/>
      <c r="F1" s="3143"/>
    </row>
    <row r="2" spans="1:6">
      <c r="A2" s="1926" t="s">
        <v>2927</v>
      </c>
      <c r="B2" s="2779" t="s">
        <v>2928</v>
      </c>
      <c r="C2" s="2779" t="s">
        <v>2929</v>
      </c>
      <c r="D2" s="2779" t="s">
        <v>2930</v>
      </c>
      <c r="E2" s="1926" t="s">
        <v>2940</v>
      </c>
      <c r="F2" s="2779"/>
    </row>
    <row r="3" spans="1:6">
      <c r="A3" s="2779">
        <v>1007</v>
      </c>
      <c r="B3" s="2779">
        <v>118.42</v>
      </c>
      <c r="C3" s="2779" t="s">
        <v>2931</v>
      </c>
      <c r="D3" s="2779">
        <f ca="1">结果表!G20</f>
        <v>32570</v>
      </c>
      <c r="E3" s="1926" t="s">
        <v>2941</v>
      </c>
      <c r="F3" s="2779"/>
    </row>
    <row r="4" spans="1:6">
      <c r="A4" s="2779">
        <v>1001</v>
      </c>
      <c r="B4" s="2779">
        <v>59.21</v>
      </c>
      <c r="C4" s="2779" t="s">
        <v>2932</v>
      </c>
      <c r="D4" s="2779">
        <f ca="1">[1]结果表!$G$20</f>
        <v>36259</v>
      </c>
      <c r="E4" s="1926" t="s">
        <v>2942</v>
      </c>
      <c r="F4" s="2779"/>
    </row>
    <row r="5" spans="1:6">
      <c r="A5" s="2779">
        <v>1002</v>
      </c>
      <c r="B5" s="2779">
        <v>155.19</v>
      </c>
      <c r="C5" s="2779" t="s">
        <v>2933</v>
      </c>
      <c r="D5" s="2779">
        <f ca="1">[2]结果表!$G$20</f>
        <v>31989</v>
      </c>
      <c r="E5" s="1926" t="s">
        <v>2943</v>
      </c>
      <c r="F5" s="2779"/>
    </row>
    <row r="6" spans="1:6">
      <c r="A6" s="2779">
        <v>1003</v>
      </c>
      <c r="B6" s="2779">
        <v>67.400000000000006</v>
      </c>
      <c r="C6" s="2779" t="s">
        <v>2934</v>
      </c>
      <c r="D6" s="2779">
        <f ca="1">[3]结果表!$G$20</f>
        <v>36203</v>
      </c>
      <c r="E6" s="1926" t="s">
        <v>2944</v>
      </c>
      <c r="F6" s="2779"/>
    </row>
    <row r="7" spans="1:6">
      <c r="A7" s="2779">
        <v>1006</v>
      </c>
      <c r="B7" s="2779">
        <v>118.42</v>
      </c>
      <c r="C7" s="2779" t="s">
        <v>2935</v>
      </c>
      <c r="D7" s="2779">
        <f ca="1">[4]结果表!$G$19</f>
        <v>32570</v>
      </c>
      <c r="E7" s="1926" t="s">
        <v>2941</v>
      </c>
      <c r="F7" s="2779"/>
    </row>
    <row r="8" spans="1:6">
      <c r="A8" s="2779">
        <v>1008</v>
      </c>
      <c r="B8" s="2779">
        <v>156.84</v>
      </c>
      <c r="C8" s="2779" t="s">
        <v>2936</v>
      </c>
      <c r="D8" s="2779">
        <f ca="1">[5]结果表!$G$20</f>
        <v>31989</v>
      </c>
      <c r="E8" s="1926" t="s">
        <v>2945</v>
      </c>
      <c r="F8" s="2779"/>
    </row>
    <row r="9" spans="1:6">
      <c r="A9" s="2779">
        <v>1009</v>
      </c>
      <c r="B9" s="2779">
        <v>60.85</v>
      </c>
      <c r="C9" s="2779" t="s">
        <v>2936</v>
      </c>
      <c r="D9" s="2779">
        <f ca="1">[6]结果表!$G$20</f>
        <v>36147</v>
      </c>
      <c r="E9" s="1926" t="s">
        <v>2945</v>
      </c>
      <c r="F9" s="2779"/>
    </row>
    <row r="10" spans="1:6">
      <c r="A10" s="2779">
        <v>1010</v>
      </c>
      <c r="B10" s="2779">
        <v>155.19</v>
      </c>
      <c r="C10" s="2779" t="s">
        <v>2937</v>
      </c>
      <c r="D10" s="2779">
        <f ca="1">[7]结果表!$G$20</f>
        <v>31989</v>
      </c>
      <c r="E10" s="1926" t="s">
        <v>2946</v>
      </c>
      <c r="F10" s="2779"/>
    </row>
    <row r="11" spans="1:6">
      <c r="A11" s="2779">
        <v>1011</v>
      </c>
      <c r="B11" s="2779">
        <v>59.21</v>
      </c>
      <c r="C11" s="2779" t="s">
        <v>2938</v>
      </c>
      <c r="D11" s="2779">
        <f ca="1">[8]结果表!$G$20</f>
        <v>36259</v>
      </c>
      <c r="E11" s="1926" t="s">
        <v>2942</v>
      </c>
      <c r="F11" s="2779"/>
    </row>
  </sheetData>
  <mergeCells count="1">
    <mergeCell ref="A1:F1"/>
  </mergeCells>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809" t="str">
        <f>IF(项目基本情况!D5="房地产市场价值","估价结果一览表","结果表-2")</f>
        <v>估价结果一览表</v>
      </c>
      <c r="B1" s="2809"/>
      <c r="C1" s="2809"/>
      <c r="D1" s="2809"/>
      <c r="E1" s="2809"/>
      <c r="F1" s="2809"/>
      <c r="G1" s="2809"/>
      <c r="H1" s="2809"/>
      <c r="I1" s="2809"/>
    </row>
    <row r="2" spans="1:9" ht="30" customHeight="1" thickTop="1">
      <c r="A2" s="2810" t="s">
        <v>1272</v>
      </c>
      <c r="B2" s="2810" t="s">
        <v>1273</v>
      </c>
      <c r="C2" s="2810" t="s">
        <v>1274</v>
      </c>
      <c r="D2" s="2810" t="str">
        <f>IF('数据-取费表'!E3="否",结果表!D119,'结果表 (1修多)'!D122)</f>
        <v>出让国有建设用地使用权价值</v>
      </c>
      <c r="E2" s="2810"/>
      <c r="F2" s="2810" t="s">
        <v>1275</v>
      </c>
      <c r="G2" s="2810"/>
      <c r="H2" s="2810" t="s">
        <v>1276</v>
      </c>
      <c r="I2" s="2810"/>
    </row>
    <row r="3" spans="1:9" ht="15">
      <c r="A3" s="2803"/>
      <c r="B3" s="2803"/>
      <c r="C3" s="2803"/>
      <c r="D3" s="1048" t="s">
        <v>1277</v>
      </c>
      <c r="E3" s="1048" t="s">
        <v>1278</v>
      </c>
      <c r="F3" s="1048" t="s">
        <v>1277</v>
      </c>
      <c r="G3" s="1048" t="s">
        <v>1279</v>
      </c>
      <c r="H3" s="1048" t="s">
        <v>1277</v>
      </c>
      <c r="I3" s="1048" t="s">
        <v>1279</v>
      </c>
    </row>
    <row r="4" spans="1:9" ht="46.5" customHeight="1">
      <c r="A4" s="1048" t="str">
        <f>项目基本情况!I1</f>
        <v>北京市房地产</v>
      </c>
      <c r="B4" s="1048">
        <f>结果表!B121</f>
        <v>1</v>
      </c>
      <c r="C4" s="1048">
        <f>结果表!C121</f>
        <v>0</v>
      </c>
      <c r="D4" s="1048">
        <f ca="1">IF('数据-取费表'!E3="否",结果表!D121,'结果表 (1修多)'!D124)</f>
        <v>28499</v>
      </c>
      <c r="E4" s="1048">
        <f ca="1">IF('数据-取费表'!E3="否",结果表!E121,'结果表 (1修多)'!E124)</f>
        <v>28499</v>
      </c>
      <c r="F4" s="1048">
        <f ca="1">IF('数据-取费表'!E3="否",结果表!F121,'结果表 (1修多)'!F124)</f>
        <v>4071</v>
      </c>
      <c r="G4" s="1048">
        <f ca="1">IF('数据-取费表'!E3="否",结果表!G121,'结果表 (1修多)'!G124)</f>
        <v>4071</v>
      </c>
      <c r="H4" s="1048">
        <f ca="1">IF('数据-取费表'!E3="否",结果表!H121,'结果表 (1修多)'!H124)</f>
        <v>32570</v>
      </c>
      <c r="I4" s="1048">
        <f ca="1">IF('数据-取费表'!E3="否",结果表!I121,'结果表 (1修多)'!I124)</f>
        <v>32570</v>
      </c>
    </row>
    <row r="5" spans="1:9" ht="15">
      <c r="A5" s="2803" t="s">
        <v>1280</v>
      </c>
      <c r="B5" s="2803"/>
      <c r="C5" s="2803"/>
      <c r="D5" s="2804" t="str">
        <f ca="1">IF('数据-取费表'!E3="否",结果表!D122,'结果表 (1修多)'!D125)</f>
        <v>贰万捌仟肆佰玖拾玖元整</v>
      </c>
      <c r="E5" s="2804"/>
      <c r="F5" s="2804" t="str">
        <f ca="1">IF('数据-取费表'!E3="否",结果表!F122,'结果表 (1修多)'!F125)</f>
        <v>肆仟零柒拾壹元整</v>
      </c>
      <c r="G5" s="2804"/>
      <c r="H5" s="2804" t="str">
        <f ca="1">IF('数据-取费表'!E3="否",结果表!H122,'结果表 (1修多)'!H125)</f>
        <v>叁万贰仟伍佰柒拾元整</v>
      </c>
      <c r="I5" s="2804"/>
    </row>
    <row r="6" spans="1:9" ht="15.75">
      <c r="A6" s="2805" t="str">
        <f>IF('数据-取费表'!E3="否",结果表!A123,'结果表 (1修多)'!A126)</f>
        <v>——</v>
      </c>
      <c r="B6" s="2805"/>
      <c r="C6" s="2805"/>
      <c r="D6" s="2805">
        <f>IF('数据-取费表'!E3="否",结果表!D123,'结果表 (1修多)'!D126)</f>
        <v>0</v>
      </c>
      <c r="E6" s="2805"/>
      <c r="F6" s="2805"/>
      <c r="G6" s="2805"/>
      <c r="H6" s="2805"/>
      <c r="I6" s="2805"/>
    </row>
    <row r="7" spans="1:9" ht="15">
      <c r="A7" s="2803" t="s">
        <v>1280</v>
      </c>
      <c r="B7" s="2803"/>
      <c r="C7" s="2803"/>
      <c r="D7" s="2811">
        <f>IF('数据-取费表'!E3="否",结果表!D124,'结果表 (1修多)'!D127)</f>
        <v>0</v>
      </c>
      <c r="E7" s="2812"/>
      <c r="F7" s="2812"/>
      <c r="G7" s="2812"/>
      <c r="H7" s="2812"/>
      <c r="I7" s="2813"/>
    </row>
    <row r="8" spans="1:9" ht="15.75">
      <c r="A8" s="2805" t="str">
        <f>IF('数据-取费表'!E3="否",结果表!A125,'结果表 (1修多)'!A128)</f>
        <v>——</v>
      </c>
      <c r="B8" s="2805"/>
      <c r="C8" s="2805"/>
      <c r="D8" s="2805">
        <f ca="1">IF('数据-取费表'!E3="否",结果表!D125,'结果表 (1修多)'!D128)</f>
        <v>32570</v>
      </c>
      <c r="E8" s="2805"/>
      <c r="F8" s="2805"/>
      <c r="G8" s="2805"/>
      <c r="H8" s="2805"/>
      <c r="I8" s="2805"/>
    </row>
    <row r="9" spans="1:9" ht="15">
      <c r="A9" s="2803" t="s">
        <v>1280</v>
      </c>
      <c r="B9" s="2803"/>
      <c r="C9" s="2803"/>
      <c r="D9" s="2804">
        <f ca="1">IF('数据-取费表'!E3="否",结果表!D126,'结果表 (1修多)'!D129)</f>
        <v>32570</v>
      </c>
      <c r="E9" s="2804"/>
      <c r="F9" s="2804"/>
      <c r="G9" s="2804"/>
      <c r="H9" s="2804"/>
      <c r="I9" s="2804"/>
    </row>
    <row r="10" spans="1:9" ht="15.75">
      <c r="A10" s="2805" t="str">
        <f>IF('数据-取费表'!E3="否",结果表!A127,'结果表 (1修多)'!A130)</f>
        <v>——</v>
      </c>
      <c r="B10" s="2805"/>
      <c r="C10" s="2805"/>
      <c r="D10" s="2805" t="str">
        <f>IF('数据-取费表'!E3="否",结果表!D127,'结果表 (1修多)'!D129)</f>
        <v>——</v>
      </c>
      <c r="E10" s="2805"/>
      <c r="F10" s="2805"/>
      <c r="G10" s="2805"/>
      <c r="H10" s="2805"/>
      <c r="I10" s="2805"/>
    </row>
    <row r="11" spans="1:9" ht="15">
      <c r="A11" s="2803" t="s">
        <v>1280</v>
      </c>
      <c r="B11" s="2803"/>
      <c r="C11" s="2803"/>
      <c r="D11" s="2804" t="str">
        <f>IF('数据-取费表'!E3="否",结果表!D128,'结果表 (1修多)'!D131)</f>
        <v>——</v>
      </c>
      <c r="E11" s="2804"/>
      <c r="F11" s="2804"/>
      <c r="G11" s="2804"/>
      <c r="H11" s="2804"/>
      <c r="I11" s="2804"/>
    </row>
    <row r="12" spans="1:9" ht="15.75">
      <c r="A12" s="2805" t="str">
        <f>IF('数据-取费表'!E3="否",结果表!A129,'结果表 (1修多)'!A132)</f>
        <v>——</v>
      </c>
      <c r="B12" s="2805"/>
      <c r="C12" s="2805"/>
      <c r="D12" s="2805" t="str">
        <f>IF('数据-取费表'!E3="否",结果表!D129,'结果表 (1修多)'!D132)</f>
        <v>——</v>
      </c>
      <c r="E12" s="2805"/>
      <c r="F12" s="2805"/>
      <c r="G12" s="2805"/>
      <c r="H12" s="2805"/>
      <c r="I12" s="2805"/>
    </row>
    <row r="13" spans="1:9" ht="15.75" thickBot="1">
      <c r="A13" s="2806" t="s">
        <v>1280</v>
      </c>
      <c r="B13" s="2806"/>
      <c r="C13" s="2806"/>
      <c r="D13" s="2807">
        <f>IF('数据-取费表'!E3="否",结果表!D130,'结果表 (1修多)'!D133)</f>
        <v>0</v>
      </c>
      <c r="E13" s="2807"/>
      <c r="F13" s="2807"/>
      <c r="G13" s="2807"/>
      <c r="H13" s="2807"/>
      <c r="I13" s="2807"/>
    </row>
    <row r="14" spans="1:9" ht="15" thickTop="1">
      <c r="A14" s="2808" t="str">
        <f>IF('数据-取费表'!E3="否",结果表!A131,'结果表 (1修多)'!A134)</f>
        <v>单位：平方米、元、元/平方米（币种：人民币）</v>
      </c>
      <c r="B14" s="2808"/>
      <c r="C14" s="2808"/>
      <c r="D14" s="2808"/>
      <c r="E14" s="2808"/>
      <c r="F14" s="2808"/>
      <c r="G14" s="2808"/>
      <c r="H14" s="2808"/>
      <c r="I14" s="2808"/>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15" t="s">
        <v>1294</v>
      </c>
      <c r="B1" s="2815"/>
      <c r="C1" s="2815"/>
      <c r="D1" s="2815"/>
    </row>
    <row r="2" spans="1:4" ht="18">
      <c r="A2" s="2814" t="s">
        <v>1282</v>
      </c>
      <c r="B2" s="2814"/>
      <c r="C2" s="2814"/>
      <c r="D2" s="2814"/>
    </row>
    <row r="3" spans="1:4" ht="18.75">
      <c r="A3" s="1954" t="s">
        <v>1283</v>
      </c>
      <c r="B3" s="1954" t="s">
        <v>1284</v>
      </c>
      <c r="C3" s="1954" t="s">
        <v>1285</v>
      </c>
      <c r="D3" s="1954" t="s">
        <v>1286</v>
      </c>
    </row>
    <row r="4" spans="1:4" ht="56.25" customHeight="1">
      <c r="A4" s="1955" t="str">
        <f>项目基本情况!B3</f>
        <v>叶凌</v>
      </c>
      <c r="B4" s="1956">
        <f ca="1">项目基本情况!C3</f>
        <v>1119970111</v>
      </c>
      <c r="C4" s="1957"/>
      <c r="D4" s="1958" t="s">
        <v>1295</v>
      </c>
    </row>
    <row r="5" spans="1:4" ht="56.25" customHeight="1">
      <c r="A5" s="1955" t="str">
        <f>项目基本情况!D3</f>
        <v>杨红英</v>
      </c>
      <c r="B5" s="1956">
        <f ca="1">项目基本情况!E3</f>
        <v>1120070085</v>
      </c>
      <c r="C5" s="1959"/>
      <c r="D5" s="1958" t="s">
        <v>1295</v>
      </c>
    </row>
    <row r="6" spans="1:4" ht="12" customHeight="1">
      <c r="A6" s="1955"/>
      <c r="B6" s="1956"/>
      <c r="C6" s="1960"/>
      <c r="D6" s="1958"/>
    </row>
    <row r="7" spans="1:4" ht="18">
      <c r="A7" s="2814" t="s">
        <v>1287</v>
      </c>
      <c r="B7" s="2814"/>
      <c r="C7" s="2814"/>
      <c r="D7" s="2814"/>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816" t="s">
        <v>1296</v>
      </c>
      <c r="B12" s="2817"/>
      <c r="C12" s="2817"/>
      <c r="D12" s="2817"/>
    </row>
    <row r="13" spans="1:4" ht="15.75">
      <c r="A13" s="281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7"/>
      <c r="C13" s="2817"/>
      <c r="D13" s="2817"/>
    </row>
    <row r="14" spans="1:4" ht="30" customHeight="1">
      <c r="A14" s="2816" t="str">
        <f>IF(项目基本情况!D4="抵押","3.抵押双方在办理抵押登记手续时，应使用本公司出具的正式《房地产评估报告》，特提醒报告使用者注意。","——")</f>
        <v>——</v>
      </c>
      <c r="B14" s="2817"/>
      <c r="C14" s="2817"/>
      <c r="D14" s="2817"/>
    </row>
    <row r="15" spans="1:4" ht="15.75" customHeight="1">
      <c r="A15" s="2816" t="str">
        <f>IF(项目基本情况!D4="抵押","4.本次评估估价师所知悉的法定优先受偿款情况说明如下：","——")</f>
        <v>——</v>
      </c>
      <c r="B15" s="2817"/>
      <c r="C15" s="2817"/>
      <c r="D15" s="2817"/>
    </row>
    <row r="16" spans="1:4" ht="75" customHeight="1">
      <c r="A16" s="2816" t="str">
        <f>IF(项目基本情况!D4="抵押",CONCATENATE(项目基本情况!J13,项目基本情况!J14,项目基本情况!J15),"——")</f>
        <v>——</v>
      </c>
      <c r="B16" s="2816"/>
      <c r="C16" s="2816"/>
      <c r="D16" s="2816"/>
    </row>
    <row r="17" spans="1:4" ht="63.75" customHeight="1">
      <c r="A17" s="2818" t="s">
        <v>1297</v>
      </c>
      <c r="B17" s="2818"/>
      <c r="C17" s="2818"/>
      <c r="D17" s="2818"/>
    </row>
    <row r="18" spans="1:4" ht="15.75" customHeight="1">
      <c r="A18" s="2816" t="str">
        <f>IF(项目基本情况!D4="抵押",结果表!K106,"——")</f>
        <v>——</v>
      </c>
      <c r="B18" s="2816"/>
      <c r="C18" s="2816"/>
      <c r="D18" s="2816"/>
    </row>
    <row r="19" spans="1:4" ht="46.5" customHeight="1">
      <c r="A19" s="281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6"/>
      <c r="C19" s="2816"/>
      <c r="D19" s="2816"/>
    </row>
    <row r="20" spans="1:4" ht="15">
      <c r="A20" s="2818" t="s">
        <v>1290</v>
      </c>
      <c r="B20" s="2818"/>
      <c r="C20" s="2818"/>
      <c r="D20" s="2818"/>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824" t="s">
        <v>1376</v>
      </c>
      <c r="B15" s="2819" t="s">
        <v>1377</v>
      </c>
      <c r="C15" s="2820"/>
    </row>
    <row r="16" spans="1:7" ht="14.25">
      <c r="A16" s="2825"/>
      <c r="B16" s="2819" t="s">
        <v>1378</v>
      </c>
      <c r="C16" s="2820"/>
    </row>
    <row r="17" spans="1:3" ht="14.25">
      <c r="A17" s="2825"/>
      <c r="B17" s="2819" t="s">
        <v>1379</v>
      </c>
      <c r="C17" s="2820"/>
    </row>
    <row r="18" spans="1:3" ht="14.25">
      <c r="A18" s="2826"/>
      <c r="B18" s="2821" t="s">
        <v>1380</v>
      </c>
      <c r="C18" s="2820"/>
    </row>
    <row r="19" spans="1:3" ht="14.25">
      <c r="A19" s="1978" t="s">
        <v>1381</v>
      </c>
      <c r="B19" s="1979"/>
      <c r="C19" s="1980"/>
    </row>
    <row r="20" spans="1:3" ht="14.25">
      <c r="A20" s="2822" t="s">
        <v>1382</v>
      </c>
      <c r="B20" s="2821" t="s">
        <v>1383</v>
      </c>
      <c r="C20" s="2820"/>
    </row>
    <row r="21" spans="1:3" ht="14.25">
      <c r="A21" s="2822"/>
      <c r="B21" s="2821" t="s">
        <v>1384</v>
      </c>
      <c r="C21" s="2820"/>
    </row>
    <row r="22" spans="1:3" ht="14.25">
      <c r="A22" s="2822"/>
      <c r="B22" s="2821" t="s">
        <v>1385</v>
      </c>
      <c r="C22" s="2820"/>
    </row>
    <row r="23" spans="1:3" ht="14.25">
      <c r="A23" s="2822"/>
      <c r="B23" s="2823" t="s">
        <v>1386</v>
      </c>
      <c r="C23" s="1981" t="s">
        <v>1387</v>
      </c>
    </row>
    <row r="24" spans="1:3" ht="14.25">
      <c r="A24" s="2822"/>
      <c r="B24" s="2823"/>
      <c r="C24" s="1981" t="s">
        <v>1388</v>
      </c>
    </row>
    <row r="25" spans="1:3" ht="14.25">
      <c r="A25" s="2822"/>
      <c r="B25" s="2823"/>
      <c r="C25" s="1981" t="s">
        <v>1389</v>
      </c>
    </row>
    <row r="26" spans="1:3" ht="14.25">
      <c r="A26" s="2822"/>
      <c r="B26" s="2823"/>
      <c r="C26" s="1981" t="s">
        <v>1390</v>
      </c>
    </row>
    <row r="27" spans="1:3" ht="14.25">
      <c r="A27" s="2822"/>
      <c r="B27" s="2823"/>
      <c r="C27" s="1981" t="s">
        <v>1391</v>
      </c>
    </row>
    <row r="28" spans="1:3" ht="14.25">
      <c r="A28" s="2822"/>
      <c r="B28" s="2823"/>
      <c r="C28" s="1981" t="s">
        <v>1392</v>
      </c>
    </row>
    <row r="29" spans="1:3" ht="14.25">
      <c r="A29" s="2822"/>
      <c r="B29" s="2823"/>
      <c r="C29" s="1981" t="s">
        <v>1393</v>
      </c>
    </row>
    <row r="30" spans="1:3" ht="14.25">
      <c r="A30" s="2822"/>
      <c r="B30" s="2823"/>
      <c r="C30" s="1981" t="s">
        <v>1394</v>
      </c>
    </row>
    <row r="31" spans="1:3" ht="14.25">
      <c r="A31" s="2822"/>
      <c r="B31" s="2823"/>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43539</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2812</v>
      </c>
      <c r="B14" s="1030">
        <f ca="1">IF(C14&lt;B2,"已过期",1120040230)</f>
        <v>1120040230</v>
      </c>
      <c r="C14" s="2727">
        <v>43835</v>
      </c>
      <c r="D14" s="1811" t="str">
        <f t="shared" ca="1" si="0"/>
        <v>苏海（注册号：1120040230）</v>
      </c>
      <c r="E14" s="2728" t="s">
        <v>2812</v>
      </c>
      <c r="F14" s="1030">
        <f ca="1">IF(G14&lt;B2,"已过期",98030020)</f>
        <v>98030020</v>
      </c>
      <c r="G14" s="1038">
        <v>47118</v>
      </c>
      <c r="H14" s="1812" t="str">
        <f t="shared" ca="1" si="1"/>
        <v>苏海（注册号：98030020）</v>
      </c>
    </row>
    <row r="15" spans="1:8" ht="24" customHeight="1">
      <c r="A15" s="1813" t="s">
        <v>2814</v>
      </c>
      <c r="B15" s="1030">
        <f ca="1">IF(C15&lt;B2,"已过期",1120070085)</f>
        <v>1120070085</v>
      </c>
      <c r="C15" s="2727">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8" t="s">
        <v>2813</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27" t="s">
        <v>766</v>
      </c>
      <c r="B25" s="2827"/>
      <c r="C25" s="2827"/>
      <c r="D25" s="2827"/>
      <c r="E25" s="2827"/>
      <c r="F25" s="2827"/>
      <c r="G25" s="2827"/>
      <c r="H25" s="2827"/>
    </row>
    <row r="26" spans="1:8" s="1033" customFormat="1" ht="24" customHeight="1">
      <c r="A26" s="2828" t="s">
        <v>767</v>
      </c>
      <c r="B26" s="2828"/>
      <c r="C26" s="2828"/>
      <c r="D26" s="1061"/>
      <c r="E26" s="1061"/>
      <c r="F26" s="2828" t="s">
        <v>768</v>
      </c>
      <c r="G26" s="2828"/>
      <c r="H26" s="2828"/>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5" priority="85">
      <formula>AND($C24-TODAY()&lt;30,TODAY()&lt;$C24)</formula>
    </cfRule>
  </conditionalFormatting>
  <conditionalFormatting sqref="C28:E28">
    <cfRule type="expression" dxfId="214" priority="84">
      <formula>AND($C28-TODAY()&lt;30,TODAY()&lt;$C28)</formula>
    </cfRule>
  </conditionalFormatting>
  <conditionalFormatting sqref="C28:E28 G4">
    <cfRule type="cellIs" dxfId="213" priority="86" stopIfTrue="1" operator="lessThan">
      <formula>$B$2</formula>
    </cfRule>
  </conditionalFormatting>
  <conditionalFormatting sqref="D5">
    <cfRule type="expression" dxfId="212" priority="81">
      <formula>AND($C5-TODAY()&lt;30,TODAY()&lt;$C5)</formula>
    </cfRule>
  </conditionalFormatting>
  <conditionalFormatting sqref="D5 G5">
    <cfRule type="cellIs" dxfId="211" priority="82" stopIfTrue="1" operator="lessThan">
      <formula>$B$2</formula>
    </cfRule>
  </conditionalFormatting>
  <conditionalFormatting sqref="G6 G8 G10">
    <cfRule type="cellIs" dxfId="210" priority="80" stopIfTrue="1" operator="lessThan">
      <formula>$B$2</formula>
    </cfRule>
  </conditionalFormatting>
  <conditionalFormatting sqref="D24 C7:D7 D4:D6 C10:D12 D8:D9 C16:D23 D13:D15">
    <cfRule type="expression" dxfId="209" priority="78">
      <formula>AND($C4-TODAY()&lt;30,TODAY()&lt;$C4)</formula>
    </cfRule>
  </conditionalFormatting>
  <conditionalFormatting sqref="G7 G9 G11 D24 C7:D7 D4:D6 C10:D12 D8:D9 C16:D23 D13:D15">
    <cfRule type="cellIs" dxfId="208" priority="79" stopIfTrue="1" operator="lessThan">
      <formula>$B$2</formula>
    </cfRule>
  </conditionalFormatting>
  <conditionalFormatting sqref="C12:D12">
    <cfRule type="expression" dxfId="207" priority="76">
      <formula>AND($C12-TODAY()&lt;30,TODAY()&lt;$C12)</formula>
    </cfRule>
  </conditionalFormatting>
  <conditionalFormatting sqref="C12:D12">
    <cfRule type="cellIs" dxfId="206" priority="77" stopIfTrue="1" operator="lessThan">
      <formula>$B$2</formula>
    </cfRule>
  </conditionalFormatting>
  <conditionalFormatting sqref="D14">
    <cfRule type="expression" dxfId="205" priority="72">
      <formula>AND($C14-TODAY()&lt;30,TODAY()&lt;$C14)</formula>
    </cfRule>
  </conditionalFormatting>
  <conditionalFormatting sqref="D14">
    <cfRule type="cellIs" dxfId="204" priority="73" stopIfTrue="1" operator="lessThan">
      <formula>$B$2</formula>
    </cfRule>
  </conditionalFormatting>
  <conditionalFormatting sqref="C16:D16">
    <cfRule type="expression" dxfId="203" priority="70">
      <formula>AND($C16-TODAY()&lt;30,TODAY()&lt;$C16)</formula>
    </cfRule>
  </conditionalFormatting>
  <conditionalFormatting sqref="C16:D16">
    <cfRule type="cellIs" dxfId="202" priority="71" stopIfTrue="1" operator="lessThan">
      <formula>$B$2</formula>
    </cfRule>
  </conditionalFormatting>
  <conditionalFormatting sqref="C18:D18">
    <cfRule type="expression" dxfId="201" priority="68">
      <formula>AND($C18-TODAY()&lt;30,TODAY()&lt;$C18)</formula>
    </cfRule>
  </conditionalFormatting>
  <conditionalFormatting sqref="C18:D18">
    <cfRule type="cellIs" dxfId="200" priority="69" stopIfTrue="1" operator="lessThan">
      <formula>$B$2</formula>
    </cfRule>
  </conditionalFormatting>
  <conditionalFormatting sqref="C20:D20">
    <cfRule type="expression" dxfId="199" priority="66">
      <formula>AND($C20-TODAY()&lt;30,TODAY()&lt;$C20)</formula>
    </cfRule>
  </conditionalFormatting>
  <conditionalFormatting sqref="C20:D20">
    <cfRule type="cellIs" dxfId="198" priority="67" stopIfTrue="1" operator="lessThan">
      <formula>$B$2</formula>
    </cfRule>
  </conditionalFormatting>
  <conditionalFormatting sqref="C22:D22">
    <cfRule type="expression" dxfId="197" priority="64">
      <formula>AND($C22-TODAY()&lt;30,TODAY()&lt;$C22)</formula>
    </cfRule>
  </conditionalFormatting>
  <conditionalFormatting sqref="C22:D22">
    <cfRule type="cellIs" dxfId="196" priority="65" stopIfTrue="1" operator="lessThan">
      <formula>$B$2</formula>
    </cfRule>
  </conditionalFormatting>
  <conditionalFormatting sqref="D15">
    <cfRule type="expression" dxfId="195" priority="62">
      <formula>AND($C15-TODAY()&lt;30,TODAY()&lt;$C15)</formula>
    </cfRule>
  </conditionalFormatting>
  <conditionalFormatting sqref="D15">
    <cfRule type="cellIs" dxfId="194" priority="63" stopIfTrue="1" operator="lessThan">
      <formula>$B$2</formula>
    </cfRule>
  </conditionalFormatting>
  <conditionalFormatting sqref="C17:D17">
    <cfRule type="expression" dxfId="193" priority="60">
      <formula>AND($C17-TODAY()&lt;30,TODAY()&lt;$C17)</formula>
    </cfRule>
  </conditionalFormatting>
  <conditionalFormatting sqref="C17:D17">
    <cfRule type="cellIs" dxfId="192" priority="61" stopIfTrue="1" operator="lessThan">
      <formula>$B$2</formula>
    </cfRule>
  </conditionalFormatting>
  <conditionalFormatting sqref="C19:D19">
    <cfRule type="expression" dxfId="191" priority="58">
      <formula>AND($C19-TODAY()&lt;30,TODAY()&lt;$C19)</formula>
    </cfRule>
  </conditionalFormatting>
  <conditionalFormatting sqref="C19:D19">
    <cfRule type="cellIs" dxfId="190" priority="59" stopIfTrue="1" operator="lessThan">
      <formula>$B$2</formula>
    </cfRule>
  </conditionalFormatting>
  <conditionalFormatting sqref="C21:D21">
    <cfRule type="expression" dxfId="189" priority="56">
      <formula>AND($C21-TODAY()&lt;30,TODAY()&lt;$C21)</formula>
    </cfRule>
  </conditionalFormatting>
  <conditionalFormatting sqref="C21:D21">
    <cfRule type="cellIs" dxfId="188" priority="57" stopIfTrue="1" operator="lessThan">
      <formula>$B$2</formula>
    </cfRule>
  </conditionalFormatting>
  <conditionalFormatting sqref="C23:D23">
    <cfRule type="expression" dxfId="187" priority="54">
      <formula>AND($C23-TODAY()&lt;30,TODAY()&lt;$C23)</formula>
    </cfRule>
  </conditionalFormatting>
  <conditionalFormatting sqref="C23:D23">
    <cfRule type="cellIs" dxfId="186" priority="55" stopIfTrue="1" operator="lessThan">
      <formula>$B$2</formula>
    </cfRule>
  </conditionalFormatting>
  <conditionalFormatting sqref="G16">
    <cfRule type="cellIs" dxfId="185" priority="52" stopIfTrue="1" operator="lessThan">
      <formula>$B$2</formula>
    </cfRule>
  </conditionalFormatting>
  <conditionalFormatting sqref="G18">
    <cfRule type="cellIs" dxfId="184" priority="51" stopIfTrue="1" operator="lessThan">
      <formula>$B$2</formula>
    </cfRule>
  </conditionalFormatting>
  <conditionalFormatting sqref="G22">
    <cfRule type="cellIs" dxfId="183" priority="50" stopIfTrue="1" operator="lessThan">
      <formula>$B$2</formula>
    </cfRule>
  </conditionalFormatting>
  <conditionalFormatting sqref="G21">
    <cfRule type="cellIs" dxfId="182" priority="49" stopIfTrue="1" operator="lessThan">
      <formula>$B$2</formula>
    </cfRule>
  </conditionalFormatting>
  <conditionalFormatting sqref="B4:B13 F4:F13 B16:B23 F16 F18:F23">
    <cfRule type="cellIs" dxfId="181" priority="47" stopIfTrue="1" operator="equal">
      <formula>"已过期"</formula>
    </cfRule>
  </conditionalFormatting>
  <conditionalFormatting sqref="H28">
    <cfRule type="expression" dxfId="180" priority="45">
      <formula>AND($F28-TODAY()&lt;30,TODAY()&lt;$F28)</formula>
    </cfRule>
  </conditionalFormatting>
  <conditionalFormatting sqref="H28">
    <cfRule type="cellIs" dxfId="179" priority="46" stopIfTrue="1" operator="lessThan">
      <formula>$B$2</formula>
    </cfRule>
  </conditionalFormatting>
  <conditionalFormatting sqref="H29">
    <cfRule type="expression" dxfId="178" priority="43" stopIfTrue="1">
      <formula>AND($F29-TODAY()&lt;30,TODAY()&lt;$F29)</formula>
    </cfRule>
  </conditionalFormatting>
  <conditionalFormatting sqref="H29">
    <cfRule type="cellIs" dxfId="177" priority="44" stopIfTrue="1" operator="lessThan">
      <formula>$B$2</formula>
    </cfRule>
  </conditionalFormatting>
  <conditionalFormatting sqref="C5">
    <cfRule type="expression" dxfId="176" priority="41">
      <formula>AND($C5-TODAY()&lt;30,TODAY()&lt;$C5)</formula>
    </cfRule>
  </conditionalFormatting>
  <conditionalFormatting sqref="C5">
    <cfRule type="cellIs" dxfId="175" priority="42" stopIfTrue="1" operator="lessThan">
      <formula>$B$2</formula>
    </cfRule>
  </conditionalFormatting>
  <conditionalFormatting sqref="C4:C6">
    <cfRule type="expression" dxfId="174" priority="39">
      <formula>AND($C4-TODAY()&lt;30,TODAY()&lt;$C4)</formula>
    </cfRule>
  </conditionalFormatting>
  <conditionalFormatting sqref="C4:C6">
    <cfRule type="cellIs" dxfId="173" priority="40" stopIfTrue="1" operator="lessThan">
      <formula>$B$2</formula>
    </cfRule>
  </conditionalFormatting>
  <conditionalFormatting sqref="C8">
    <cfRule type="expression" dxfId="172" priority="37">
      <formula>AND($C8-TODAY()&lt;30,TODAY()&lt;$C8)</formula>
    </cfRule>
  </conditionalFormatting>
  <conditionalFormatting sqref="C8">
    <cfRule type="cellIs" dxfId="171" priority="38" stopIfTrue="1" operator="lessThan">
      <formula>$B$2</formula>
    </cfRule>
  </conditionalFormatting>
  <conditionalFormatting sqref="C9">
    <cfRule type="expression" dxfId="170" priority="35">
      <formula>AND($C9-TODAY()&lt;30,TODAY()&lt;$C9)</formula>
    </cfRule>
  </conditionalFormatting>
  <conditionalFormatting sqref="C9">
    <cfRule type="cellIs" dxfId="169" priority="36" stopIfTrue="1" operator="lessThan">
      <formula>$B$2</formula>
    </cfRule>
  </conditionalFormatting>
  <conditionalFormatting sqref="C13">
    <cfRule type="expression" dxfId="168" priority="33">
      <formula>AND($C13-TODAY()&lt;30,TODAY()&lt;$C13)</formula>
    </cfRule>
  </conditionalFormatting>
  <conditionalFormatting sqref="C13">
    <cfRule type="cellIs" dxfId="167" priority="34" stopIfTrue="1" operator="lessThan">
      <formula>$B$2</formula>
    </cfRule>
  </conditionalFormatting>
  <conditionalFormatting sqref="F15">
    <cfRule type="cellIs" dxfId="166" priority="25" stopIfTrue="1" operator="equal">
      <formula>"已过期"</formula>
    </cfRule>
  </conditionalFormatting>
  <conditionalFormatting sqref="E15">
    <cfRule type="cellIs" dxfId="165" priority="24" stopIfTrue="1" operator="equal">
      <formula>"已过期"</formula>
    </cfRule>
  </conditionalFormatting>
  <conditionalFormatting sqref="A24:C24">
    <cfRule type="cellIs" dxfId="164" priority="23" stopIfTrue="1" operator="equal">
      <formula>"已过期"</formula>
    </cfRule>
  </conditionalFormatting>
  <conditionalFormatting sqref="E24:G24">
    <cfRule type="cellIs" dxfId="163" priority="22" stopIfTrue="1" operator="equal">
      <formula>"已过期"</formula>
    </cfRule>
  </conditionalFormatting>
  <conditionalFormatting sqref="G13">
    <cfRule type="cellIs" dxfId="162" priority="21" stopIfTrue="1" operator="lessThan">
      <formula>$B$2</formula>
    </cfRule>
  </conditionalFormatting>
  <conditionalFormatting sqref="G12">
    <cfRule type="cellIs" dxfId="161" priority="20" stopIfTrue="1" operator="lessThan">
      <formula>$B$2</formula>
    </cfRule>
  </conditionalFormatting>
  <conditionalFormatting sqref="G17">
    <cfRule type="cellIs" dxfId="160" priority="14" stopIfTrue="1" operator="lessThan">
      <formula>$B$2</formula>
    </cfRule>
  </conditionalFormatting>
  <conditionalFormatting sqref="F17">
    <cfRule type="cellIs" dxfId="159" priority="13" stopIfTrue="1" operator="equal">
      <formula>"已过期"</formula>
    </cfRule>
  </conditionalFormatting>
  <conditionalFormatting sqref="F14">
    <cfRule type="cellIs" dxfId="158" priority="12" stopIfTrue="1" operator="equal">
      <formula>"已过期"</formula>
    </cfRule>
  </conditionalFormatting>
  <conditionalFormatting sqref="G14">
    <cfRule type="cellIs" dxfId="157" priority="11" stopIfTrue="1" operator="lessThan">
      <formula>$B$2</formula>
    </cfRule>
  </conditionalFormatting>
  <conditionalFormatting sqref="C14:C15">
    <cfRule type="expression" dxfId="156" priority="9">
      <formula>AND($C14-TODAY()&lt;30,TODAY()&lt;$C14)</formula>
    </cfRule>
  </conditionalFormatting>
  <conditionalFormatting sqref="C14:C15">
    <cfRule type="cellIs" dxfId="155" priority="10" stopIfTrue="1" operator="lessThan">
      <formula>$B$2</formula>
    </cfRule>
  </conditionalFormatting>
  <conditionalFormatting sqref="C14">
    <cfRule type="expression" dxfId="154" priority="7">
      <formula>AND($C14-TODAY()&lt;30,TODAY()&lt;$C14)</formula>
    </cfRule>
  </conditionalFormatting>
  <conditionalFormatting sqref="C14">
    <cfRule type="cellIs" dxfId="153" priority="8" stopIfTrue="1" operator="lessThan">
      <formula>$B$2</formula>
    </cfRule>
  </conditionalFormatting>
  <conditionalFormatting sqref="C15">
    <cfRule type="expression" dxfId="152" priority="5">
      <formula>AND($C15-TODAY()&lt;30,TODAY()&lt;$C15)</formula>
    </cfRule>
  </conditionalFormatting>
  <conditionalFormatting sqref="C15">
    <cfRule type="cellIs" dxfId="151" priority="6" stopIfTrue="1" operator="lessThan">
      <formula>$B$2</formula>
    </cfRule>
  </conditionalFormatting>
  <conditionalFormatting sqref="B14">
    <cfRule type="cellIs" dxfId="150" priority="4" stopIfTrue="1" operator="equal">
      <formula>"已过期"</formula>
    </cfRule>
  </conditionalFormatting>
  <conditionalFormatting sqref="B15">
    <cfRule type="cellIs" dxfId="149" priority="3" stopIfTrue="1" operator="equal">
      <formula>"已过期"</formula>
    </cfRule>
  </conditionalFormatting>
  <conditionalFormatting sqref="A15">
    <cfRule type="cellIs" dxfId="148" priority="2" stopIfTrue="1" operator="equal">
      <formula>"已过期"</formula>
    </cfRule>
  </conditionalFormatting>
  <conditionalFormatting sqref="C15">
    <cfRule type="expression" dxfId="14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829"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row>
    <row r="54" spans="1:4">
      <c r="A54" s="2829"/>
      <c r="B54" s="9" t="s">
        <v>1532</v>
      </c>
      <c r="C54" s="9" t="s">
        <v>1533</v>
      </c>
    </row>
    <row r="55" spans="1:4">
      <c r="A55" s="2829"/>
      <c r="B55" s="9" t="s">
        <v>1534</v>
      </c>
      <c r="C55" s="9" t="s">
        <v>1535</v>
      </c>
    </row>
    <row r="56" spans="1:4">
      <c r="A56" s="2829"/>
      <c r="B56" s="9" t="s">
        <v>1536</v>
      </c>
      <c r="C56" s="9" t="s">
        <v>1537</v>
      </c>
    </row>
    <row r="57" spans="1:4">
      <c r="A57" s="2829"/>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出租案例</vt:lpstr>
      <vt:lpstr>9套结报表</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2019-03-15T07:40:49Z</dcterms:modified>
</cp:coreProperties>
</file>