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54-顺义华联\"/>
    </mc:Choice>
  </mc:AlternateContent>
  <xr:revisionPtr revIDLastSave="0" documentId="13_ncr:1_{C86263DC-D2C5-4209-A750-562B0BC089FA}" xr6:coauthVersionLast="47" xr6:coauthVersionMax="47" xr10:uidLastSave="{00000000-0000-0000-0000-000000000000}"/>
  <bookViews>
    <workbookView xWindow="0" yWindow="0" windowWidth="12144" windowHeight="12096"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办公" sheetId="34" state="hidden" r:id="rId34"/>
    <sheet name="成本法 (元)" sheetId="69" state="hidden" r:id="rId35"/>
    <sheet name="修正" sheetId="45" state="hidden" r:id="rId36"/>
    <sheet name="容积率修正" sheetId="46" state="hidden" r:id="rId37"/>
    <sheet name="成本法（废）" sheetId="11" state="hidden" r:id="rId38"/>
    <sheet name="收益法 (元)" sheetId="67" state="hidden" r:id="rId39"/>
    <sheet name="收益法" sheetId="15"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3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9">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3" i="4" l="1"/>
  <c r="E35" i="80" l="1"/>
  <c r="E43" i="80"/>
  <c r="D43" i="80"/>
  <c r="D42" i="43"/>
  <c r="S36" i="80" l="1"/>
  <c r="V31" i="80" l="1"/>
  <c r="W31" i="80"/>
  <c r="X31" i="80"/>
  <c r="Y31" i="80"/>
  <c r="Z31" i="80"/>
  <c r="AA31" i="80"/>
  <c r="AB31" i="80"/>
  <c r="U31" i="80"/>
  <c r="L28" i="80"/>
  <c r="O28" i="80" s="1"/>
  <c r="I27" i="80"/>
  <c r="J27" i="80" s="1"/>
  <c r="K27" i="80"/>
  <c r="I28" i="80"/>
  <c r="J28" i="80" s="1"/>
  <c r="I26" i="80"/>
  <c r="J26" i="80" s="1"/>
  <c r="U7" i="43"/>
  <c r="U3" i="43"/>
  <c r="U4" i="43"/>
  <c r="U5" i="43"/>
  <c r="U6" i="43"/>
  <c r="U2" i="43"/>
  <c r="D37" i="43"/>
  <c r="I16" i="3"/>
  <c r="M15" i="3"/>
  <c r="G19" i="6" s="1"/>
  <c r="J49" i="15"/>
  <c r="F105" i="34"/>
  <c r="G105" i="34" s="1"/>
  <c r="D105" i="34"/>
  <c r="C105" i="34" s="1"/>
  <c r="I67" i="34"/>
  <c r="H67" i="34" s="1"/>
  <c r="G67" i="34" s="1"/>
  <c r="F67" i="34" s="1"/>
  <c r="E67" i="34" s="1"/>
  <c r="D67" i="34" s="1"/>
  <c r="C67" i="34" s="1"/>
  <c r="Q28" i="80" l="1"/>
  <c r="R28" i="80"/>
  <c r="M28" i="80"/>
  <c r="K26" i="80"/>
  <c r="L26" i="80"/>
  <c r="N28" i="80"/>
  <c r="L27" i="80"/>
  <c r="S28" i="80"/>
  <c r="P28" i="80"/>
  <c r="K28" i="80"/>
  <c r="J49" i="67"/>
  <c r="M27" i="80" l="1"/>
  <c r="N27" i="80"/>
  <c r="O27" i="80"/>
  <c r="T28" i="80"/>
  <c r="T35" i="80" s="1"/>
  <c r="U28" i="80"/>
  <c r="O26" i="80"/>
  <c r="N26" i="80"/>
  <c r="M26" i="80"/>
  <c r="B21" i="1"/>
  <c r="N19" i="1"/>
  <c r="N21" i="1" s="1"/>
  <c r="N6" i="1" s="1"/>
  <c r="C60" i="78"/>
  <c r="D60" i="78" s="1"/>
  <c r="D53" i="78"/>
  <c r="D52" i="78"/>
  <c r="B51" i="78"/>
  <c r="B56" i="78" s="1"/>
  <c r="P27" i="80" l="1"/>
  <c r="R27" i="80"/>
  <c r="Q27" i="80"/>
  <c r="P26" i="80"/>
  <c r="R26" i="80"/>
  <c r="Q26" i="80"/>
  <c r="D51" i="78"/>
  <c r="W28" i="80"/>
  <c r="W35" i="80" s="1"/>
  <c r="U35" i="80"/>
  <c r="X28" i="80"/>
  <c r="V28" i="80"/>
  <c r="V35" i="80" s="1"/>
  <c r="B55" i="78"/>
  <c r="D55" i="78" s="1"/>
  <c r="C37" i="34"/>
  <c r="Y6" i="1"/>
  <c r="C51" i="78"/>
  <c r="C56" i="78" s="1"/>
  <c r="C58" i="78" s="1"/>
  <c r="B62" i="78"/>
  <c r="B54" i="78"/>
  <c r="D54" i="78" s="1"/>
  <c r="S27" i="80" l="1"/>
  <c r="T27" i="80"/>
  <c r="T34" i="80" s="1"/>
  <c r="U27" i="80"/>
  <c r="Z28" i="80"/>
  <c r="Z35" i="80" s="1"/>
  <c r="X35" i="80"/>
  <c r="AA28" i="80"/>
  <c r="Y28" i="80"/>
  <c r="Y35" i="80" s="1"/>
  <c r="D56" i="78"/>
  <c r="T26" i="80"/>
  <c r="T33" i="80" s="1"/>
  <c r="T36" i="80" s="1"/>
  <c r="U26" i="80"/>
  <c r="S26" i="80"/>
  <c r="I37" i="34"/>
  <c r="G37" i="34"/>
  <c r="E37" i="34"/>
  <c r="D58" i="78"/>
  <c r="D62" i="78" s="1"/>
  <c r="C62" i="78" s="1"/>
  <c r="U33" i="80" l="1"/>
  <c r="V26" i="80"/>
  <c r="V33" i="80" s="1"/>
  <c r="V36" i="80" s="1"/>
  <c r="W26" i="80"/>
  <c r="W33" i="80" s="1"/>
  <c r="X26" i="80"/>
  <c r="V27" i="80"/>
  <c r="V34" i="80" s="1"/>
  <c r="U34" i="80"/>
  <c r="X27" i="80"/>
  <c r="W27" i="80"/>
  <c r="W34" i="80" s="1"/>
  <c r="AA35" i="80"/>
  <c r="AB28" i="80"/>
  <c r="AB35" i="80" s="1"/>
  <c r="G14" i="73"/>
  <c r="F14" i="73"/>
  <c r="E14" i="73"/>
  <c r="X33" i="80" l="1"/>
  <c r="AA26" i="80"/>
  <c r="Z26" i="80"/>
  <c r="Z33" i="80" s="1"/>
  <c r="Y26" i="80"/>
  <c r="Y33" i="80" s="1"/>
  <c r="Y36" i="80" s="1"/>
  <c r="Y27" i="80"/>
  <c r="Y34" i="80" s="1"/>
  <c r="X34" i="80"/>
  <c r="AA27" i="80"/>
  <c r="Z27" i="80"/>
  <c r="Z34" i="80" s="1"/>
  <c r="W36" i="80"/>
  <c r="U3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Z36" i="80" l="1"/>
  <c r="AA33" i="80"/>
  <c r="AB26" i="80"/>
  <c r="AB33" i="80" s="1"/>
  <c r="AB36" i="80" s="1"/>
  <c r="AB27" i="80"/>
  <c r="AB34" i="80" s="1"/>
  <c r="AA34" i="80"/>
  <c r="X36" i="80"/>
  <c r="G15" i="73"/>
  <c r="F15" i="73"/>
  <c r="E15" i="73"/>
  <c r="G16" i="73"/>
  <c r="F16" i="73"/>
  <c r="E16" i="73"/>
  <c r="AA36" i="80" l="1"/>
  <c r="AC36" i="80" s="1"/>
  <c r="AD36" i="80" s="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S7"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D37" i="71"/>
  <c r="Q36" i="71"/>
  <c r="AB36" i="71" s="1"/>
  <c r="P36" i="71"/>
  <c r="O36" i="71"/>
  <c r="N36" i="71"/>
  <c r="Q35" i="71"/>
  <c r="P35" i="71"/>
  <c r="O35" i="71"/>
  <c r="N35" i="71"/>
  <c r="Q34" i="71"/>
  <c r="AB34" i="71"/>
  <c r="P34" i="71"/>
  <c r="O34" i="71"/>
  <c r="N34" i="71"/>
  <c r="Q33" i="71"/>
  <c r="F34" i="71" s="1"/>
  <c r="P33" i="71"/>
  <c r="E34"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s="1"/>
  <c r="B32" i="71" s="1"/>
  <c r="S32" i="71" s="1"/>
  <c r="E30" i="71"/>
  <c r="E31" i="71" s="1"/>
  <c r="E32" i="71" s="1"/>
  <c r="U32" i="71" s="1"/>
  <c r="AB33" i="71"/>
  <c r="P28" i="71"/>
  <c r="E28" i="71" s="1"/>
  <c r="E67" i="71"/>
  <c r="Q28" i="71"/>
  <c r="F28" i="71" s="1"/>
  <c r="D62" i="71"/>
  <c r="T68" i="71"/>
  <c r="E71" i="71"/>
  <c r="E70" i="71" s="1"/>
  <c r="D72" i="71"/>
  <c r="D76"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W25" i="40" s="1"/>
  <c r="H29" i="39"/>
  <c r="AB29" i="39" s="1"/>
  <c r="J29" i="39"/>
  <c r="AC29" i="39" s="1"/>
  <c r="J18" i="36"/>
  <c r="AC18" i="36" s="1"/>
  <c r="H18" i="35"/>
  <c r="AB18" i="35" s="1"/>
  <c r="J18" i="35"/>
  <c r="H21" i="37"/>
  <c r="AB21" i="37" s="1"/>
  <c r="F21" i="37"/>
  <c r="AA21" i="37" s="1"/>
  <c r="H21" i="34"/>
  <c r="AB21" i="34" s="1"/>
  <c r="H21" i="33"/>
  <c r="U21" i="33" s="1"/>
  <c r="F21" i="33"/>
  <c r="AA21" i="33" s="1"/>
  <c r="H1" i="69"/>
  <c r="AC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B129" i="34"/>
  <c r="B127" i="34"/>
  <c r="H45" i="34" s="1"/>
  <c r="U45" i="34" s="1"/>
  <c r="B99" i="34"/>
  <c r="F32" i="34" s="1"/>
  <c r="B97" i="34"/>
  <c r="H31" i="34" s="1"/>
  <c r="B95" i="34"/>
  <c r="H30" i="34" s="1"/>
  <c r="B93" i="34"/>
  <c r="F29" i="34" s="1"/>
  <c r="B75" i="34"/>
  <c r="F14" i="34" s="1"/>
  <c r="B73" i="34"/>
  <c r="B71" i="34"/>
  <c r="J12" i="34" s="1"/>
  <c r="W12" i="34" s="1"/>
  <c r="B130" i="33"/>
  <c r="F46" i="33" s="1"/>
  <c r="AA46" i="33" s="1"/>
  <c r="B128" i="33"/>
  <c r="J45" i="33" s="1"/>
  <c r="W45" i="33" s="1"/>
  <c r="B126" i="33"/>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F9" i="35" s="1"/>
  <c r="S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F44" i="34" s="1"/>
  <c r="AA44"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D86" i="34"/>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U29" i="21" s="1"/>
  <c r="J29" i="21"/>
  <c r="AC29" i="21" s="1"/>
  <c r="B92" i="21"/>
  <c r="B90" i="21"/>
  <c r="B74" i="21"/>
  <c r="F14" i="21" s="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W40" i="39"/>
  <c r="W25" i="37"/>
  <c r="F29" i="36"/>
  <c r="AA29" i="36" s="1"/>
  <c r="F16" i="36"/>
  <c r="AA16" i="36" s="1"/>
  <c r="U31" i="36"/>
  <c r="H22" i="35"/>
  <c r="AB22" i="35" s="1"/>
  <c r="AC27" i="35"/>
  <c r="S31" i="35"/>
  <c r="F36" i="34"/>
  <c r="S36" i="34" s="1"/>
  <c r="J35" i="34"/>
  <c r="H39" i="33"/>
  <c r="AB39" i="33" s="1"/>
  <c r="S27" i="35"/>
  <c r="F11" i="40"/>
  <c r="AA11" i="40" s="1"/>
  <c r="H11" i="40"/>
  <c r="AB11" i="40" s="1"/>
  <c r="AA9" i="40"/>
  <c r="U9" i="40"/>
  <c r="F42" i="39"/>
  <c r="AA42" i="39" s="1"/>
  <c r="F41" i="39"/>
  <c r="S41" i="39" s="1"/>
  <c r="H40" i="39"/>
  <c r="AB40" i="39" s="1"/>
  <c r="H39" i="39"/>
  <c r="U39" i="39" s="1"/>
  <c r="H34" i="39"/>
  <c r="U34" i="39" s="1"/>
  <c r="E100" i="39"/>
  <c r="F100" i="39" s="1"/>
  <c r="G100" i="39" s="1"/>
  <c r="H19" i="39"/>
  <c r="AB19" i="39" s="1"/>
  <c r="F19" i="39"/>
  <c r="H17" i="39"/>
  <c r="AB17" i="39" s="1"/>
  <c r="F17" i="39"/>
  <c r="AA17" i="39" s="1"/>
  <c r="J23" i="40"/>
  <c r="AC23" i="40" s="1"/>
  <c r="F21" i="40"/>
  <c r="J21" i="40"/>
  <c r="H42" i="39"/>
  <c r="AB42" i="39" s="1"/>
  <c r="J34" i="39"/>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H11" i="21"/>
  <c r="U11" i="21" s="1"/>
  <c r="J11" i="21"/>
  <c r="W11" i="21" s="1"/>
  <c r="H37" i="40"/>
  <c r="U37" i="40" s="1"/>
  <c r="H36" i="40"/>
  <c r="F35" i="40"/>
  <c r="AA35" i="40" s="1"/>
  <c r="H23" i="40"/>
  <c r="AB23" i="40" s="1"/>
  <c r="H17" i="40"/>
  <c r="U17" i="40"/>
  <c r="J15" i="40"/>
  <c r="W15" i="40" s="1"/>
  <c r="J11" i="40"/>
  <c r="W11" i="40" s="1"/>
  <c r="AC12" i="34"/>
  <c r="F37" i="39"/>
  <c r="J34" i="36"/>
  <c r="W34" i="36" s="1"/>
  <c r="J30" i="35"/>
  <c r="W30" i="35" s="1"/>
  <c r="H30" i="35"/>
  <c r="AB30" i="35" s="1"/>
  <c r="F22" i="35"/>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H17" i="34"/>
  <c r="AB17" i="34" s="1"/>
  <c r="J15" i="34"/>
  <c r="AC15" i="34" s="1"/>
  <c r="H15" i="34"/>
  <c r="AB15" i="34" s="1"/>
  <c r="F41" i="33"/>
  <c r="F32" i="33"/>
  <c r="AA32" i="33"/>
  <c r="J19" i="33"/>
  <c r="AC19" i="33" s="1"/>
  <c r="J15" i="33"/>
  <c r="AC15" i="33" s="1"/>
  <c r="F11" i="33"/>
  <c r="W40" i="33"/>
  <c r="F37" i="40"/>
  <c r="AA37" i="40" s="1"/>
  <c r="F36" i="40"/>
  <c r="H28" i="40"/>
  <c r="U28" i="40"/>
  <c r="F23" i="40"/>
  <c r="AA23" i="40" s="1"/>
  <c r="F17" i="40"/>
  <c r="J17" i="40"/>
  <c r="W17" i="40" s="1"/>
  <c r="F15" i="40"/>
  <c r="S15" i="40" s="1"/>
  <c r="H15" i="40"/>
  <c r="AB15" i="40"/>
  <c r="AB30" i="36"/>
  <c r="F29" i="35"/>
  <c r="S29" i="35" s="1"/>
  <c r="H29" i="35"/>
  <c r="AB29" i="35" s="1"/>
  <c r="H33" i="37"/>
  <c r="F33" i="37"/>
  <c r="AA33" i="37" s="1"/>
  <c r="U34" i="37"/>
  <c r="AA34" i="37"/>
  <c r="J43" i="34"/>
  <c r="AC43" i="34" s="1"/>
  <c r="AB42" i="34"/>
  <c r="H38" i="34"/>
  <c r="AB38" i="34" s="1"/>
  <c r="J36" i="34"/>
  <c r="AC36" i="34" s="1"/>
  <c r="H25" i="34"/>
  <c r="AB25" i="34" s="1"/>
  <c r="J17" i="34"/>
  <c r="W17" i="34" s="1"/>
  <c r="H37" i="33"/>
  <c r="AB37" i="33"/>
  <c r="H15" i="33"/>
  <c r="AB15" i="33" s="1"/>
  <c r="H11" i="33"/>
  <c r="AB11" i="33" s="1"/>
  <c r="F28" i="40"/>
  <c r="AA28" i="40"/>
  <c r="J11" i="33"/>
  <c r="W11" i="33" s="1"/>
  <c r="J42" i="21"/>
  <c r="AC42" i="21" s="1"/>
  <c r="H42" i="21"/>
  <c r="U42" i="21" s="1"/>
  <c r="J10" i="35"/>
  <c r="AC10" i="35" s="1"/>
  <c r="J14" i="21"/>
  <c r="W14" i="21" s="1"/>
  <c r="H14" i="21"/>
  <c r="U14" i="21" s="1"/>
  <c r="H28" i="21"/>
  <c r="AB28" i="21" s="1"/>
  <c r="F28" i="21"/>
  <c r="AA28" i="21" s="1"/>
  <c r="J28" i="21"/>
  <c r="W28" i="21" s="1"/>
  <c r="H30" i="21"/>
  <c r="U30" i="21" s="1"/>
  <c r="H44" i="21"/>
  <c r="U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F31" i="21"/>
  <c r="S31" i="21" s="1"/>
  <c r="J13" i="33"/>
  <c r="F13" i="33"/>
  <c r="S13" i="33" s="1"/>
  <c r="J29" i="33"/>
  <c r="H29" i="33"/>
  <c r="U29" i="33" s="1"/>
  <c r="F29" i="33"/>
  <c r="S29" i="33" s="1"/>
  <c r="J31" i="33"/>
  <c r="W31" i="33" s="1"/>
  <c r="F31" i="33"/>
  <c r="H45" i="33"/>
  <c r="AB45" i="33" s="1"/>
  <c r="F45" i="33"/>
  <c r="J14" i="34"/>
  <c r="W14" i="34" s="1"/>
  <c r="S14" i="34"/>
  <c r="H14" i="34"/>
  <c r="F30" i="34"/>
  <c r="S30" i="34" s="1"/>
  <c r="J30" i="34"/>
  <c r="H32" i="34"/>
  <c r="J32" i="34"/>
  <c r="W32" i="34" s="1"/>
  <c r="F46" i="34"/>
  <c r="H11" i="35"/>
  <c r="AB11" i="35" s="1"/>
  <c r="J11" i="35"/>
  <c r="F11" i="35"/>
  <c r="S11" i="35" s="1"/>
  <c r="J26" i="36"/>
  <c r="H28" i="36"/>
  <c r="U28" i="36" s="1"/>
  <c r="H32" i="36"/>
  <c r="AB32" i="36" s="1"/>
  <c r="J11" i="36"/>
  <c r="AC11" i="36" s="1"/>
  <c r="F11" i="36"/>
  <c r="AA11" i="36" s="1"/>
  <c r="F13" i="36"/>
  <c r="S13" i="36" s="1"/>
  <c r="J89" i="37"/>
  <c r="K89" i="37" s="1"/>
  <c r="L89" i="37" s="1"/>
  <c r="M89" i="37" s="1"/>
  <c r="J29" i="37"/>
  <c r="F29" i="37"/>
  <c r="S29" i="37" s="1"/>
  <c r="H36" i="37"/>
  <c r="AB36" i="37" s="1"/>
  <c r="J37" i="37"/>
  <c r="AC37" i="37" s="1"/>
  <c r="H37" i="37"/>
  <c r="U37" i="37"/>
  <c r="J40" i="37"/>
  <c r="F40" i="37"/>
  <c r="AA40" i="37" s="1"/>
  <c r="H30" i="33"/>
  <c r="J30" i="33"/>
  <c r="F44" i="33"/>
  <c r="H46" i="33"/>
  <c r="AB46" i="33" s="1"/>
  <c r="S29" i="34"/>
  <c r="H29" i="34"/>
  <c r="AB29" i="34" s="1"/>
  <c r="J45" i="34"/>
  <c r="W45" i="34" s="1"/>
  <c r="F45" i="34"/>
  <c r="F13" i="35"/>
  <c r="W25" i="35"/>
  <c r="F25" i="35"/>
  <c r="S25" i="35" s="1"/>
  <c r="H25" i="35"/>
  <c r="AB25" i="35" s="1"/>
  <c r="H25" i="36"/>
  <c r="AB25" i="36" s="1"/>
  <c r="H13" i="37"/>
  <c r="AB13" i="37" s="1"/>
  <c r="S13" i="37"/>
  <c r="J13" i="37"/>
  <c r="W13" i="37" s="1"/>
  <c r="F28" i="37"/>
  <c r="AA28" i="37" s="1"/>
  <c r="J28" i="37"/>
  <c r="AC28" i="37"/>
  <c r="H28" i="37"/>
  <c r="H38" i="37"/>
  <c r="AB38" i="37" s="1"/>
  <c r="J38" i="37"/>
  <c r="AC38" i="37" s="1"/>
  <c r="F38" i="37"/>
  <c r="S38" i="37" s="1"/>
  <c r="F43" i="39"/>
  <c r="AA43" i="39" s="1"/>
  <c r="H43" i="39"/>
  <c r="U43" i="39" s="1"/>
  <c r="J14" i="39"/>
  <c r="AC14" i="39" s="1"/>
  <c r="F14" i="39"/>
  <c r="H14" i="39"/>
  <c r="AB14" i="39" s="1"/>
  <c r="F12" i="40"/>
  <c r="H12" i="40"/>
  <c r="AB12" i="40" s="1"/>
  <c r="H30" i="40"/>
  <c r="AB30" i="40" s="1"/>
  <c r="F33" i="40"/>
  <c r="AA33" i="40"/>
  <c r="H33" i="40"/>
  <c r="U33" i="40" s="1"/>
  <c r="J35" i="40"/>
  <c r="AC35" i="40" s="1"/>
  <c r="J37" i="40"/>
  <c r="AC37" i="40" s="1"/>
  <c r="H13" i="40"/>
  <c r="U13" i="40" s="1"/>
  <c r="J13" i="40"/>
  <c r="W13" i="40" s="1"/>
  <c r="F13" i="40"/>
  <c r="AA13" i="40"/>
  <c r="F14" i="37"/>
  <c r="S14" i="37" s="1"/>
  <c r="F27" i="37"/>
  <c r="AA27" i="37" s="1"/>
  <c r="F13" i="39"/>
  <c r="AA13" i="39" s="1"/>
  <c r="J13" i="39"/>
  <c r="W13" i="39" s="1"/>
  <c r="H13" i="39"/>
  <c r="H14" i="40"/>
  <c r="J14" i="40"/>
  <c r="W14" i="40" s="1"/>
  <c r="F14" i="40"/>
  <c r="AA14" i="40"/>
  <c r="J14" i="37"/>
  <c r="J27" i="37"/>
  <c r="AC27" i="37" s="1"/>
  <c r="J36" i="37"/>
  <c r="AC36" i="37" s="1"/>
  <c r="J10" i="36"/>
  <c r="AC10" i="36" s="1"/>
  <c r="AA14" i="37"/>
  <c r="AA14" i="34"/>
  <c r="AC28" i="21"/>
  <c r="F17" i="21"/>
  <c r="AA17" i="21" s="1"/>
  <c r="H17" i="21"/>
  <c r="AB17" i="21" s="1"/>
  <c r="F15" i="21"/>
  <c r="S15" i="21" s="1"/>
  <c r="J41" i="39"/>
  <c r="W41" i="39" s="1"/>
  <c r="S35" i="39"/>
  <c r="G540" i="3"/>
  <c r="G532" i="3"/>
  <c r="G518" i="3"/>
  <c r="G510" i="3"/>
  <c r="G504" i="3"/>
  <c r="G496" i="3"/>
  <c r="G584" i="3"/>
  <c r="G576" i="3"/>
  <c r="G568" i="3"/>
  <c r="G560" i="3"/>
  <c r="G554" i="3"/>
  <c r="BL578" i="3"/>
  <c r="G533" i="3"/>
  <c r="G525" i="3"/>
  <c r="BA562" i="3"/>
  <c r="BA575" i="3"/>
  <c r="BA553" i="3"/>
  <c r="G579" i="3"/>
  <c r="G577" i="3"/>
  <c r="G575" i="3"/>
  <c r="G571" i="3"/>
  <c r="G569" i="3"/>
  <c r="G563" i="3"/>
  <c r="G561" i="3"/>
  <c r="AC557" i="3"/>
  <c r="G557" i="3" s="1"/>
  <c r="BQ557" i="3"/>
  <c r="BQ583" i="3"/>
  <c r="BQ581" i="3"/>
  <c r="BQ579" i="3"/>
  <c r="BQ577" i="3"/>
  <c r="BL577" i="3" s="1"/>
  <c r="BQ575" i="3"/>
  <c r="BQ573" i="3"/>
  <c r="BQ571" i="3"/>
  <c r="BQ569" i="3"/>
  <c r="BL569" i="3" s="1"/>
  <c r="BQ567" i="3"/>
  <c r="BQ565" i="3"/>
  <c r="BQ563" i="3"/>
  <c r="BQ561" i="3"/>
  <c r="BQ559" i="3"/>
  <c r="G555" i="3"/>
  <c r="G549" i="3"/>
  <c r="G541" i="3"/>
  <c r="BQ555" i="3"/>
  <c r="BQ553" i="3"/>
  <c r="BQ551" i="3"/>
  <c r="BQ549" i="3"/>
  <c r="BQ547" i="3"/>
  <c r="BQ545" i="3"/>
  <c r="BQ543" i="3"/>
  <c r="BQ541" i="3"/>
  <c r="BQ539" i="3"/>
  <c r="BQ537" i="3"/>
  <c r="BQ535" i="3"/>
  <c r="BQ533" i="3"/>
  <c r="BQ531" i="3"/>
  <c r="BQ529" i="3"/>
  <c r="BQ527" i="3"/>
  <c r="BQ525" i="3"/>
  <c r="BQ523" i="3"/>
  <c r="AC521" i="3"/>
  <c r="BQ521" i="3"/>
  <c r="G519"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AB23" i="37" s="1"/>
  <c r="J32" i="37"/>
  <c r="AC32" i="37" s="1"/>
  <c r="F36" i="37"/>
  <c r="AA36" i="37" s="1"/>
  <c r="F37" i="37"/>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AA13" i="33"/>
  <c r="AC31" i="33"/>
  <c r="AC45"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19" i="40"/>
  <c r="S19" i="40" s="1"/>
  <c r="S14" i="40"/>
  <c r="W23" i="39"/>
  <c r="AC43" i="39"/>
  <c r="W43" i="39"/>
  <c r="H37" i="39"/>
  <c r="AB37" i="39" s="1"/>
  <c r="AC37" i="39"/>
  <c r="W37" i="39"/>
  <c r="H25" i="39"/>
  <c r="J25" i="39"/>
  <c r="F25" i="39"/>
  <c r="AA25" i="39" s="1"/>
  <c r="F15" i="39"/>
  <c r="AA15" i="39" s="1"/>
  <c r="H15" i="39"/>
  <c r="U15" i="39" s="1"/>
  <c r="J15" i="39"/>
  <c r="W15" i="39" s="1"/>
  <c r="H41" i="39"/>
  <c r="AB41" i="39" s="1"/>
  <c r="U40" i="39"/>
  <c r="AA41" i="39"/>
  <c r="W9" i="39"/>
  <c r="W8" i="39"/>
  <c r="J19" i="40"/>
  <c r="AC19" i="40" s="1"/>
  <c r="J50" i="40"/>
  <c r="H103" i="9"/>
  <c r="D8" i="53" s="1"/>
  <c r="B16" i="53"/>
  <c r="B33" i="72" s="1"/>
  <c r="W35" i="40"/>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16"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AC5" i="3"/>
  <c r="G548" i="3"/>
  <c r="G17" i="3"/>
  <c r="BA17" i="3"/>
  <c r="BA15" i="3"/>
  <c r="G509" i="3"/>
  <c r="F83" i="43"/>
  <c r="H85" i="43" s="1"/>
  <c r="F50" i="43"/>
  <c r="H54" i="43" s="1"/>
  <c r="F72" i="43"/>
  <c r="H75" i="43" s="1"/>
  <c r="U17" i="39"/>
  <c r="S14" i="35"/>
  <c r="U43" i="21"/>
  <c r="U35" i="21"/>
  <c r="W37"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W28" i="37"/>
  <c r="F12" i="33"/>
  <c r="AA12" i="33" s="1"/>
  <c r="H12" i="39"/>
  <c r="AB12" i="39" s="1"/>
  <c r="F39" i="40"/>
  <c r="B12" i="1"/>
  <c r="E12" i="1" s="1"/>
  <c r="B10" i="1"/>
  <c r="E10" i="1" s="1"/>
  <c r="K12" i="1"/>
  <c r="M12" i="1" s="1"/>
  <c r="S13" i="1"/>
  <c r="AR13" i="1" s="1"/>
  <c r="R13" i="1"/>
  <c r="B41" i="1"/>
  <c r="F48" i="9" s="1"/>
  <c r="O52" i="9" s="1"/>
  <c r="AB37" i="40"/>
  <c r="S35" i="40"/>
  <c r="AC36" i="40"/>
  <c r="AA32" i="40"/>
  <c r="S23" i="40"/>
  <c r="AC17" i="40"/>
  <c r="AC15" i="40"/>
  <c r="AA19" i="40"/>
  <c r="S28" i="40"/>
  <c r="AB19" i="40"/>
  <c r="U37" i="39"/>
  <c r="S43"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S23" i="36"/>
  <c r="U26" i="36"/>
  <c r="S33" i="36"/>
  <c r="AA34" i="36"/>
  <c r="AA22" i="36"/>
  <c r="AB14" i="36"/>
  <c r="U22" i="36"/>
  <c r="S16" i="36"/>
  <c r="U16" i="36"/>
  <c r="S14" i="36"/>
  <c r="AA25" i="35"/>
  <c r="W24" i="35"/>
  <c r="AB13" i="35"/>
  <c r="U29" i="35"/>
  <c r="U28" i="35"/>
  <c r="U36" i="35"/>
  <c r="AA33" i="35"/>
  <c r="AC30" i="35"/>
  <c r="S32" i="35"/>
  <c r="AA36" i="35"/>
  <c r="AB16" i="35"/>
  <c r="U22" i="35"/>
  <c r="AC20" i="35"/>
  <c r="U14" i="35"/>
  <c r="AA11" i="35"/>
  <c r="AC12" i="35"/>
  <c r="AB40" i="37"/>
  <c r="W27" i="37"/>
  <c r="U29" i="37"/>
  <c r="W30" i="37"/>
  <c r="S36" i="37"/>
  <c r="AA38" i="37"/>
  <c r="W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29"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W43" i="21"/>
  <c r="W36" i="21"/>
  <c r="AB39" i="21"/>
  <c r="S39" i="21"/>
  <c r="AA38" i="21"/>
  <c r="AC40" i="21"/>
  <c r="J15" i="21"/>
  <c r="W15" i="21" s="1"/>
  <c r="F77" i="21"/>
  <c r="G77" i="21" s="1"/>
  <c r="F23" i="21"/>
  <c r="S23" i="21" s="1"/>
  <c r="E85" i="21"/>
  <c r="F85" i="21" s="1"/>
  <c r="G85" i="21" s="1"/>
  <c r="D120" i="9"/>
  <c r="D121" i="9" s="1"/>
  <c r="D7" i="52" s="1"/>
  <c r="C18" i="9"/>
  <c r="D18" i="9" s="1"/>
  <c r="F34" i="67"/>
  <c r="F62" i="67" s="1"/>
  <c r="BL17" i="3"/>
  <c r="BL13" i="3"/>
  <c r="J56" i="9"/>
  <c r="J57" i="9" s="1"/>
  <c r="J59" i="9" s="1"/>
  <c r="J61" i="9" s="1"/>
  <c r="U29" i="34"/>
  <c r="E5" i="6"/>
  <c r="E32" i="6"/>
  <c r="E19" i="69"/>
  <c r="E1" i="73"/>
  <c r="G22" i="11"/>
  <c r="C6" i="43"/>
  <c r="B19" i="53"/>
  <c r="B37" i="72" s="1"/>
  <c r="L20" i="6"/>
  <c r="K11" i="1"/>
  <c r="M11" i="1" s="1"/>
  <c r="O11" i="1" s="1"/>
  <c r="B9" i="1"/>
  <c r="E9" i="1" s="1"/>
  <c r="K7" i="1"/>
  <c r="M7" i="1" s="1"/>
  <c r="O7" i="1" s="1"/>
  <c r="P7" i="1" s="1"/>
  <c r="G1" i="67"/>
  <c r="W23" i="40"/>
  <c r="U32" i="40"/>
  <c r="S37" i="40"/>
  <c r="AB28" i="40"/>
  <c r="W28" i="40"/>
  <c r="W34" i="40"/>
  <c r="W19" i="40"/>
  <c r="W37" i="40"/>
  <c r="AC14" i="40"/>
  <c r="S13" i="40"/>
  <c r="S33" i="40"/>
  <c r="AA15" i="40"/>
  <c r="U11" i="40"/>
  <c r="AB13" i="40"/>
  <c r="U15" i="40"/>
  <c r="AB17" i="40"/>
  <c r="U8" i="40"/>
  <c r="S8" i="40"/>
  <c r="AA39" i="39"/>
  <c r="U42" i="39"/>
  <c r="W25" i="39"/>
  <c r="AC25" i="39"/>
  <c r="U13" i="39"/>
  <c r="AB13" i="39"/>
  <c r="S13" i="39"/>
  <c r="S14" i="39"/>
  <c r="AA14" i="39"/>
  <c r="AB11" i="39"/>
  <c r="U11" i="39"/>
  <c r="AA27" i="39"/>
  <c r="S27" i="39"/>
  <c r="W17" i="39"/>
  <c r="AC17" i="39"/>
  <c r="W31" i="39"/>
  <c r="AC31" i="39"/>
  <c r="AB39" i="39"/>
  <c r="U38" i="39"/>
  <c r="S8" i="39"/>
  <c r="S20" i="36"/>
  <c r="U32" i="36"/>
  <c r="W29" i="36"/>
  <c r="AC20" i="36"/>
  <c r="AB28" i="36"/>
  <c r="AA13" i="36"/>
  <c r="W22" i="36"/>
  <c r="AB20" i="35"/>
  <c r="AC25" i="35"/>
  <c r="U25" i="35"/>
  <c r="S24" i="35"/>
  <c r="U24" i="35"/>
  <c r="AA16" i="35"/>
  <c r="AA35" i="37"/>
  <c r="S27" i="37"/>
  <c r="W32" i="37"/>
  <c r="U36" i="37"/>
  <c r="S40" i="37"/>
  <c r="AB37" i="37"/>
  <c r="AC34" i="37"/>
  <c r="AA31" i="37"/>
  <c r="U19" i="37"/>
  <c r="AA29" i="37"/>
  <c r="U8" i="37"/>
  <c r="AC45" i="34"/>
  <c r="AA30" i="34"/>
  <c r="AB45" i="34"/>
  <c r="AC14" i="34"/>
  <c r="AC32" i="34"/>
  <c r="S32" i="34"/>
  <c r="AA32" i="34"/>
  <c r="U30" i="34"/>
  <c r="AB30" i="34"/>
  <c r="S46" i="34"/>
  <c r="AA46" i="34"/>
  <c r="U32" i="34"/>
  <c r="AB32" i="34"/>
  <c r="U14" i="34"/>
  <c r="AB14" i="34"/>
  <c r="AC35" i="34"/>
  <c r="W35" i="34"/>
  <c r="U12" i="34"/>
  <c r="AB12" i="34"/>
  <c r="AB28" i="33"/>
  <c r="AC37" i="33"/>
  <c r="U39" i="33"/>
  <c r="U38" i="33"/>
  <c r="S33" i="33"/>
  <c r="AB34" i="33"/>
  <c r="S30" i="33"/>
  <c r="AA30" i="33"/>
  <c r="AC30" i="33"/>
  <c r="W30" i="33"/>
  <c r="S31" i="33"/>
  <c r="AA31" i="33"/>
  <c r="W13" i="33"/>
  <c r="AC13" i="33"/>
  <c r="U15" i="33"/>
  <c r="U37" i="33"/>
  <c r="AC28" i="33"/>
  <c r="W8" i="33"/>
  <c r="S44" i="21"/>
  <c r="AB42" i="21"/>
  <c r="U28" i="21"/>
  <c r="I101" i="21"/>
  <c r="J101" i="21" s="1"/>
  <c r="K101" i="21" s="1"/>
  <c r="L101" i="21" s="1"/>
  <c r="M101" i="21" s="1"/>
  <c r="F33" i="21"/>
  <c r="AA33" i="21" s="1"/>
  <c r="J33" i="21"/>
  <c r="AC33" i="21" s="1"/>
  <c r="H33" i="21"/>
  <c r="AB33" i="21" s="1"/>
  <c r="F37" i="21"/>
  <c r="AA37" i="21" s="1"/>
  <c r="AA26" i="21"/>
  <c r="U40" i="21"/>
  <c r="S35" i="21"/>
  <c r="J37" i="21"/>
  <c r="W37" i="21" s="1"/>
  <c r="H15" i="21"/>
  <c r="U15" i="21" s="1"/>
  <c r="J17" i="21"/>
  <c r="AC17" i="21" s="1"/>
  <c r="AC19" i="21"/>
  <c r="W39" i="21"/>
  <c r="AC14" i="21"/>
  <c r="H45" i="21"/>
  <c r="U45" i="21" s="1"/>
  <c r="F29" i="21"/>
  <c r="AA29" i="21" s="1"/>
  <c r="F13" i="21"/>
  <c r="AA13" i="21" s="1"/>
  <c r="AC38" i="21"/>
  <c r="H32" i="21"/>
  <c r="AB32" i="21" s="1"/>
  <c r="H9" i="21"/>
  <c r="AB9" i="21" s="1"/>
  <c r="J9" i="21"/>
  <c r="AC9" i="21" s="1"/>
  <c r="J32" i="21"/>
  <c r="W32" i="21" s="1"/>
  <c r="F32" i="21"/>
  <c r="AA32" i="21" s="1"/>
  <c r="AA31" i="21"/>
  <c r="U17" i="21"/>
  <c r="W29" i="21"/>
  <c r="S19" i="21"/>
  <c r="S9" i="21"/>
  <c r="AA9" i="21"/>
  <c r="K141" i="21"/>
  <c r="K144" i="21"/>
  <c r="K143" i="21"/>
  <c r="AB25" i="21"/>
  <c r="AB44" i="21"/>
  <c r="W13" i="21"/>
  <c r="W42" i="21"/>
  <c r="F10" i="21"/>
  <c r="AA10" i="21" s="1"/>
  <c r="K145" i="21"/>
  <c r="S17" i="21"/>
  <c r="AA15" i="21"/>
  <c r="AB29" i="21"/>
  <c r="S28" i="21"/>
  <c r="AB36" i="21"/>
  <c r="W30" i="40"/>
  <c r="C19" i="39"/>
  <c r="C15" i="40"/>
  <c r="C17" i="40"/>
  <c r="C23" i="40"/>
  <c r="C21" i="40"/>
  <c r="U30" i="40"/>
  <c r="B56" i="43"/>
  <c r="B51" i="43"/>
  <c r="B54" i="43"/>
  <c r="B58" i="43"/>
  <c r="B62" i="43"/>
  <c r="B65" i="43"/>
  <c r="B69" i="43"/>
  <c r="D23" i="15"/>
  <c r="E4" i="4"/>
  <c r="B5" i="62" s="1"/>
  <c r="B73" i="72" s="1"/>
  <c r="C4" i="4"/>
  <c r="M18" i="15"/>
  <c r="AA39" i="40"/>
  <c r="S39" i="40"/>
  <c r="S12" i="33"/>
  <c r="J32" i="39"/>
  <c r="AC32" i="39" s="1"/>
  <c r="H32" i="39"/>
  <c r="AB32" i="39" s="1"/>
  <c r="AA32" i="39"/>
  <c r="S32" i="39"/>
  <c r="AB21" i="39"/>
  <c r="AA21" i="39"/>
  <c r="S21" i="39"/>
  <c r="AC17" i="37"/>
  <c r="J19" i="37"/>
  <c r="W19" i="37" s="1"/>
  <c r="G75" i="37"/>
  <c r="J23" i="37"/>
  <c r="W23" i="37" s="1"/>
  <c r="G79" i="37"/>
  <c r="J10" i="37"/>
  <c r="W10" i="37" s="1"/>
  <c r="H11" i="37"/>
  <c r="AB11" i="37"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J25" i="33"/>
  <c r="AC25" i="33" s="1"/>
  <c r="F23" i="33"/>
  <c r="G85" i="33"/>
  <c r="AA19" i="33"/>
  <c r="H19" i="33"/>
  <c r="U19" i="33" s="1"/>
  <c r="H17" i="33"/>
  <c r="U17" i="33" s="1"/>
  <c r="F17" i="33"/>
  <c r="S17" i="33" s="1"/>
  <c r="AA23" i="21"/>
  <c r="AB15" i="21"/>
  <c r="J23" i="21"/>
  <c r="AC23" i="21" s="1"/>
  <c r="H23" i="21"/>
  <c r="AB23" i="21" s="1"/>
  <c r="AP7" i="1"/>
  <c r="AB45" i="21"/>
  <c r="U32" i="21"/>
  <c r="J11" i="37"/>
  <c r="AC11" i="37" s="1"/>
  <c r="J11" i="34"/>
  <c r="W11" i="34" s="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AO13" i="1"/>
  <c r="E13" i="76"/>
  <c r="M24" i="67"/>
  <c r="B9" i="76"/>
  <c r="J15" i="67"/>
  <c r="E9" i="76"/>
  <c r="M9" i="67"/>
  <c r="F36" i="67"/>
  <c r="F7" i="73"/>
  <c r="F37" i="67"/>
  <c r="F20" i="31"/>
  <c r="B12" i="76"/>
  <c r="E11" i="76"/>
  <c r="E2" i="69"/>
  <c r="F5" i="73"/>
  <c r="B13" i="76"/>
  <c r="B8" i="76"/>
  <c r="C76" i="67"/>
  <c r="E2" i="68"/>
  <c r="F4" i="73"/>
  <c r="E7" i="76"/>
  <c r="B11" i="76"/>
  <c r="F3" i="73"/>
  <c r="F9" i="67"/>
  <c r="E8" i="76"/>
  <c r="E10" i="76"/>
  <c r="E12" i="76"/>
  <c r="B10" i="76"/>
  <c r="F16" i="67"/>
  <c r="D6" i="73"/>
  <c r="M28" i="67"/>
  <c r="B7" i="76"/>
  <c r="F6" i="73"/>
  <c r="J51" i="67" l="1"/>
  <c r="AZ568" i="3"/>
  <c r="AZ558" i="3"/>
  <c r="AB21" i="40"/>
  <c r="U21" i="40"/>
  <c r="BL574" i="3"/>
  <c r="BA573" i="3"/>
  <c r="BL572" i="3"/>
  <c r="BA570" i="3"/>
  <c r="BL560" i="3"/>
  <c r="S32" i="21"/>
  <c r="AC34" i="21"/>
  <c r="W25" i="21"/>
  <c r="AA36" i="21"/>
  <c r="W23" i="21"/>
  <c r="U32" i="39"/>
  <c r="S37" i="21"/>
  <c r="AB14" i="21"/>
  <c r="AB43" i="39"/>
  <c r="U41" i="39"/>
  <c r="W41" i="21"/>
  <c r="U32" i="35"/>
  <c r="H27" i="40"/>
  <c r="AB34" i="39"/>
  <c r="U31" i="37"/>
  <c r="AB31" i="37"/>
  <c r="BL555" i="3"/>
  <c r="BL583" i="3"/>
  <c r="AB30" i="21"/>
  <c r="AA17" i="33"/>
  <c r="S14" i="21"/>
  <c r="AA14" i="21"/>
  <c r="F9" i="34"/>
  <c r="AA9" i="34" s="1"/>
  <c r="H9" i="34"/>
  <c r="J9" i="34"/>
  <c r="AA28" i="35"/>
  <c r="S28" i="35"/>
  <c r="H36" i="39"/>
  <c r="F36" i="39"/>
  <c r="BA579" i="3"/>
  <c r="BA534" i="3"/>
  <c r="BH5" i="3"/>
  <c r="S12" i="40"/>
  <c r="AA12" i="40"/>
  <c r="S44" i="33"/>
  <c r="AA44" i="33"/>
  <c r="W35" i="21"/>
  <c r="AC35" i="21"/>
  <c r="E86" i="34"/>
  <c r="F86" i="34" s="1"/>
  <c r="G86" i="34" s="1"/>
  <c r="F23" i="34"/>
  <c r="AA23" i="34" s="1"/>
  <c r="J23" i="34"/>
  <c r="W23" i="34" s="1"/>
  <c r="E126" i="34"/>
  <c r="F126" i="34" s="1"/>
  <c r="G126" i="34" s="1"/>
  <c r="J44" i="34"/>
  <c r="AC44" i="34" s="1"/>
  <c r="H44" i="34"/>
  <c r="U44" i="34" s="1"/>
  <c r="J9" i="35"/>
  <c r="H9" i="35"/>
  <c r="U9" i="35" s="1"/>
  <c r="F14" i="33"/>
  <c r="S14" i="33" s="1"/>
  <c r="J14" i="33"/>
  <c r="H14" i="33"/>
  <c r="J44" i="33"/>
  <c r="H44" i="33"/>
  <c r="F13" i="34"/>
  <c r="H13" i="34"/>
  <c r="U13" i="34" s="1"/>
  <c r="J31" i="34"/>
  <c r="F31" i="34"/>
  <c r="F47" i="34"/>
  <c r="J47" i="34"/>
  <c r="H47" i="34"/>
  <c r="F35" i="35"/>
  <c r="H35" i="35"/>
  <c r="J35" i="35"/>
  <c r="AA40" i="33"/>
  <c r="S40" i="33"/>
  <c r="BA567" i="3"/>
  <c r="BA563" i="3"/>
  <c r="BA560" i="3"/>
  <c r="AZ560" i="3" s="1"/>
  <c r="BI5" i="3"/>
  <c r="AC26" i="21"/>
  <c r="U38" i="37"/>
  <c r="S28" i="37"/>
  <c r="AC41" i="39"/>
  <c r="AA43" i="21"/>
  <c r="AA35" i="33"/>
  <c r="AB27" i="35"/>
  <c r="S42" i="39"/>
  <c r="AA37" i="37"/>
  <c r="S37" i="37"/>
  <c r="S26" i="36"/>
  <c r="AA26" i="36"/>
  <c r="BL563" i="3"/>
  <c r="S45" i="34"/>
  <c r="AA45" i="34"/>
  <c r="W26" i="36"/>
  <c r="AC26" i="36"/>
  <c r="AA45" i="33"/>
  <c r="S45" i="33"/>
  <c r="AA11" i="33"/>
  <c r="S11" i="33"/>
  <c r="S21" i="40"/>
  <c r="AA21" i="40"/>
  <c r="AA19" i="39"/>
  <c r="S19" i="39"/>
  <c r="J36" i="39"/>
  <c r="AC36" i="39" s="1"/>
  <c r="F27" i="21"/>
  <c r="J27" i="21"/>
  <c r="H27" i="21"/>
  <c r="F30" i="21"/>
  <c r="J30" i="21"/>
  <c r="J46" i="21"/>
  <c r="F46" i="21"/>
  <c r="H46" i="21"/>
  <c r="AC33" i="33"/>
  <c r="W33" i="33"/>
  <c r="AA38" i="33"/>
  <c r="S38" i="33"/>
  <c r="W38" i="34"/>
  <c r="AC38" i="34"/>
  <c r="BA566" i="3"/>
  <c r="BL552" i="3"/>
  <c r="AZ552" i="3" s="1"/>
  <c r="BL526" i="3"/>
  <c r="BA521" i="3"/>
  <c r="U25" i="36"/>
  <c r="AA45" i="39"/>
  <c r="W27" i="40"/>
  <c r="F27" i="40"/>
  <c r="AB25" i="39"/>
  <c r="U25" i="39"/>
  <c r="G521" i="3"/>
  <c r="BL565" i="3"/>
  <c r="AZ565" i="3" s="1"/>
  <c r="BL573" i="3"/>
  <c r="J13" i="34"/>
  <c r="AB30" i="33"/>
  <c r="U30" i="33"/>
  <c r="W29" i="37"/>
  <c r="AC29" i="37"/>
  <c r="W14" i="36"/>
  <c r="AC14" i="36"/>
  <c r="AA17" i="40"/>
  <c r="S17" i="40"/>
  <c r="AA36" i="40"/>
  <c r="S36" i="40"/>
  <c r="H23" i="34"/>
  <c r="AB23" i="34" s="1"/>
  <c r="AA22" i="35"/>
  <c r="S22" i="35"/>
  <c r="AA37" i="39"/>
  <c r="S37" i="39"/>
  <c r="AB36" i="40"/>
  <c r="U36" i="40"/>
  <c r="AB32" i="33"/>
  <c r="U32" i="33"/>
  <c r="AC34" i="39"/>
  <c r="W34" i="39"/>
  <c r="AC38" i="40"/>
  <c r="W38" i="40"/>
  <c r="W36" i="37"/>
  <c r="AZ311" i="3"/>
  <c r="AZ325" i="3"/>
  <c r="W27" i="39"/>
  <c r="BL553" i="3"/>
  <c r="AZ553" i="3" s="1"/>
  <c r="BL559" i="3"/>
  <c r="AZ559" i="3" s="1"/>
  <c r="BL571" i="3"/>
  <c r="BL557" i="3"/>
  <c r="J13" i="35"/>
  <c r="J29" i="34"/>
  <c r="J46" i="33"/>
  <c r="AC11" i="40"/>
  <c r="S41" i="33"/>
  <c r="AA41" i="33"/>
  <c r="F31" i="39"/>
  <c r="J46" i="34"/>
  <c r="H46" i="34"/>
  <c r="AZ304" i="3"/>
  <c r="AZ376" i="3"/>
  <c r="AC13" i="40"/>
  <c r="BL519" i="3"/>
  <c r="BL567" i="3"/>
  <c r="BL581" i="3"/>
  <c r="J44" i="21"/>
  <c r="F17" i="34"/>
  <c r="AA17" i="34" s="1"/>
  <c r="U30" i="37"/>
  <c r="E78" i="34"/>
  <c r="F78" i="34" s="1"/>
  <c r="G78" i="34" s="1"/>
  <c r="F15" i="34"/>
  <c r="AA15" i="34" s="1"/>
  <c r="F88" i="34"/>
  <c r="G88" i="34" s="1"/>
  <c r="H88" i="34" s="1"/>
  <c r="I88" i="34" s="1"/>
  <c r="J88" i="34" s="1"/>
  <c r="K88" i="34" s="1"/>
  <c r="L88" i="34" s="1"/>
  <c r="M88" i="34" s="1"/>
  <c r="F25" i="34"/>
  <c r="S25" i="34" s="1"/>
  <c r="J25" i="34"/>
  <c r="AC25" i="34" s="1"/>
  <c r="AB12" i="36"/>
  <c r="U12" i="36"/>
  <c r="F25" i="37"/>
  <c r="AB9" i="39"/>
  <c r="U9" i="39"/>
  <c r="AB34" i="40"/>
  <c r="U34" i="40"/>
  <c r="G582" i="3"/>
  <c r="G574" i="3"/>
  <c r="D46" i="71"/>
  <c r="C47" i="71"/>
  <c r="D47" i="71" s="1"/>
  <c r="U8" i="39"/>
  <c r="AB8" i="39"/>
  <c r="BA14" i="3"/>
  <c r="BL14" i="3"/>
  <c r="BL416" i="3"/>
  <c r="G430" i="3"/>
  <c r="BL433" i="3"/>
  <c r="G469" i="3"/>
  <c r="BL484" i="3"/>
  <c r="BL367" i="3"/>
  <c r="BA392" i="3"/>
  <c r="AZ392" i="3" s="1"/>
  <c r="BL216" i="3"/>
  <c r="BA218" i="3"/>
  <c r="BL218" i="3"/>
  <c r="BA220" i="3"/>
  <c r="BL220" i="3"/>
  <c r="BL221" i="3"/>
  <c r="BL230" i="3"/>
  <c r="BL254" i="3"/>
  <c r="BA260" i="3"/>
  <c r="BL264" i="3"/>
  <c r="G268" i="3"/>
  <c r="BA268" i="3"/>
  <c r="G284" i="3"/>
  <c r="BL146" i="3"/>
  <c r="G150" i="3"/>
  <c r="G158" i="3"/>
  <c r="G170" i="3"/>
  <c r="BL173" i="3"/>
  <c r="G174" i="3"/>
  <c r="G195" i="3"/>
  <c r="G47" i="3"/>
  <c r="BL76" i="3"/>
  <c r="BL96" i="3"/>
  <c r="AA36" i="71"/>
  <c r="C59" i="71"/>
  <c r="F6" i="1"/>
  <c r="G421" i="3"/>
  <c r="G425" i="3"/>
  <c r="BL431" i="3"/>
  <c r="BA444" i="3"/>
  <c r="BA448" i="3"/>
  <c r="BL458" i="3"/>
  <c r="BL462" i="3"/>
  <c r="BA464" i="3"/>
  <c r="BA476" i="3"/>
  <c r="BA489" i="3"/>
  <c r="BA319" i="3"/>
  <c r="AZ319" i="3" s="1"/>
  <c r="BL350" i="3"/>
  <c r="BL386" i="3"/>
  <c r="G213" i="3"/>
  <c r="G226" i="3"/>
  <c r="BL228" i="3"/>
  <c r="BA231" i="3"/>
  <c r="G251" i="3"/>
  <c r="G255" i="3"/>
  <c r="BA255" i="3"/>
  <c r="BL259" i="3"/>
  <c r="G287" i="3"/>
  <c r="BA288" i="3"/>
  <c r="BL290" i="3"/>
  <c r="G26" i="3"/>
  <c r="G34" i="3"/>
  <c r="G58" i="3"/>
  <c r="BA72" i="3"/>
  <c r="G92" i="3"/>
  <c r="BL94" i="3"/>
  <c r="BL103" i="3"/>
  <c r="BA105" i="3"/>
  <c r="D80" i="71"/>
  <c r="C67" i="71"/>
  <c r="D67" i="71" s="1"/>
  <c r="E35" i="71"/>
  <c r="E36" i="71" s="1"/>
  <c r="U36" i="71" s="1"/>
  <c r="G586" i="3"/>
  <c r="G570" i="3"/>
  <c r="G401" i="3"/>
  <c r="G415" i="3"/>
  <c r="G447" i="3"/>
  <c r="BL469" i="3"/>
  <c r="G470" i="3"/>
  <c r="G474" i="3"/>
  <c r="G349" i="3"/>
  <c r="G362" i="3"/>
  <c r="G366" i="3"/>
  <c r="BL383" i="3"/>
  <c r="AZ383" i="3" s="1"/>
  <c r="BL224" i="3"/>
  <c r="G249" i="3"/>
  <c r="BL252" i="3"/>
  <c r="G261" i="3"/>
  <c r="G265" i="3"/>
  <c r="BA275" i="3"/>
  <c r="G281" i="3"/>
  <c r="G285" i="3"/>
  <c r="G295" i="3"/>
  <c r="BL298" i="3"/>
  <c r="G116" i="3"/>
  <c r="BA117" i="3"/>
  <c r="G128" i="3"/>
  <c r="G136" i="3"/>
  <c r="BA137" i="3"/>
  <c r="G144" i="3"/>
  <c r="G164" i="3"/>
  <c r="BA177" i="3"/>
  <c r="BL183" i="3"/>
  <c r="AZ183" i="3" s="1"/>
  <c r="BL44" i="3"/>
  <c r="BA45" i="3"/>
  <c r="BA46" i="3"/>
  <c r="G48" i="3"/>
  <c r="BL67" i="3"/>
  <c r="G69" i="3"/>
  <c r="BL82" i="3"/>
  <c r="BL83" i="3"/>
  <c r="G86" i="3"/>
  <c r="BA87" i="3"/>
  <c r="G99" i="3"/>
  <c r="G1" i="68"/>
  <c r="D52" i="43"/>
  <c r="D56" i="43"/>
  <c r="D68" i="71"/>
  <c r="C38" i="71"/>
  <c r="D38" i="71" s="1"/>
  <c r="F35" i="71"/>
  <c r="F36" i="71" s="1"/>
  <c r="V36" i="71" s="1"/>
  <c r="Y35" i="71"/>
  <c r="Z35" i="71" s="1"/>
  <c r="J51" i="15"/>
  <c r="C7" i="35"/>
  <c r="C48" i="35" s="1"/>
  <c r="D48" i="35" s="1"/>
  <c r="F11" i="1"/>
  <c r="G11" i="1" s="1"/>
  <c r="G44" i="43"/>
  <c r="BA16" i="3"/>
  <c r="BL16" i="3"/>
  <c r="AZ16" i="3" s="1"/>
  <c r="A4" i="52"/>
  <c r="B41" i="72" s="1"/>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AZ580" i="3" s="1"/>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AZ533" i="3" s="1"/>
  <c r="G531" i="3"/>
  <c r="BA530" i="3"/>
  <c r="G530" i="3"/>
  <c r="BR5" i="3"/>
  <c r="G529" i="3"/>
  <c r="G528" i="3"/>
  <c r="BT5" i="3"/>
  <c r="BL525" i="3"/>
  <c r="BA525" i="3"/>
  <c r="AZ525" i="3" s="1"/>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G218" i="3"/>
  <c r="BL222" i="3"/>
  <c r="BL223" i="3"/>
  <c r="G225" i="3"/>
  <c r="BA230" i="3"/>
  <c r="AZ230" i="3" s="1"/>
  <c r="BL234" i="3"/>
  <c r="BL237" i="3"/>
  <c r="BA238" i="3"/>
  <c r="G246" i="3"/>
  <c r="BA246" i="3"/>
  <c r="BL248" i="3"/>
  <c r="G250" i="3"/>
  <c r="G256" i="3"/>
  <c r="BA256" i="3"/>
  <c r="BL256" i="3"/>
  <c r="G259" i="3"/>
  <c r="G260" i="3"/>
  <c r="BA265" i="3"/>
  <c r="BL269" i="3"/>
  <c r="BL278" i="3"/>
  <c r="BA283" i="3"/>
  <c r="G286" i="3"/>
  <c r="BA291" i="3"/>
  <c r="BL291" i="3"/>
  <c r="G299" i="3"/>
  <c r="BL300" i="3"/>
  <c r="BA162" i="3"/>
  <c r="BL181" i="3"/>
  <c r="BA194" i="3"/>
  <c r="BA201" i="3"/>
  <c r="BL201" i="3"/>
  <c r="BL203" i="3"/>
  <c r="AZ203" i="3" s="1"/>
  <c r="BA204" i="3"/>
  <c r="AZ204" i="3" s="1"/>
  <c r="BL21" i="3"/>
  <c r="BA22" i="3"/>
  <c r="BA30" i="3"/>
  <c r="BL52" i="3"/>
  <c r="BL53" i="3"/>
  <c r="BL64" i="3"/>
  <c r="AZ64" i="3" s="1"/>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A24" i="51"/>
  <c r="B18" i="72" s="1"/>
  <c r="W43" i="34"/>
  <c r="S35" i="34"/>
  <c r="U25" i="34"/>
  <c r="W25" i="34"/>
  <c r="U43"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BA537" i="3"/>
  <c r="AZ537" i="3" s="1"/>
  <c r="BA535" i="3"/>
  <c r="BL530" i="3"/>
  <c r="AZ530" i="3" s="1"/>
  <c r="BL528" i="3"/>
  <c r="BA528" i="3"/>
  <c r="AZ528" i="3" s="1"/>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G493" i="3"/>
  <c r="H5" i="3"/>
  <c r="AZ519" i="3"/>
  <c r="BL546" i="3"/>
  <c r="BA546" i="3"/>
  <c r="BL545" i="3"/>
  <c r="BA545" i="3"/>
  <c r="BA542" i="3"/>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BL514" i="3"/>
  <c r="AZ514" i="3" s="1"/>
  <c r="BA513" i="3"/>
  <c r="AZ513" i="3" s="1"/>
  <c r="BA512" i="3"/>
  <c r="AZ512" i="3" s="1"/>
  <c r="BA511" i="3"/>
  <c r="BL510" i="3"/>
  <c r="BA510" i="3"/>
  <c r="BL509" i="3"/>
  <c r="BA509" i="3"/>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BL543" i="3"/>
  <c r="AZ564" i="3"/>
  <c r="S11" i="36"/>
  <c r="AB26" i="33"/>
  <c r="AA14" i="33"/>
  <c r="W28" i="35"/>
  <c r="W31" i="37"/>
  <c r="G587" i="3"/>
  <c r="B101" i="43"/>
  <c r="B79" i="43"/>
  <c r="F9" i="33"/>
  <c r="AA9" i="33" s="1"/>
  <c r="AB31" i="35"/>
  <c r="J9" i="36"/>
  <c r="F38" i="40"/>
  <c r="H38" i="40"/>
  <c r="G556" i="3"/>
  <c r="BL535" i="3"/>
  <c r="AZ577" i="3"/>
  <c r="AZ566" i="3"/>
  <c r="W11" i="35"/>
  <c r="AC11" i="35"/>
  <c r="AC22" i="35"/>
  <c r="W22" i="35"/>
  <c r="H23" i="36"/>
  <c r="J23" i="36"/>
  <c r="AC8" i="40"/>
  <c r="W8" i="40"/>
  <c r="J39" i="40"/>
  <c r="H39" i="40"/>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AZ470" i="3" s="1"/>
  <c r="BL550" i="3"/>
  <c r="BL15" i="3"/>
  <c r="AZ15" i="3" s="1"/>
  <c r="BA398" i="3"/>
  <c r="BA399" i="3"/>
  <c r="AZ399" i="3" s="1"/>
  <c r="BA401" i="3"/>
  <c r="AZ401" i="3" s="1"/>
  <c r="G404" i="3"/>
  <c r="BL404" i="3"/>
  <c r="AZ404" i="3" s="1"/>
  <c r="BL405" i="3"/>
  <c r="AZ405" i="3" s="1"/>
  <c r="BL409" i="3"/>
  <c r="BA424" i="3"/>
  <c r="BL440" i="3"/>
  <c r="G444" i="3"/>
  <c r="AZ451" i="3"/>
  <c r="BA452" i="3"/>
  <c r="BA456" i="3"/>
  <c r="AZ456" i="3" s="1"/>
  <c r="G466" i="3"/>
  <c r="BA473" i="3"/>
  <c r="AZ473" i="3" s="1"/>
  <c r="BL487" i="3"/>
  <c r="AZ487" i="3" s="1"/>
  <c r="BL488" i="3"/>
  <c r="BL408" i="3"/>
  <c r="BL411" i="3"/>
  <c r="BL413" i="3"/>
  <c r="AZ413" i="3" s="1"/>
  <c r="G416" i="3"/>
  <c r="BL417" i="3"/>
  <c r="BL418" i="3"/>
  <c r="AZ418" i="3" s="1"/>
  <c r="BL420" i="3"/>
  <c r="G423" i="3"/>
  <c r="BL424" i="3"/>
  <c r="AZ424" i="3" s="1"/>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AZ478" i="3" s="1"/>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BL421" i="3"/>
  <c r="BL422" i="3"/>
  <c r="AZ422" i="3" s="1"/>
  <c r="BL425" i="3"/>
  <c r="BL426" i="3"/>
  <c r="BA428" i="3"/>
  <c r="AZ428" i="3" s="1"/>
  <c r="BA429" i="3"/>
  <c r="AZ429" i="3" s="1"/>
  <c r="BA430" i="3"/>
  <c r="AZ430" i="3" s="1"/>
  <c r="BA432" i="3"/>
  <c r="BA434" i="3"/>
  <c r="BA436" i="3"/>
  <c r="BA438" i="3"/>
  <c r="AZ438" i="3" s="1"/>
  <c r="G442" i="3"/>
  <c r="G443" i="3"/>
  <c r="BA446" i="3"/>
  <c r="AZ446" i="3" s="1"/>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BA426" i="3"/>
  <c r="AZ426" i="3" s="1"/>
  <c r="BA427" i="3"/>
  <c r="AZ427" i="3" s="1"/>
  <c r="BA433" i="3"/>
  <c r="AZ433" i="3" s="1"/>
  <c r="BA435" i="3"/>
  <c r="BL437" i="3"/>
  <c r="AZ437" i="3" s="1"/>
  <c r="G439" i="3"/>
  <c r="BL441" i="3"/>
  <c r="BL442" i="3"/>
  <c r="AZ442" i="3" s="1"/>
  <c r="BL444" i="3"/>
  <c r="AZ444" i="3" s="1"/>
  <c r="G446" i="3"/>
  <c r="BL448" i="3"/>
  <c r="AZ448" i="3" s="1"/>
  <c r="G450" i="3"/>
  <c r="BA454" i="3"/>
  <c r="AZ454" i="3" s="1"/>
  <c r="BA457" i="3"/>
  <c r="BA459" i="3"/>
  <c r="BA460" i="3"/>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BA271" i="3"/>
  <c r="BL271" i="3"/>
  <c r="BA274" i="3"/>
  <c r="BL274" i="3"/>
  <c r="BA276" i="3"/>
  <c r="BA279" i="3"/>
  <c r="BA281" i="3"/>
  <c r="G291" i="3"/>
  <c r="BA296" i="3"/>
  <c r="BA116" i="3"/>
  <c r="AZ116" i="3" s="1"/>
  <c r="BA121" i="3"/>
  <c r="BL121" i="3"/>
  <c r="BA124" i="3"/>
  <c r="AZ124" i="3" s="1"/>
  <c r="BA126" i="3"/>
  <c r="BA129" i="3"/>
  <c r="BL133" i="3"/>
  <c r="BL139" i="3"/>
  <c r="AZ139" i="3" s="1"/>
  <c r="G140" i="3"/>
  <c r="BL141" i="3"/>
  <c r="BL143" i="3"/>
  <c r="AZ143" i="3" s="1"/>
  <c r="G146" i="3"/>
  <c r="G147" i="3"/>
  <c r="G154" i="3"/>
  <c r="G156" i="3"/>
  <c r="BL157" i="3"/>
  <c r="AZ157" i="3" s="1"/>
  <c r="BL159" i="3"/>
  <c r="AZ159" i="3" s="1"/>
  <c r="G160" i="3"/>
  <c r="BL166" i="3"/>
  <c r="BL167" i="3"/>
  <c r="AZ167" i="3" s="1"/>
  <c r="BL177" i="3"/>
  <c r="AZ177" i="3" s="1"/>
  <c r="G179" i="3"/>
  <c r="BA226" i="3"/>
  <c r="BA237" i="3"/>
  <c r="AZ237" i="3" s="1"/>
  <c r="BL240" i="3"/>
  <c r="AZ240" i="3" s="1"/>
  <c r="BA242" i="3"/>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224" i="3"/>
  <c r="BA227" i="3"/>
  <c r="BA229" i="3"/>
  <c r="BL229" i="3"/>
  <c r="BL231" i="3"/>
  <c r="G233" i="3"/>
  <c r="BL233" i="3"/>
  <c r="AZ233" i="3" s="1"/>
  <c r="G235" i="3"/>
  <c r="BL235" i="3"/>
  <c r="AZ235" i="3" s="1"/>
  <c r="BL236" i="3"/>
  <c r="G237" i="3"/>
  <c r="BL238" i="3"/>
  <c r="AZ238" i="3" s="1"/>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BA184" i="3"/>
  <c r="AZ184" i="3" s="1"/>
  <c r="BL187" i="3"/>
  <c r="AZ187" i="3" s="1"/>
  <c r="BL189" i="3"/>
  <c r="AZ189" i="3" s="1"/>
  <c r="BL190" i="3"/>
  <c r="BA192" i="3"/>
  <c r="AZ192" i="3" s="1"/>
  <c r="BL197" i="3"/>
  <c r="BL199" i="3"/>
  <c r="AZ199" i="3" s="1"/>
  <c r="BA200" i="3"/>
  <c r="AZ200" i="3" s="1"/>
  <c r="BA202" i="3"/>
  <c r="BL207" i="3"/>
  <c r="BL18" i="3"/>
  <c r="BL19" i="3"/>
  <c r="BA20" i="3"/>
  <c r="BL25" i="3"/>
  <c r="AZ25" i="3" s="1"/>
  <c r="BL27" i="3"/>
  <c r="BA28" i="3"/>
  <c r="AZ28" i="3" s="1"/>
  <c r="BA31" i="3"/>
  <c r="BA32" i="3"/>
  <c r="G38" i="3"/>
  <c r="BA38" i="3"/>
  <c r="BA41" i="3"/>
  <c r="BA42" i="3"/>
  <c r="BL48" i="3"/>
  <c r="BL54" i="3"/>
  <c r="BL55" i="3"/>
  <c r="AZ55" i="3" s="1"/>
  <c r="BA59" i="3"/>
  <c r="BL61"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BA58" i="3"/>
  <c r="AZ58" i="3" s="1"/>
  <c r="BL59" i="3"/>
  <c r="BL60" i="3"/>
  <c r="BA61" i="3"/>
  <c r="BL69" i="3"/>
  <c r="G70" i="3"/>
  <c r="BL70" i="3"/>
  <c r="AZ70" i="3" s="1"/>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C52" i="71"/>
  <c r="D51" i="71"/>
  <c r="BA180" i="3"/>
  <c r="AZ180" i="3" s="1"/>
  <c r="BL182" i="3"/>
  <c r="BA185" i="3"/>
  <c r="AZ185" i="3" s="1"/>
  <c r="BA193" i="3"/>
  <c r="BA196" i="3"/>
  <c r="AZ196" i="3" s="1"/>
  <c r="G203" i="3"/>
  <c r="BA205" i="3"/>
  <c r="AZ205" i="3" s="1"/>
  <c r="BL20" i="3"/>
  <c r="BA21" i="3"/>
  <c r="AZ21" i="3" s="1"/>
  <c r="AZ38" i="3"/>
  <c r="BL47" i="3"/>
  <c r="AZ47" i="3" s="1"/>
  <c r="G49" i="3"/>
  <c r="G50" i="3"/>
  <c r="G52" i="3"/>
  <c r="BA52" i="3"/>
  <c r="AZ52" i="3" s="1"/>
  <c r="BA53" i="3"/>
  <c r="AZ53" i="3" s="1"/>
  <c r="BA54" i="3"/>
  <c r="AZ54" i="3" s="1"/>
  <c r="BL57" i="3"/>
  <c r="AZ57" i="3" s="1"/>
  <c r="G59" i="3"/>
  <c r="G62" i="3"/>
  <c r="BL62" i="3"/>
  <c r="AZ62" i="3" s="1"/>
  <c r="BL63" i="3"/>
  <c r="G67" i="3"/>
  <c r="BL68" i="3"/>
  <c r="BA69" i="3"/>
  <c r="AZ69" i="3" s="1"/>
  <c r="BA73" i="3"/>
  <c r="AZ73" i="3" s="1"/>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E19" i="71" s="1"/>
  <c r="E18" i="71" s="1"/>
  <c r="E17" i="71" s="1"/>
  <c r="E16"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BA66" i="3"/>
  <c r="AZ66" i="3" s="1"/>
  <c r="BA71" i="3"/>
  <c r="AZ71" i="3" s="1"/>
  <c r="G76" i="3"/>
  <c r="BL77" i="3"/>
  <c r="AZ77" i="3" s="1"/>
  <c r="BA79" i="3"/>
  <c r="AZ79" i="3" s="1"/>
  <c r="G82" i="3"/>
  <c r="G83" i="3"/>
  <c r="BA84" i="3"/>
  <c r="BL88" i="3"/>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5" i="3"/>
  <c r="AZ449" i="3"/>
  <c r="AZ452" i="3"/>
  <c r="AZ467" i="3"/>
  <c r="AZ468" i="3"/>
  <c r="W35" i="39"/>
  <c r="F27" i="34"/>
  <c r="C21" i="39"/>
  <c r="U9" i="36"/>
  <c r="U14" i="37"/>
  <c r="H12" i="21"/>
  <c r="G526" i="3"/>
  <c r="AZ420" i="3"/>
  <c r="AZ434" i="3"/>
  <c r="AZ43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Q71" i="67"/>
  <c r="B13" i="70"/>
  <c r="F64" i="67"/>
  <c r="D9" i="68"/>
  <c r="D7" i="73"/>
  <c r="M26" i="15"/>
  <c r="M9" i="15"/>
  <c r="F8" i="15"/>
  <c r="M26" i="67"/>
  <c r="M22" i="15"/>
  <c r="D9" i="69"/>
  <c r="L47" i="67"/>
  <c r="M6" i="67"/>
  <c r="F27" i="69"/>
  <c r="M23" i="67"/>
  <c r="F7" i="15"/>
  <c r="M29" i="15"/>
  <c r="F43" i="67"/>
  <c r="F40" i="67"/>
  <c r="M29" i="67"/>
  <c r="M8" i="15"/>
  <c r="L47" i="15"/>
  <c r="F36" i="15"/>
  <c r="D5" i="73"/>
  <c r="M23" i="15"/>
  <c r="M6" i="15"/>
  <c r="F42" i="15"/>
  <c r="F6" i="67"/>
  <c r="L48" i="67"/>
  <c r="M28" i="15"/>
  <c r="F26" i="15"/>
  <c r="F43" i="15"/>
  <c r="F9" i="15"/>
  <c r="M22" i="67"/>
  <c r="F16" i="15"/>
  <c r="F37" i="15"/>
  <c r="F13" i="15"/>
  <c r="M8" i="67"/>
  <c r="J15" i="15"/>
  <c r="F38" i="15"/>
  <c r="F7" i="67"/>
  <c r="D4" i="73"/>
  <c r="F13" i="67"/>
  <c r="F40" i="15"/>
  <c r="F6" i="15"/>
  <c r="D3" i="73"/>
  <c r="F38" i="67"/>
  <c r="F8" i="67"/>
  <c r="C76" i="15"/>
  <c r="M24" i="15"/>
  <c r="F26" i="67"/>
  <c r="L48" i="15"/>
  <c r="C28" i="67" l="1"/>
  <c r="C77" i="9"/>
  <c r="C74" i="9" s="1"/>
  <c r="F66" i="67"/>
  <c r="AA25" i="37"/>
  <c r="S25" i="37"/>
  <c r="AA31" i="39"/>
  <c r="S31" i="39"/>
  <c r="AC46" i="33"/>
  <c r="W46" i="33"/>
  <c r="AA46" i="21"/>
  <c r="S46" i="21"/>
  <c r="AB27" i="21"/>
  <c r="U27" i="21"/>
  <c r="AC35" i="35"/>
  <c r="W35" i="35"/>
  <c r="AC47" i="34"/>
  <c r="W47" i="34"/>
  <c r="U14" i="33"/>
  <c r="AB14" i="33"/>
  <c r="W9" i="35"/>
  <c r="AC9" i="35"/>
  <c r="S36" i="39"/>
  <c r="AA36" i="39"/>
  <c r="U27" i="40"/>
  <c r="AB27" i="40"/>
  <c r="V20" i="71"/>
  <c r="AZ169" i="3"/>
  <c r="AZ251" i="3"/>
  <c r="AZ247" i="3"/>
  <c r="AZ271" i="3"/>
  <c r="AZ282" i="3"/>
  <c r="AZ460" i="3"/>
  <c r="AZ425" i="3"/>
  <c r="AZ539" i="3"/>
  <c r="AZ277" i="3"/>
  <c r="AZ201" i="3"/>
  <c r="AZ256" i="3"/>
  <c r="AZ149" i="3"/>
  <c r="AC29" i="34"/>
  <c r="W29" i="34"/>
  <c r="S27" i="40"/>
  <c r="AA27" i="40"/>
  <c r="W27" i="21"/>
  <c r="AC27" i="21"/>
  <c r="S47" i="34"/>
  <c r="AA47" i="34"/>
  <c r="AA13" i="34"/>
  <c r="S13" i="34"/>
  <c r="W14" i="33"/>
  <c r="AC14" i="33"/>
  <c r="AB9" i="34"/>
  <c r="U9" i="34"/>
  <c r="AZ295" i="3"/>
  <c r="AZ279" i="3"/>
  <c r="AC45" i="39"/>
  <c r="AZ88" i="3"/>
  <c r="AZ178" i="3"/>
  <c r="AZ133" i="3"/>
  <c r="AZ269" i="3"/>
  <c r="AZ459" i="3"/>
  <c r="AZ441" i="3"/>
  <c r="AZ547" i="3"/>
  <c r="AZ509" i="3"/>
  <c r="AZ516" i="3"/>
  <c r="AZ546" i="3"/>
  <c r="AZ522" i="3"/>
  <c r="AZ541" i="3"/>
  <c r="AC40" i="34"/>
  <c r="AZ252" i="3"/>
  <c r="AC13" i="35"/>
  <c r="W13" i="35"/>
  <c r="AC30" i="21"/>
  <c r="W30" i="21"/>
  <c r="AA27" i="21"/>
  <c r="S27" i="21"/>
  <c r="AA35" i="35"/>
  <c r="S35" i="35"/>
  <c r="S31" i="34"/>
  <c r="AA31" i="34"/>
  <c r="AB44" i="33"/>
  <c r="U44" i="33"/>
  <c r="AZ98" i="3"/>
  <c r="AZ84" i="3"/>
  <c r="AZ63" i="3"/>
  <c r="AZ242" i="3"/>
  <c r="AZ457" i="3"/>
  <c r="AZ432" i="3"/>
  <c r="AZ417" i="3"/>
  <c r="AZ535" i="3"/>
  <c r="AZ542" i="3"/>
  <c r="AZ493" i="3"/>
  <c r="AZ186" i="3"/>
  <c r="AZ216" i="3"/>
  <c r="AZ462" i="3"/>
  <c r="AZ218" i="3"/>
  <c r="W46" i="34"/>
  <c r="AC46" i="34"/>
  <c r="W13" i="34"/>
  <c r="AC13" i="34"/>
  <c r="U46" i="21"/>
  <c r="AB46" i="21"/>
  <c r="S30" i="21"/>
  <c r="AA30" i="21"/>
  <c r="U47" i="34"/>
  <c r="AB47" i="34"/>
  <c r="AC44" i="33"/>
  <c r="W44" i="33"/>
  <c r="C44" i="43"/>
  <c r="E14" i="6"/>
  <c r="E63" i="39" s="1"/>
  <c r="E13" i="6"/>
  <c r="E58" i="40" s="1"/>
  <c r="W37" i="34"/>
  <c r="E28" i="6"/>
  <c r="K14" i="1" s="1"/>
  <c r="E12" i="6"/>
  <c r="E57" i="40" s="1"/>
  <c r="M6" i="1"/>
  <c r="O6" i="1" s="1"/>
  <c r="Q16" i="1"/>
  <c r="F28" i="12" s="1"/>
  <c r="C29" i="12" s="1"/>
  <c r="D28" i="12" s="1"/>
  <c r="H16" i="1"/>
  <c r="E10" i="6"/>
  <c r="E59" i="40"/>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E60" i="40"/>
  <c r="E51" i="40"/>
  <c r="M14" i="1"/>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AE7" i="1"/>
  <c r="AE8" i="1"/>
  <c r="AE12" i="1"/>
  <c r="AE10" i="1"/>
  <c r="C36" i="69"/>
  <c r="C16" i="15"/>
  <c r="C16" i="67"/>
  <c r="G1" i="73"/>
  <c r="E62" i="39" l="1"/>
  <c r="AZ5" i="3"/>
  <c r="E3" i="6" s="1"/>
  <c r="W7" i="36"/>
  <c r="S7" i="36"/>
  <c r="Q60" i="67"/>
  <c r="F27" i="68"/>
  <c r="C47" i="68" s="1"/>
  <c r="D45" i="68" s="1"/>
  <c r="F1" i="67"/>
  <c r="E16" i="6"/>
  <c r="Q61" i="67"/>
  <c r="E56" i="40"/>
  <c r="D26" i="43"/>
  <c r="C25" i="43" s="1"/>
  <c r="C33" i="43" s="1"/>
  <c r="C21" i="71"/>
  <c r="D22" i="71"/>
  <c r="T32" i="71"/>
  <c r="D32" i="71"/>
  <c r="U7" i="36"/>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548" i="3"/>
  <c r="D3" i="21"/>
  <c r="E6" i="6"/>
  <c r="D37" i="11"/>
  <c r="D14" i="12"/>
  <c r="M18" i="9"/>
  <c r="B118" i="9" s="1"/>
  <c r="I91" i="9" s="1"/>
  <c r="D3" i="34"/>
  <c r="D19" i="11"/>
  <c r="C19" i="11" s="1"/>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AE6" i="1"/>
  <c r="M27" i="15"/>
  <c r="F41" i="67"/>
  <c r="G67" i="39" l="1"/>
  <c r="G47" i="37"/>
  <c r="H47" i="37" s="1"/>
  <c r="AY200" i="3"/>
  <c r="F45" i="68"/>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14" i="67"/>
  <c r="C34" i="69"/>
  <c r="F41" i="15"/>
  <c r="C17" i="67"/>
  <c r="C17" i="15"/>
  <c r="F69" i="15" l="1"/>
  <c r="D11" i="6"/>
  <c r="D20" i="6"/>
  <c r="C18" i="4"/>
  <c r="C4" i="52" s="1"/>
  <c r="B45" i="72" s="1"/>
  <c r="D15" i="6"/>
  <c r="H22" i="6"/>
  <c r="R22" i="6" s="1"/>
  <c r="R9" i="1" s="1"/>
  <c r="C18" i="12"/>
  <c r="H26" i="6"/>
  <c r="D6" i="6"/>
  <c r="E61" i="40"/>
  <c r="D12" i="6"/>
  <c r="D19" i="6"/>
  <c r="M19" i="9" s="1"/>
  <c r="C118" i="9" s="1"/>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C15" i="12"/>
  <c r="C12" i="12"/>
  <c r="C10" i="69"/>
  <c r="C8" i="69" s="1"/>
  <c r="D19" i="69"/>
  <c r="F50" i="69"/>
  <c r="F50" i="11"/>
  <c r="F50" i="68"/>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2" i="74" l="1"/>
  <c r="D7" i="74" s="1"/>
  <c r="C88" i="9"/>
  <c r="B3" i="43"/>
  <c r="C6" i="68"/>
  <c r="C7" i="68" s="1"/>
  <c r="C5" i="68" s="1"/>
  <c r="C23" i="68"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C15" i="71" l="1"/>
  <c r="T16" i="71"/>
  <c r="D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E52" i="21"/>
  <c r="F52"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C19" i="9"/>
  <c r="AO9" i="1"/>
  <c r="AO12" i="1"/>
  <c r="AO8" i="1"/>
  <c r="AO11" i="1"/>
  <c r="AO10"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B6" i="70" l="1"/>
  <c r="B2" i="70" s="1"/>
  <c r="B3" i="70" s="1"/>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K5" i="74" s="1"/>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C89" i="9" l="1"/>
  <c r="C87" i="9" s="1"/>
  <c r="C91" i="9"/>
  <c r="C94" i="9" l="1"/>
  <c r="C92" i="9"/>
  <c r="C86" i="9" s="1"/>
  <c r="C95" i="9" s="1"/>
  <c r="C96" i="9" s="1"/>
  <c r="E96" i="9" s="1"/>
  <c r="E97" i="9" s="1"/>
  <c r="C97" i="9" l="1"/>
  <c r="D58" i="9" s="1"/>
  <c r="D56" i="9" s="1"/>
  <c r="M54" i="9" s="1"/>
  <c r="N57" i="9" s="1"/>
  <c r="N58" i="9" s="1"/>
  <c r="P57" i="9" l="1"/>
  <c r="N59" i="9"/>
  <c r="H111" i="9" s="1"/>
  <c r="D126" i="9" l="1"/>
  <c r="D19" i="53"/>
  <c r="N61" i="9"/>
  <c r="H112" i="9" s="1"/>
  <c r="D21" i="53" s="1"/>
  <c r="B39" i="72" s="1"/>
  <c r="B8" i="74"/>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在建项目均选择“是”</t>
        </r>
      </text>
    </comment>
    <comment ref="F59" authorId="1" shapeId="0" xr:uid="{00000000-0006-0000-2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700-000006000000}">
      <text>
        <r>
          <rPr>
            <sz val="10"/>
            <color indexed="81"/>
            <rFont val="宋体"/>
            <family val="3"/>
            <charset val="134"/>
          </rPr>
          <t xml:space="preserve">在建
</t>
        </r>
      </text>
    </comment>
    <comment ref="N59" authorId="0" shapeId="0" xr:uid="{00000000-0006-0000-27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<sst xmlns="http://schemas.openxmlformats.org/spreadsheetml/2006/main" count="8029" uniqueCount="3540">
  <si>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</si>
  <si>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</si>
  <si>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</si>
  <si>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</si>
  <si>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</si>
  <si>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</si>
  <si>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</si>
  <si>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</si>
  <si>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</si>
  <si>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</si>
  <si>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</si>
  <si>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</si>
  <si>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</si>
  <si>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</si>
  <si>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</si>
  <si>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</si>
  <si>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</si>
  <si>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</si>
  <si>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</si>
  <si>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</si>
  <si>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</si>
  <si>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</si>
  <si>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</si>
  <si>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</si>
  <si>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</si>
  <si>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</si>
  <si>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</si>
  <si>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</si>
  <si>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</si>
  <si>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</si>
  <si>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</si>
  <si>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</si>
  <si>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</si>
  <si>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</si>
  <si>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</si>
  <si>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</si>
  <si>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</si>
  <si>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</si>
  <si>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</si>
  <si>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</si>
  <si>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</si>
  <si>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</si>
  <si>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</si>
  <si>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</si>
  <si>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</si>
  <si>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</si>
  <si>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</si>
  <si>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</si>
  <si>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</si>
  <si>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</si>
  <si>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</si>
  <si>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</si>
  <si>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</si>
  <si>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</si>
  <si>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</si>
  <si>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</si>
  <si>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</si>
  <si>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</si>
  <si>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</si>
  <si>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</si>
  <si>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</si>
  <si>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</si>
  <si>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</si>
  <si>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</si>
  <si>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</si>
  <si>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</si>
  <si>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</si>
  <si>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</si>
  <si>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</si>
  <si>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</si>
  <si>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</si>
  <si>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</si>
  <si>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</si>
  <si>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</si>
  <si>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</si>
  <si>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</si>
  <si>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</si>
  <si>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</si>
  <si>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</si>
  <si>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</si>
  <si>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</si>
  <si>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</si>
  <si>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</si>
  <si>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</si>
  <si>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</si>
  <si>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</si>
  <si>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</si>
  <si>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</si>
  <si>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</si>
  <si>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</si>
  <si>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</si>
  <si>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</si>
  <si>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</si>
  <si>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</si>
  <si>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</si>
  <si>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</si>
  <si>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</si>
  <si>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</si>
  <si>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</si>
  <si>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</si>
  <si>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</si>
  <si>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</si>
  <si>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</si>
  <si>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</si>
  <si>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</si>
  <si>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</si>
  <si>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</si>
  <si>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</si>
  <si>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</si>
  <si>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</si>
  <si>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</si>
  <si>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</si>
  <si>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</si>
  <si>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</si>
  <si>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</si>
  <si>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</si>
  <si>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</si>
  <si>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</si>
  <si>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</si>
  <si>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</si>
  <si>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</si>
  <si>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</si>
  <si>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</si>
  <si>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</si>
  <si>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</si>
  <si>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</si>
  <si>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</si>
  <si>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</si>
  <si>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</si>
  <si>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</si>
  <si>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</si>
  <si>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</si>
  <si>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</si>
  <si>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</si>
  <si>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</si>
  <si>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</si>
  <si>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</si>
  <si>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</si>
  <si>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</si>
  <si>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</si>
  <si>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</si>
  <si>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</si>
  <si>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</si>
  <si>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</si>
  <si>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</si>
  <si>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</si>
  <si>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</si>
  <si>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</si>
  <si>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</si>
  <si>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</si>
  <si>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</si>
  <si>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</si>
  <si>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</si>
  <si>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</si>
  <si>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</si>
  <si>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</si>
  <si>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</si>
  <si>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</si>
  <si>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</si>
  <si>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</si>
  <si>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</si>
  <si>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</si>
  <si>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</si>
  <si>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</si>
  <si>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</si>
  <si>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</si>
  <si>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</si>
  <si>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</si>
  <si>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</si>
  <si>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</si>
  <si>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</si>
  <si>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</si>
  <si>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</si>
  <si>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</si>
  <si>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</si>
  <si>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</si>
  <si>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</si>
  <si>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</si>
  <si>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</si>
  <si>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</si>
  <si>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</si>
  <si>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</si>
  <si>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</si>
  <si>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</si>
  <si>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</si>
  <si>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</si>
  <si>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</si>
  <si>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</si>
  <si>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</si>
  <si>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</si>
  <si>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</si>
  <si>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</si>
  <si>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</si>
  <si>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</si>
  <si>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</si>
  <si>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</si>
  <si>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</si>
  <si>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</si>
  <si>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</si>
  <si>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</si>
  <si>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</si>
  <si>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</si>
  <si>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</si>
  <si>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</si>
  <si>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</si>
  <si>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</si>
  <si>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</si>
  <si>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</si>
  <si>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</si>
  <si>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</si>
  <si>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</si>
  <si>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</si>
  <si>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</si>
  <si>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</si>
  <si>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</si>
  <si>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</si>
  <si>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</si>
  <si>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</si>
  <si>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</si>
  <si>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</si>
  <si>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</si>
  <si>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</si>
  <si>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</si>
  <si>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</si>
  <si>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</si>
  <si>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</si>
  <si>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</si>
  <si>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</si>
  <si>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</si>
  <si>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</si>
  <si>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</si>
  <si>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</si>
  <si>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</si>
  <si>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</si>
  <si>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</si>
  <si>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</si>
  <si>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</si>
  <si>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</si>
  <si>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</si>
  <si>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</si>
  <si>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</si>
  <si>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</si>
  <si>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</si>
  <si>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</si>
  <si>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</si>
  <si>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</si>
  <si>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</si>
  <si>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</si>
  <si>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</si>
  <si>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</si>
  <si>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</si>
  <si>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</si>
  <si>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</si>
  <si>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</si>
  <si>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</si>
  <si>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</si>
  <si>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</si>
  <si>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</si>
  <si>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</si>
  <si>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</si>
  <si>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</si>
  <si>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</si>
  <si>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</si>
  <si>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</si>
  <si>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</si>
  <si>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</si>
  <si>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</si>
  <si>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</si>
  <si>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</si>
  <si>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</si>
  <si>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</si>
  <si>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</si>
  <si>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</si>
  <si>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</si>
  <si>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</si>
  <si>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</si>
  <si>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</si>
  <si>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</si>
  <si>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</si>
  <si>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</si>
  <si>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</si>
  <si>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</si>
  <si>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</si>
  <si>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</si>
  <si>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</si>
  <si>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</si>
  <si>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</si>
  <si>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</si>
  <si>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</si>
  <si>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</si>
  <si>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</si>
  <si>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</si>
  <si>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</si>
  <si>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</si>
  <si>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</si>
  <si>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</si>
  <si>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</si>
  <si>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</si>
  <si>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</si>
  <si>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</si>
  <si>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</si>
  <si>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</si>
  <si>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</si>
  <si>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</si>
  <si>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</si>
  <si>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</si>
  <si>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</si>
  <si>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</si>
  <si>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</si>
  <si>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</si>
  <si>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</si>
  <si>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</si>
  <si>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</si>
  <si>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</si>
  <si>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</si>
  <si>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</si>
  <si>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</si>
  <si>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</si>
  <si>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</si>
  <si>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</si>
  <si>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</si>
  <si>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</si>
  <si>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</si>
  <si>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</si>
  <si>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</si>
  <si>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</si>
  <si>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</si>
  <si>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</si>
  <si>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</si>
  <si>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</si>
  <si>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</si>
  <si>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</si>
  <si>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</si>
  <si>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</si>
  <si>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</si>
  <si>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</si>
  <si>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</si>
  <si>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</si>
  <si>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</si>
  <si>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</si>
  <si>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</si>
  <si>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</si>
  <si>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</si>
  <si>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</si>
  <si>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</si>
  <si>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</si>
  <si>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</si>
  <si>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</si>
  <si>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</si>
  <si>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</si>
  <si>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</si>
  <si>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</si>
  <si>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</si>
  <si>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</si>
  <si>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</si>
  <si>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</si>
  <si>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</si>
  <si>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</si>
  <si>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</si>
  <si>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</si>
  <si>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</si>
  <si>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</si>
  <si>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</si>
  <si>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</si>
  <si>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</si>
  <si>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</si>
  <si>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</si>
  <si>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</si>
  <si>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</si>
  <si>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</si>
  <si>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</si>
  <si>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</si>
  <si>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</si>
  <si>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</si>
  <si>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</si>
  <si>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</si>
  <si>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</si>
  <si>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</si>
  <si>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</si>
  <si>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</si>
  <si>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</si>
  <si>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</si>
  <si>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</si>
  <si>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</si>
  <si>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</si>
  <si>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</si>
  <si>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</si>
  <si>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</si>
  <si>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</si>
  <si>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</si>
  <si>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</si>
  <si>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</si>
  <si>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</si>
  <si>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</si>
  <si>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</si>
  <si>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</si>
  <si>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</si>
  <si>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</si>
  <si>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</si>
  <si>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</si>
  <si>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</si>
  <si>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</si>
  <si>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</si>
  <si>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</si>
  <si>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</si>
  <si>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</si>
  <si>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</si>
  <si>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</si>
  <si>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</si>
  <si>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</si>
  <si>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</si>
  <si>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</si>
  <si>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</si>
  <si>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</si>
  <si>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</si>
  <si>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</si>
  <si>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</si>
  <si>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</si>
  <si>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</si>
  <si>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</si>
  <si>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</si>
  <si>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</si>
  <si>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</si>
  <si>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</si>
  <si>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</si>
  <si>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</si>
  <si>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</si>
  <si>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</si>
  <si>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</si>
  <si>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</si>
  <si>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</si>
  <si>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</si>
  <si>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</si>
  <si>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</si>
  <si>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</si>
  <si>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</si>
  <si>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</si>
  <si>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</si>
  <si>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</si>
  <si>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</si>
  <si>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</si>
  <si>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</si>
  <si>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</si>
  <si>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</si>
  <si>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</si>
  <si>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</si>
  <si>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</si>
  <si>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</si>
  <si>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</si>
  <si>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</si>
  <si>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</si>
  <si>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</si>
  <si>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</si>
  <si>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</si>
  <si>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</si>
  <si>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</si>
  <si>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</si>
  <si>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</si>
  <si>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</si>
  <si>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</si>
  <si>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</si>
  <si>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</si>
  <si>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</si>
  <si>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</si>
  <si>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</si>
  <si>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</si>
  <si>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</si>
  <si>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</si>
  <si>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</si>
  <si>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</si>
  <si>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</si>
  <si>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</si>
  <si>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</si>
  <si>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</si>
  <si>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</si>
  <si>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</si>
  <si>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</si>
  <si>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</si>
  <si>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</si>
  <si>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</si>
  <si>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</si>
  <si>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</si>
  <si>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</si>
  <si>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</si>
  <si>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</si>
  <si>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</si>
  <si>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</si>
  <si>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</si>
  <si>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</si>
  <si>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</si>
  <si>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</si>
  <si>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</si>
  <si>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</si>
  <si>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</si>
  <si>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</si>
  <si>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</si>
  <si>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</si>
  <si>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</si>
  <si>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</si>
  <si>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</si>
  <si>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</si>
  <si>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</si>
  <si>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</si>
  <si>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</si>
  <si>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</si>
  <si>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</si>
  <si>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</si>
  <si>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</si>
  <si>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</si>
  <si>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</si>
  <si>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</si>
  <si>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</si>
  <si>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</si>
  <si>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</si>
  <si>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</si>
  <si>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</si>
  <si>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</si>
  <si>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</si>
  <si>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</si>
  <si>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</si>
  <si>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</si>
  <si>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</si>
  <si>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</si>
  <si>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</si>
  <si>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</si>
  <si>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</si>
  <si>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</si>
  <si>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</si>
  <si>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</si>
  <si>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</si>
  <si>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</si>
  <si>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</si>
  <si>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</si>
  <si>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</si>
  <si>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</si>
  <si>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</si>
  <si>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</si>
  <si>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</si>
  <si>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</si>
  <si>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</si>
  <si>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</si>
  <si>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</si>
  <si>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</si>
  <si>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</si>
  <si>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</si>
  <si>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</si>
  <si>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</si>
  <si>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</si>
  <si>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</si>
  <si>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</si>
  <si>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</si>
  <si>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</si>
  <si>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</si>
  <si>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</si>
  <si>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</si>
  <si>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</si>
  <si>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</si>
  <si>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</si>
  <si>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</si>
  <si>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</si>
  <si>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</si>
  <si>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</si>
  <si>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</si>
  <si>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</si>
  <si>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</si>
  <si>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</si>
  <si>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</si>
  <si>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</si>
  <si>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</si>
  <si>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</si>
  <si>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</si>
  <si>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</si>
  <si>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</si>
  <si>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</si>
  <si>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</si>
  <si>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</si>
  <si>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</si>
  <si>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</si>
  <si>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</si>
  <si>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</si>
  <si>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</si>
  <si>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</si>
  <si>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</si>
  <si>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</si>
  <si>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</si>
  <si>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</si>
  <si>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</si>
  <si>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</si>
  <si>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</si>
  <si>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</si>
  <si>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</si>
  <si>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</si>
  <si>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</si>
  <si>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</si>
  <si>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</si>
  <si>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</si>
  <si>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</si>
  <si>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</si>
  <si>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</si>
  <si>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</si>
  <si>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</si>
  <si>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</si>
  <si>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</si>
  <si>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</si>
  <si>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</si>
  <si>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</si>
  <si>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</si>
  <si>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</si>
  <si>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</si>
  <si>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</si>
  <si>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</si>
  <si>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</si>
  <si>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</si>
  <si>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</si>
  <si>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</si>
  <si>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</si>
  <si>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</si>
  <si>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</si>
  <si>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</si>
  <si>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</si>
  <si>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</si>
  <si>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</si>
  <si>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</si>
  <si>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</si>
  <si>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</si>
  <si>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</si>
  <si>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</si>
  <si>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</si>
  <si>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</si>
  <si>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</si>
  <si>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</si>
  <si>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</si>
  <si>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</si>
  <si>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</si>
  <si>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</si>
  <si>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</si>
  <si>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</si>
  <si>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</si>
  <si>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</si>
  <si>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</si>
  <si>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</si>
  <si>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</si>
  <si>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</si>
  <si>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</si>
  <si>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</si>
  <si>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</si>
  <si>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</si>
  <si>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</si>
  <si>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</si>
  <si>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</si>
  <si>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</si>
  <si>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</si>
  <si>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</si>
  <si>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</si>
  <si>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</si>
  <si>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</si>
  <si>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</si>
  <si>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</si>
  <si>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</si>
  <si>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</si>
  <si>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</si>
  <si>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</si>
  <si>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</si>
  <si>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</si>
  <si>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</si>
  <si>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</si>
  <si>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</si>
  <si>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</si>
  <si>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</si>
  <si>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</si>
  <si>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</si>
  <si>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</si>
  <si>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</si>
  <si>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</si>
  <si>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</si>
  <si>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</si>
  <si>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</si>
  <si>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</si>
  <si>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</si>
  <si>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</si>
  <si>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</si>
  <si>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</si>
  <si>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</si>
  <si>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</si>
  <si>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</si>
  <si>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</si>
  <si>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</si>
  <si>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</si>
  <si>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</si>
  <si>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</si>
  <si>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</si>
  <si>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</si>
  <si>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</si>
  <si>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</si>
  <si>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</si>
  <si>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</si>
  <si>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</si>
  <si>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</si>
  <si>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</si>
  <si>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</si>
  <si>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</si>
  <si>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</si>
  <si>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</si>
  <si>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</si>
  <si>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</si>
  <si>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</si>
  <si>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</si>
  <si>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</si>
  <si>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</si>
  <si>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</si>
  <si>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</si>
  <si>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</si>
  <si>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</si>
  <si>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</si>
  <si>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</si>
  <si>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</si>
  <si>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</si>
  <si>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</si>
  <si>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</si>
  <si>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</si>
  <si>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</si>
  <si>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</si>
  <si>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</si>
  <si>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</si>
  <si>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</si>
  <si>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</si>
  <si>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</si>
  <si>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</si>
  <si>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</si>
  <si>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</si>
  <si>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</si>
  <si>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</si>
  <si>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</si>
  <si>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</si>
  <si>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</si>
  <si>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</si>
  <si>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</si>
  <si>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</si>
  <si>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</si>
  <si>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</si>
  <si>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</si>
  <si>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</si>
  <si>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</si>
  <si>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</si>
  <si>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</si>
  <si>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</si>
  <si>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</si>
  <si>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</si>
  <si>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</si>
  <si>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</si>
  <si>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</si>
  <si>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</si>
  <si>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</si>
  <si>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</si>
  <si>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</si>
  <si>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</si>
  <si>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</si>
  <si>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</si>
  <si>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</si>
  <si>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</si>
  <si>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</si>
  <si>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</si>
  <si>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</si>
  <si>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</si>
  <si>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</si>
  <si>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</si>
  <si>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</si>
  <si>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</si>
  <si>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</si>
  <si>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</si>
  <si>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</si>
  <si>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</si>
  <si>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</si>
  <si>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</si>
  <si>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</si>
  <si>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</si>
  <si>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</si>
  <si>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</si>
  <si>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</si>
  <si>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</si>
  <si>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</si>
  <si>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</si>
  <si>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</si>
  <si>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</si>
  <si>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</si>
  <si>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</si>
  <si>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</si>
  <si>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</si>
  <si>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</si>
  <si>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</si>
  <si>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</si>
  <si>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</si>
  <si>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</si>
  <si>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</si>
  <si>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</si>
  <si>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</si>
  <si>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</si>
  <si>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</si>
  <si>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</si>
  <si>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</si>
  <si>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</si>
  <si>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</si>
  <si>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</si>
  <si>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</si>
  <si>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</si>
  <si>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</si>
  <si>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</si>
  <si>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</si>
  <si>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</si>
  <si>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</si>
  <si>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</si>
  <si>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</si>
  <si>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</si>
  <si>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</si>
  <si>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</si>
  <si>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</si>
  <si>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</si>
  <si>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</si>
  <si>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</si>
  <si>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</si>
  <si>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</si>
  <si>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</si>
  <si>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</si>
  <si>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</si>
  <si>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</si>
  <si>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</si>
  <si>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</si>
  <si>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</si>
  <si>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</si>
  <si>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</si>
  <si>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</si>
  <si>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</si>
  <si>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</si>
  <si>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</si>
  <si>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</si>
  <si>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</si>
  <si>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</si>
  <si>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</si>
  <si>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</si>
  <si>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</si>
  <si>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</si>
  <si>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</si>
  <si>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</si>
  <si>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</si>
  <si>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</si>
  <si>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</si>
  <si>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</si>
  <si>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</si>
  <si>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</si>
  <si>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</si>
  <si>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</si>
  <si>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</si>
  <si>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</si>
  <si>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</si>
  <si>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</si>
  <si>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</si>
  <si>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</si>
  <si>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</si>
  <si>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</si>
  <si>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</si>
  <si>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</si>
  <si>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</si>
  <si>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</si>
  <si>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</si>
  <si>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</si>
  <si>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</si>
  <si>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</si>
  <si>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</si>
  <si>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</si>
  <si>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</si>
  <si>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</si>
  <si>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</si>
  <si>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</si>
  <si>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</si>
  <si>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</si>
  <si>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</si>
  <si>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</si>
  <si>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</si>
  <si>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</si>
  <si>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</si>
  <si>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</si>
  <si>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</si>
  <si>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</si>
  <si>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</si>
  <si>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</si>
  <si>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</si>
  <si>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</si>
  <si>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</si>
  <si>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</si>
  <si>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</si>
  <si>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</si>
  <si>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</si>
  <si>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</si>
  <si>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</si>
  <si>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</si>
  <si>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</si>
  <si>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</si>
  <si>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</si>
  <si>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</si>
  <si>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</si>
  <si>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</si>
  <si>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</si>
  <si>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</si>
  <si>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</si>
  <si>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</si>
  <si>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</si>
  <si>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</si>
  <si>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</si>
  <si>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</si>
  <si>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</si>
  <si>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</si>
  <si>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</si>
  <si>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</si>
  <si>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</si>
  <si>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</si>
  <si>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</si>
  <si>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</si>
  <si>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</si>
  <si>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</si>
  <si>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</si>
  <si>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</si>
  <si>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</si>
  <si>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</si>
  <si>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</si>
  <si>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</si>
  <si>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</si>
  <si>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</si>
  <si>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</si>
  <si>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</si>
  <si>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</si>
  <si>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</si>
  <si>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</si>
  <si>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</si>
  <si>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</si>
  <si>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</si>
  <si>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</si>
  <si>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</si>
  <si>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</si>
  <si>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</si>
  <si>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</si>
  <si>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</si>
  <si>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</si>
  <si>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</si>
  <si>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</si>
  <si>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</si>
  <si>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</si>
  <si>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</si>
  <si>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</si>
  <si>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</si>
  <si>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</si>
  <si>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</si>
  <si>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</si>
  <si>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</si>
  <si>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</si>
  <si>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</si>
  <si>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</si>
  <si>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</si>
  <si>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</si>
  <si>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</si>
  <si>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</si>
  <si>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</si>
  <si>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</si>
  <si>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</si>
  <si>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</si>
  <si>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</si>
  <si>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</si>
  <si>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</si>
  <si>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</si>
  <si>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</si>
  <si>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</si>
  <si>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</si>
  <si>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</si>
  <si>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</si>
  <si>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</si>
  <si>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</si>
  <si>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</si>
  <si>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</si>
  <si>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</si>
  <si>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</si>
  <si>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</si>
  <si>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</si>
  <si>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</si>
  <si>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</si>
  <si>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</si>
  <si>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</si>
  <si>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</si>
  <si>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</si>
  <si>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</si>
  <si>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</si>
  <si>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</si>
  <si>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</si>
  <si>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</si>
  <si>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</si>
  <si>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</si>
  <si>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</si>
  <si>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</si>
  <si>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</si>
  <si>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</si>
  <si>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</si>
  <si>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</si>
  <si>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</si>
  <si>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</si>
  <si>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</si>
  <si>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</si>
  <si>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</si>
  <si>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</si>
  <si>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</si>
  <si>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</si>
  <si>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</si>
  <si>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</si>
  <si>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</si>
  <si>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</si>
  <si>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</si>
  <si>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</si>
  <si>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</si>
  <si>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</si>
  <si>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</si>
  <si>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</si>
  <si>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</si>
  <si>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</si>
  <si>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</si>
  <si>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</si>
  <si>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</si>
  <si>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</si>
  <si>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</si>
  <si>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</si>
  <si>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</si>
  <si>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</si>
  <si>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</si>
  <si>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</si>
  <si>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</si>
  <si>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</si>
  <si>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</si>
  <si>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</si>
  <si>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</si>
  <si>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</si>
  <si>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</si>
  <si>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</si>
  <si>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</si>
  <si>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</si>
  <si>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</si>
  <si>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</si>
  <si>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</si>
  <si>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</si>
  <si>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</si>
  <si>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</si>
  <si>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</si>
  <si>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</si>
  <si>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</si>
  <si>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</si>
  <si>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</si>
  <si>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</si>
  <si>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</si>
  <si>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</si>
  <si>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</si>
  <si>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</si>
  <si>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</si>
  <si>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</si>
  <si>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</si>
  <si>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</si>
  <si>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</si>
  <si>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</si>
  <si>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</si>
  <si>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</si>
  <si>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</si>
  <si>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</si>
  <si>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</si>
  <si>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</si>
  <si>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</si>
  <si>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</si>
  <si>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</si>
  <si>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</si>
  <si>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</si>
  <si>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</si>
  <si>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</si>
  <si>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</si>
  <si>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</si>
  <si>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</si>
  <si>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</si>
  <si>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</si>
  <si>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</si>
  <si>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</si>
  <si>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</si>
  <si>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</si>
  <si>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</si>
  <si>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</si>
  <si>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</si>
  <si>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</si>
  <si>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</si>
  <si>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</si>
  <si>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</si>
  <si>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</si>
  <si>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</si>
  <si>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</si>
  <si>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</si>
  <si>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</si>
  <si>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</si>
  <si>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</si>
  <si>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</si>
  <si>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</si>
  <si>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</si>
  <si>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</si>
  <si>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</si>
  <si>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</si>
  <si>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</si>
  <si>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</si>
  <si>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</si>
  <si>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</si>
  <si>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</si>
  <si>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</si>
  <si>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</si>
  <si>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</si>
  <si>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</si>
  <si>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</si>
  <si>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</si>
  <si>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</si>
  <si>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</si>
  <si>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</si>
  <si>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</si>
  <si>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</si>
  <si>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</si>
  <si>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</si>
  <si>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</si>
  <si>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</si>
  <si>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</si>
  <si>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</si>
  <si>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</si>
  <si>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</si>
  <si>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</si>
  <si>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</si>
  <si>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</si>
  <si>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</si>
  <si>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</si>
  <si>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</si>
  <si>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</si>
  <si>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</si>
  <si>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</si>
  <si>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</si>
  <si>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</si>
  <si>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</si>
  <si>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</si>
  <si>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</si>
  <si>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</si>
  <si>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</si>
  <si>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</si>
  <si>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</si>
  <si>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</si>
  <si>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</si>
  <si>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</si>
  <si>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</si>
  <si>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</si>
  <si>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</si>
  <si>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</si>
  <si>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</si>
  <si>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</si>
  <si>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</si>
  <si>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</si>
  <si>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</si>
  <si>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</si>
  <si>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</si>
  <si>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</si>
  <si>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</si>
  <si>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</si>
  <si>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</si>
  <si>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</si>
  <si>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</si>
  <si>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</si>
  <si>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</si>
  <si>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</si>
  <si>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</si>
  <si>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</si>
  <si>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</si>
  <si>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</si>
  <si>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</si>
  <si>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</si>
  <si>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</si>
  <si>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</si>
  <si>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</si>
  <si>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</si>
  <si>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</si>
  <si>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</si>
  <si>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</si>
  <si>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</si>
  <si>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</si>
  <si>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</si>
  <si>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</si>
  <si>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</si>
  <si>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</si>
  <si>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</si>
  <si>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</si>
  <si>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</si>
  <si>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</si>
  <si>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</si>
  <si>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</si>
  <si>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</si>
  <si>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</si>
  <si>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</si>
  <si>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</si>
  <si>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</si>
  <si>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</si>
  <si>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</si>
  <si>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</si>
  <si>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</si>
  <si>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</si>
  <si>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</si>
  <si>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</si>
  <si>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</si>
  <si>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</si>
  <si>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</si>
  <si>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</si>
  <si>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</si>
  <si>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</si>
  <si>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</si>
  <si>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</si>
  <si>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</si>
  <si>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</si>
  <si>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</si>
  <si>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</si>
  <si>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</si>
  <si>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</si>
  <si>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</si>
  <si>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</si>
  <si>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</si>
  <si>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</si>
  <si>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</si>
  <si>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</si>
  <si>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</si>
  <si>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</si>
  <si>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</si>
  <si>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</si>
  <si>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</si>
  <si>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</si>
  <si>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</si>
  <si>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</si>
  <si>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</si>
  <si>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</si>
  <si>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</si>
  <si>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</si>
  <si>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</si>
  <si>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</si>
  <si>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</si>
  <si>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</si>
  <si>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</si>
  <si>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</si>
  <si>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</si>
  <si>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</si>
  <si>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</si>
  <si>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</si>
  <si>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</si>
  <si>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</si>
  <si>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</si>
  <si>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</si>
  <si>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</si>
  <si>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</si>
  <si>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</si>
  <si>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</si>
  <si>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</si>
  <si>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</si>
  <si>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</si>
  <si>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</si>
  <si>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</si>
  <si>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</si>
  <si>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</si>
  <si>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</si>
  <si>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</si>
  <si>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</si>
  <si>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</si>
  <si>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</si>
  <si>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</si>
  <si>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</si>
  <si>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</si>
  <si>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</si>
  <si>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</si>
  <si>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</si>
  <si>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</si>
  <si>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</si>
  <si>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</si>
  <si>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</si>
  <si>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</si>
  <si>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</si>
  <si>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</si>
  <si>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</si>
  <si>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</si>
  <si>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</si>
  <si>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</si>
  <si>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</si>
  <si>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</si>
  <si>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</si>
  <si>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</si>
  <si>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</si>
  <si>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</si>
  <si>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</si>
  <si>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</si>
  <si>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</si>
  <si>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</si>
  <si>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</si>
  <si>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</si>
  <si>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</si>
  <si>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</si>
  <si>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</si>
  <si>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</si>
  <si>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</si>
  <si>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</si>
  <si>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</si>
  <si>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</si>
  <si>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</si>
  <si>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</si>
  <si>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</si>
  <si>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</si>
  <si>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</si>
  <si>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</si>
  <si>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</si>
  <si>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</si>
  <si>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</si>
  <si>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</si>
  <si>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</si>
  <si>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</si>
  <si>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</si>
  <si>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</si>
  <si>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</si>
  <si>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</si>
  <si>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</si>
  <si>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</si>
  <si>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</si>
  <si>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</si>
  <si>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</si>
  <si>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</si>
  <si>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</si>
  <si>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</si>
  <si>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</si>
  <si>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</si>
  <si>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</si>
  <si>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</si>
  <si>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</si>
  <si>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</si>
  <si>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</si>
  <si>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</si>
  <si>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</si>
  <si>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</si>
  <si>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</si>
  <si>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</si>
  <si>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</si>
  <si>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</si>
  <si>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</si>
  <si>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</si>
  <si>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</si>
  <si>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</si>
  <si>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</si>
  <si>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</si>
  <si>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</si>
  <si>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</si>
  <si>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</si>
  <si>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</si>
  <si>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</si>
  <si>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</si>
  <si>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</si>
  <si>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</si>
  <si>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</si>
  <si>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</si>
  <si>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</si>
  <si>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</si>
  <si>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</si>
  <si>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</si>
  <si>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</si>
  <si>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</si>
  <si>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</si>
  <si>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</si>
  <si>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</si>
  <si>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</si>
  <si>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</si>
  <si>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</si>
  <si>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</si>
  <si>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</si>
  <si>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</si>
  <si>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</si>
  <si>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</si>
  <si>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</si>
  <si>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</si>
  <si>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</si>
  <si>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</si>
  <si>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</si>
  <si>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</si>
  <si>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</si>
  <si>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</si>
  <si>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</si>
  <si>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</si>
  <si>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</si>
  <si>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</si>
  <si>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</si>
  <si>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</si>
  <si>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</si>
  <si>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</si>
  <si>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</si>
  <si>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</si>
  <si>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</si>
  <si>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</si>
  <si>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</si>
  <si>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</si>
  <si>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</si>
  <si>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</si>
  <si>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</si>
  <si>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</si>
  <si>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</si>
  <si>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</si>
  <si>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</si>
  <si>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</si>
  <si>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</si>
  <si>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</si>
  <si>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</si>
  <si>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</si>
  <si>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</si>
  <si>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</si>
  <si>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</si>
  <si>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</si>
  <si>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</si>
  <si>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</si>
  <si>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</si>
  <si>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</si>
  <si>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</si>
  <si>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</si>
  <si>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</si>
  <si>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</si>
  <si>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</si>
  <si>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</si>
  <si>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</si>
  <si>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</si>
  <si>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</si>
  <si>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</si>
  <si>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</si>
  <si>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</si>
  <si>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</si>
  <si>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</si>
  <si>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</si>
  <si>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</si>
  <si>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</si>
  <si>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</si>
  <si>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</si>
  <si>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</si>
  <si>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</si>
  <si>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</si>
  <si>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</si>
  <si>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</si>
  <si>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</si>
  <si>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</si>
  <si>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</si>
  <si>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</si>
  <si>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</si>
  <si>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</si>
  <si>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</si>
  <si>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</si>
  <si>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</si>
  <si>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</si>
  <si>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</si>
  <si>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</si>
  <si>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</si>
  <si>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</si>
  <si>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</si>
  <si>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</si>
  <si>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</si>
  <si>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</si>
  <si>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</si>
  <si>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</si>
  <si>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</si>
  <si>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</si>
  <si>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</si>
  <si>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</si>
  <si>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</si>
  <si>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</si>
  <si>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</si>
  <si>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</si>
  <si>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</si>
  <si>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</si>
  <si>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</si>
  <si>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</si>
  <si>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</si>
  <si>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</si>
  <si>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</si>
  <si>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</si>
  <si>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</si>
  <si>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</si>
  <si>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</si>
  <si>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</si>
  <si>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</si>
  <si>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</si>
  <si>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</si>
  <si>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</si>
  <si>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</si>
  <si>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</si>
  <si>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</si>
  <si>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</si>
  <si>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</si>
  <si>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</si>
  <si>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</si>
  <si>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</si>
  <si>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</si>
  <si>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</si>
  <si>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</si>
  <si>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</si>
  <si>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</si>
  <si>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</si>
  <si>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</si>
  <si>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</si>
  <si>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</si>
  <si>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</si>
  <si>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</si>
  <si>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</si>
  <si>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</si>
  <si>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</si>
  <si>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</si>
  <si>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</si>
  <si>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</si>
  <si>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</si>
  <si>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</si>
  <si>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</si>
  <si>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</si>
  <si>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</si>
  <si>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</si>
  <si>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</si>
  <si>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</si>
  <si>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</si>
  <si>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</si>
  <si>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</si>
  <si>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</si>
  <si>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</si>
  <si>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</si>
  <si>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</si>
  <si>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</si>
  <si>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</si>
  <si>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</si>
  <si>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</si>
  <si>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</si>
  <si>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</si>
  <si>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</si>
  <si>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</si>
  <si>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</si>
  <si>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</si>
  <si>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</si>
  <si>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</si>
  <si>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</si>
  <si>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</si>
  <si>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</si>
  <si>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</si>
  <si>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</si>
  <si>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</si>
  <si>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</si>
  <si>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</si>
  <si>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</si>
  <si>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</si>
  <si>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</si>
  <si>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</si>
  <si>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</si>
  <si>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</si>
  <si>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</si>
  <si>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</si>
  <si>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</si>
  <si>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</si>
  <si>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</si>
  <si>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</si>
  <si>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</si>
  <si>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</si>
  <si>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</si>
  <si>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</si>
  <si>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</si>
  <si>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</si>
  <si>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</si>
  <si>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</si>
  <si>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</si>
  <si>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</si>
  <si>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</si>
  <si>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</si>
  <si>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</si>
  <si>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</si>
  <si>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</si>
  <si>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</si>
  <si>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</si>
  <si>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</si>
  <si>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</si>
  <si>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</si>
  <si>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</si>
  <si>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</si>
  <si>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</si>
  <si>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</si>
  <si>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</si>
  <si>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</si>
  <si>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</si>
  <si>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</si>
  <si>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</si>
  <si>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</si>
  <si>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</si>
  <si>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</si>
  <si>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</si>
  <si>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</si>
  <si>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</si>
  <si>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</si>
  <si>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</si>
  <si>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</si>
  <si>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</si>
  <si>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</si>
  <si>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</si>
  <si>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</si>
  <si>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</si>
  <si>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</si>
  <si>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</si>
  <si>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</si>
  <si>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</si>
  <si>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</si>
  <si>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</si>
  <si>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</si>
  <si>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</si>
  <si>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</si>
  <si>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</si>
  <si>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</si>
  <si>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</si>
  <si>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</si>
  <si>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</si>
  <si>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</si>
  <si>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</si>
  <si>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</si>
  <si>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</si>
  <si>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</si>
  <si>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</si>
  <si>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</si>
  <si>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</si>
  <si>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</si>
  <si>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</si>
  <si>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</si>
  <si>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</si>
  <si>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</si>
  <si>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</si>
  <si>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</si>
  <si>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</si>
  <si>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</si>
  <si>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</si>
  <si>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</si>
  <si>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</si>
  <si>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</si>
  <si>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</si>
  <si>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</si>
  <si>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</si>
  <si>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</si>
  <si>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</si>
  <si>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</si>
  <si>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</si>
  <si>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</si>
  <si>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</si>
  <si>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</si>
  <si>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</si>
  <si>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</si>
  <si>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</si>
  <si>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</si>
  <si>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</si>
  <si>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</si>
  <si>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</si>
  <si>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</si>
  <si>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</si>
  <si>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</si>
  <si>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</si>
  <si>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</si>
  <si>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</si>
  <si>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</si>
  <si>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</si>
  <si>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</si>
  <si>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</si>
  <si>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</si>
  <si>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</si>
  <si>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</si>
  <si>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</si>
  <si>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</si>
  <si>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</si>
  <si>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</si>
  <si>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</si>
  <si>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</si>
  <si>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</si>
  <si>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</si>
  <si>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</si>
  <si>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</si>
  <si>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</si>
  <si>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</si>
  <si>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</si>
  <si>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</si>
  <si>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</si>
  <si>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</si>
  <si>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</si>
  <si>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</si>
  <si>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</si>
  <si>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</si>
  <si>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</si>
  <si>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</si>
  <si>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</si>
  <si>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</si>
  <si>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</si>
  <si>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</si>
  <si>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</si>
  <si>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</si>
  <si>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</si>
  <si>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</si>
  <si>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</si>
  <si>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</si>
  <si>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</si>
  <si>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</si>
  <si>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</si>
  <si>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</si>
  <si>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</si>
  <si>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</si>
  <si>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</si>
  <si>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</si>
  <si>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</si>
  <si>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</si>
  <si>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</si>
  <si>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</si>
  <si>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</si>
  <si>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</si>
  <si>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</si>
  <si>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</si>
  <si>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</si>
  <si>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</si>
  <si>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</si>
  <si>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</si>
  <si>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</si>
  <si>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</si>
  <si>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</si>
  <si>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</si>
  <si>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</si>
  <si>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</si>
  <si>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</si>
  <si>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</si>
  <si>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</si>
  <si>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</si>
  <si>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</si>
  <si>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</si>
  <si>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</si>
  <si>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</si>
  <si>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</si>
  <si>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</si>
  <si>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</si>
  <si>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</si>
  <si>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</si>
  <si>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</si>
  <si>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</si>
  <si>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</si>
  <si>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</si>
  <si>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</si>
  <si>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</si>
  <si>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</si>
  <si>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</si>
  <si>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</si>
  <si>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</si>
  <si>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</si>
  <si>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</si>
  <si>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</si>
  <si>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</si>
  <si>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</si>
  <si>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</si>
  <si>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</si>
  <si>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</si>
  <si>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</si>
  <si>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</si>
  <si>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</si>
  <si>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</si>
  <si>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</si>
  <si>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</si>
  <si>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</si>
  <si>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</si>
  <si>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</si>
  <si>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</si>
  <si>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</si>
  <si>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</si>
  <si>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</si>
  <si>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</si>
  <si>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</si>
  <si>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</si>
  <si>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</si>
  <si>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</si>
  <si>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</si>
  <si>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</si>
  <si>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</si>
  <si>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</si>
  <si>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</si>
  <si>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</si>
  <si>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</si>
  <si>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</si>
  <si>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</si>
  <si>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</si>
  <si>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</si>
  <si>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</si>
  <si>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</si>
  <si>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</si>
  <si>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</si>
  <si>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</si>
  <si>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</si>
  <si>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</si>
  <si>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</si>
  <si>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</si>
  <si>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</si>
  <si>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</si>
  <si>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</si>
  <si>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</si>
  <si>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</si>
  <si>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</si>
  <si>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</si>
  <si>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</si>
  <si>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</si>
  <si>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</si>
  <si>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</si>
  <si>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</si>
  <si>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</si>
  <si>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</si>
  <si>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</si>
  <si>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</si>
  <si>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</si>
  <si>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</si>
  <si>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</si>
  <si>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</si>
  <si>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</si>
  <si>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</si>
  <si>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</si>
  <si>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</si>
  <si>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</si>
  <si>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</si>
  <si>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</si>
  <si>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</si>
  <si>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</si>
  <si>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</si>
  <si>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</si>
  <si>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</si>
  <si>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</si>
  <si>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</si>
  <si>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</si>
  <si>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</si>
  <si>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</si>
  <si>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</si>
  <si>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</si>
  <si>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</si>
  <si>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</si>
  <si>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</si>
  <si>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</si>
  <si>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</si>
  <si>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</si>
  <si>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</si>
  <si>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</si>
  <si>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</si>
  <si>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</si>
  <si>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</si>
  <si>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</si>
  <si>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</si>
  <si>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</si>
  <si>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</si>
  <si>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</si>
  <si>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</si>
  <si>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</si>
  <si>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</si>
  <si>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</si>
  <si>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</si>
  <si>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</si>
  <si>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</si>
  <si>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</si>
  <si>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</si>
  <si>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</si>
  <si>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</si>
  <si>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</si>
  <si>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</si>
  <si>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</si>
  <si>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</si>
  <si>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</si>
  <si>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</si>
  <si>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</si>
  <si>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</si>
  <si>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</si>
  <si>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</si>
  <si>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</si>
  <si>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</si>
  <si>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</si>
  <si>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</si>
  <si>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</si>
  <si>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</si>
  <si>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</si>
  <si>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</si>
  <si>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</si>
  <si>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</si>
  <si>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</si>
  <si>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</si>
  <si>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</si>
  <si>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</si>
  <si>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</si>
  <si>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</si>
  <si>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</si>
  <si>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</si>
  <si>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</si>
  <si>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</si>
  <si>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</si>
  <si>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</si>
  <si>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</si>
  <si>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</si>
  <si>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</si>
  <si>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</si>
  <si>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</si>
  <si>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</si>
  <si>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</si>
  <si>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</si>
  <si>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</si>
  <si>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</si>
  <si>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</si>
  <si>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</si>
  <si>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</si>
  <si>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</si>
  <si>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</si>
  <si>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</si>
  <si>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</si>
  <si>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</si>
  <si>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</si>
  <si>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</si>
  <si>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</si>
  <si>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</si>
  <si>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</si>
  <si>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</si>
  <si>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</si>
  <si>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</si>
  <si>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</si>
  <si>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</si>
  <si>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</si>
  <si>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</si>
  <si>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</si>
  <si>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</si>
  <si>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</si>
  <si>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</si>
  <si>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</si>
  <si>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</si>
  <si>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</si>
  <si>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</si>
  <si>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</si>
  <si>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</si>
  <si>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</si>
  <si>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</si>
  <si>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</si>
  <si>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</si>
  <si>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</si>
  <si>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</si>
  <si>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</si>
  <si>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</si>
  <si>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</si>
  <si>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</si>
  <si>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</si>
  <si>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</si>
  <si>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</si>
  <si>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</si>
  <si>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</si>
  <si>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</si>
  <si>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</si>
  <si>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</si>
  <si>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</si>
  <si>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</si>
  <si>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</si>
  <si>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</si>
  <si>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</si>
  <si>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</si>
  <si>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</si>
  <si>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</si>
  <si>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</si>
  <si>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</si>
  <si>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</si>
  <si>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</si>
  <si>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</si>
  <si>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</si>
  <si>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</si>
  <si>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</si>
  <si>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</si>
  <si>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</si>
  <si>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</si>
  <si>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</si>
  <si>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</si>
  <si>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</si>
  <si>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</si>
  <si>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</si>
  <si>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</si>
  <si>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</si>
  <si>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</si>
  <si>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</si>
  <si>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</si>
  <si>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</si>
  <si>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</si>
  <si>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</si>
  <si>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</si>
  <si>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</si>
  <si>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</si>
  <si>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</si>
  <si>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</si>
  <si>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</si>
  <si>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</si>
  <si>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</si>
  <si>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</si>
  <si>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</si>
  <si>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</si>
  <si>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</si>
  <si>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</si>
  <si>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</si>
  <si>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</si>
  <si>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</si>
  <si>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</si>
  <si>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</si>
  <si>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</si>
  <si>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</si>
  <si>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</si>
  <si>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</si>
  <si>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</si>
  <si>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</si>
  <si>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</si>
  <si>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</si>
  <si>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</si>
  <si>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</si>
  <si>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</si>
  <si>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</si>
  <si>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</si>
  <si>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</si>
  <si>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</si>
  <si>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</si>
  <si>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</si>
  <si>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</si>
  <si>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</si>
  <si>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</si>
  <si>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</si>
  <si>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</si>
  <si>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</si>
  <si>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</si>
  <si>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</si>
  <si>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</si>
  <si>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</si>
  <si>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</si>
  <si>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</si>
  <si>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</si>
  <si>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</si>
  <si>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</si>
  <si>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</si>
  <si>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</si>
  <si>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</si>
  <si>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</si>
  <si>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</si>
  <si>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</si>
  <si>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</si>
  <si>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</si>
  <si>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</si>
  <si>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</si>
  <si>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</si>
  <si>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</si>
  <si>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</si>
  <si>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</si>
  <si>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</si>
  <si>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</si>
  <si>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</si>
  <si>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</si>
  <si>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</si>
  <si>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</si>
  <si>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</si>
  <si>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</si>
  <si>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</si>
  <si>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</si>
  <si>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</si>
  <si>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</si>
  <si>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</si>
  <si>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</si>
  <si>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</si>
  <si>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</si>
  <si>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</si>
  <si>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</si>
  <si>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</si>
  <si>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</si>
  <si>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</si>
  <si>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</si>
  <si>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</si>
  <si>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</si>
  <si>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</si>
  <si>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</si>
  <si>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</si>
  <si>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</si>
  <si>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</si>
  <si>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</si>
  <si>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</si>
  <si>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</si>
  <si>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</si>
  <si>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</si>
  <si>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</si>
  <si>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</si>
  <si>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</si>
  <si>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</si>
  <si>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</si>
  <si>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</si>
  <si>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</si>
  <si>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</si>
  <si>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</si>
  <si>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</si>
  <si>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</si>
  <si>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</si>
  <si>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</si>
  <si>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</si>
  <si>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</si>
  <si>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</si>
  <si>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</si>
  <si>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</si>
  <si>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</si>
  <si>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</si>
  <si>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</si>
  <si>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</si>
  <si>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</si>
  <si>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</si>
  <si>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</si>
  <si>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</si>
  <si>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</si>
  <si>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</si>
  <si>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</si>
  <si>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</si>
  <si>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</si>
  <si>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</si>
  <si>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</si>
  <si>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</si>
  <si>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</si>
  <si>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</si>
  <si>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</si>
  <si>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</si>
  <si>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</si>
  <si>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</si>
  <si>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</si>
  <si>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</si>
  <si>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</si>
  <si>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</si>
  <si>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</si>
  <si>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</si>
  <si>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</si>
  <si>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</si>
  <si>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</si>
  <si>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</si>
  <si>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</si>
  <si>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</si>
  <si>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</si>
  <si>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</si>
  <si>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</si>
  <si>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</si>
  <si>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</si>
  <si>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</si>
  <si>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</si>
  <si>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</si>
  <si>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</si>
  <si>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</si>
  <si>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</si>
  <si>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</si>
  <si>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</si>
  <si>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</si>
  <si>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</si>
  <si>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</si>
  <si>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</si>
  <si>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</si>
  <si>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</si>
  <si>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</si>
  <si>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</si>
  <si>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</si>
  <si>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</si>
  <si>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</si>
  <si>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</si>
  <si>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</si>
  <si>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</si>
  <si>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</si>
  <si>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</si>
  <si>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</si>
  <si>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</si>
  <si>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</si>
  <si>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</si>
  <si>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</si>
  <si>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</si>
  <si>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</si>
  <si>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</si>
  <si>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</si>
  <si>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</si>
  <si>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</si>
  <si>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</si>
  <si>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</si>
  <si>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</si>
  <si>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</si>
  <si>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</si>
  <si>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</si>
  <si>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</si>
  <si>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</si>
  <si>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</si>
  <si>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</si>
  <si>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</si>
  <si>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</si>
  <si>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</si>
  <si>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</si>
  <si>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</si>
  <si>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</si>
  <si>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</si>
  <si>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</si>
  <si>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</si>
  <si>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</si>
  <si>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</si>
  <si>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</si>
  <si>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</si>
  <si>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</si>
  <si>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</si>
  <si>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</si>
  <si>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</si>
  <si>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</si>
  <si>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</si>
  <si>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</si>
  <si>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</si>
  <si>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</si>
  <si>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</si>
  <si>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</si>
  <si>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</si>
  <si>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</si>
  <si>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</si>
  <si>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</si>
  <si>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</si>
  <si>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</si>
  <si>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</si>
  <si>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</si>
  <si>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</si>
  <si>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</si>
  <si>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</si>
  <si>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</si>
  <si>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</si>
  <si>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</si>
  <si>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</si>
  <si>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</si>
  <si>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</si>
  <si>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</si>
  <si>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</si>
  <si>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</si>
  <si>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</si>
  <si>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</si>
  <si>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</si>
  <si>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</si>
  <si>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</si>
  <si>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</si>
  <si>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</si>
  <si>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</si>
  <si>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</si>
  <si>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</si>
  <si>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</si>
  <si>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</si>
  <si>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</si>
  <si>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</si>
  <si>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</si>
  <si>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</si>
  <si>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</si>
  <si>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</si>
  <si>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</si>
  <si>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</si>
  <si>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</si>
  <si>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</si>
  <si>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</si>
  <si>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</si>
  <si>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</si>
  <si>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</si>
  <si>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</si>
  <si>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</si>
  <si>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</si>
  <si>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</si>
  <si>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</si>
  <si>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</si>
  <si>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</si>
  <si>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</si>
  <si>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</si>
  <si>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</si>
  <si>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</si>
  <si>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</si>
  <si>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</si>
  <si>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</si>
  <si>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</si>
  <si>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</si>
  <si>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</si>
  <si>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</si>
  <si>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</si>
  <si>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</si>
  <si>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</si>
  <si>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</si>
  <si>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</si>
  <si>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</si>
  <si>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</si>
  <si>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</si>
  <si>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</si>
  <si>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</si>
  <si>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</si>
  <si>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</si>
  <si>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</si>
  <si>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</si>
  <si>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</si>
  <si>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</si>
  <si>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</si>
  <si>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</si>
  <si>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</si>
  <si>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</si>
  <si>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</si>
  <si>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</si>
  <si>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</si>
  <si>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</si>
  <si>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</si>
  <si>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</si>
  <si>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</si>
  <si>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</si>
  <si>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</si>
  <si>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</si>
  <si>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</si>
  <si>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</si>
  <si>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</si>
  <si>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</si>
  <si>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</si>
  <si>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</si>
  <si>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</si>
  <si>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</si>
  <si>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</si>
  <si>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</si>
  <si>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</si>
  <si>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</si>
  <si>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</si>
  <si>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</si>
  <si>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</si>
  <si>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</si>
  <si>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</si>
  <si>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</si>
  <si>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</si>
  <si>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</si>
  <si>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</si>
  <si>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</si>
  <si>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</si>
  <si>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</si>
  <si>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</si>
  <si>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</si>
  <si>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</si>
  <si>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</si>
  <si>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</si>
  <si>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</si>
  <si>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</si>
  <si>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</si>
  <si>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</si>
  <si>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</si>
  <si>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</si>
  <si>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</si>
  <si>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</si>
  <si>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</si>
  <si>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</si>
  <si>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</si>
  <si>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</si>
  <si>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</si>
  <si>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</si>
  <si>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</si>
  <si>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</si>
  <si>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</si>
  <si>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</si>
  <si>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</si>
  <si>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</si>
  <si>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</si>
  <si>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</si>
  <si>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</si>
  <si>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</si>
  <si>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</si>
  <si>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</si>
  <si>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</si>
  <si>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</si>
  <si>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</si>
  <si>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</si>
  <si>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</si>
  <si>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</si>
  <si>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</si>
  <si>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</si>
  <si>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</si>
  <si>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</si>
  <si>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</si>
  <si>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</si>
  <si>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</si>
  <si>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</si>
  <si>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</si>
  <si>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</si>
  <si>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</si>
  <si>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</si>
  <si>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</si>
  <si>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</si>
  <si>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</si>
  <si>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</si>
  <si>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</si>
  <si>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</si>
  <si>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</si>
  <si>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</si>
  <si>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</si>
  <si>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</si>
  <si>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</si>
  <si>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</si>
  <si>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</si>
  <si>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</si>
  <si>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</si>
  <si>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</si>
  <si>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</si>
  <si>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</si>
  <si>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</si>
  <si>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</si>
  <si>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</si>
  <si>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</si>
  <si>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</si>
  <si>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</si>
  <si>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</si>
  <si>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</si>
  <si>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</si>
  <si>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</si>
  <si>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</si>
  <si>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</si>
  <si>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</si>
  <si>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</si>
  <si>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</si>
  <si>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</si>
  <si>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</si>
  <si>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</si>
  <si>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</si>
  <si>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</si>
  <si>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</si>
  <si>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</si>
  <si>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</si>
  <si>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</si>
  <si>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</si>
  <si>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</si>
  <si>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</si>
  <si>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</si>
  <si>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</si>
  <si>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</si>
  <si>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</si>
  <si>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</si>
  <si>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</si>
  <si>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</si>
  <si>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</si>
  <si>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</si>
  <si>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</si>
  <si>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</si>
  <si>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</si>
  <si>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</si>
  <si>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</si>
  <si>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</si>
  <si>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</si>
  <si>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</si>
  <si>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</si>
  <si>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</si>
  <si>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</si>
  <si>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</si>
  <si>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</si>
  <si>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</si>
  <si>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</si>
  <si>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</si>
  <si>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</si>
  <si>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</si>
  <si>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</si>
  <si>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</si>
  <si>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</si>
  <si>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</si>
  <si>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</si>
  <si>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</si>
  <si>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</si>
  <si>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</si>
  <si>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</si>
  <si>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</si>
  <si>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</si>
  <si>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</si>
  <si>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</si>
  <si>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</si>
  <si>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</si>
  <si>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</si>
  <si>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</si>
  <si>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</si>
  <si>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</si>
  <si>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</si>
  <si>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</si>
  <si>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</si>
  <si>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</si>
  <si>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</si>
  <si>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</si>
  <si>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</si>
  <si>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</si>
  <si>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</si>
  <si>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</si>
  <si>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</si>
  <si>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</si>
  <si>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</si>
  <si>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</si>
  <si>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</si>
  <si>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</si>
  <si>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</si>
  <si>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</si>
  <si>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</si>
  <si>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</si>
  <si>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</si>
  <si>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</si>
  <si>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</si>
  <si>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</si>
  <si>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</si>
  <si>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</si>
  <si>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</si>
  <si>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</si>
  <si>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</si>
  <si>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</si>
  <si>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</si>
  <si>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</si>
  <si>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</si>
  <si>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</si>
  <si>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</si>
  <si>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</si>
  <si>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</si>
  <si>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</si>
  <si>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</si>
  <si>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</si>
  <si>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</si>
  <si>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</si>
  <si>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</si>
  <si>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</si>
  <si>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</si>
  <si>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</si>
  <si>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</si>
  <si>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</si>
  <si>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</si>
  <si>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</si>
  <si>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</si>
  <si>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</si>
  <si>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</si>
  <si>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</si>
  <si>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</si>
  <si>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</si>
  <si>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</si>
  <si>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</si>
  <si>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</si>
  <si>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</si>
  <si>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</si>
  <si>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</si>
  <si>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</si>
  <si>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</si>
  <si>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</si>
  <si>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</si>
  <si>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</si>
  <si>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</si>
  <si>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</si>
  <si>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</si>
  <si>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</si>
  <si>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</si>
  <si>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</si>
  <si>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</si>
  <si>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</si>
  <si>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</si>
  <si>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</si>
  <si>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</si>
  <si>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</si>
  <si>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</si>
  <si>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</si>
  <si>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</si>
  <si>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</si>
  <si>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</si>
  <si>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</si>
  <si>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</si>
  <si>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</si>
  <si>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</si>
  <si>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</si>
  <si>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</si>
  <si>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</si>
  <si>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</si>
  <si>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</si>
  <si>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</si>
  <si>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</si>
  <si>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</si>
  <si>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</si>
  <si>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</si>
  <si>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</si>
  <si>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</si>
  <si>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</si>
  <si>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</si>
  <si>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</si>
  <si>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</si>
  <si>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</si>
  <si>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</si>
  <si>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</si>
  <si>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</si>
  <si>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</si>
  <si>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</si>
  <si>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</si>
  <si>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</si>
  <si>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</si>
  <si>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</si>
  <si>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</si>
  <si>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</si>
  <si>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</si>
  <si>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</si>
  <si>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</si>
  <si>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</si>
  <si>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</si>
  <si>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</si>
  <si>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</si>
  <si>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</si>
  <si>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</si>
  <si>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</si>
  <si>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</si>
  <si>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</si>
  <si>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</si>
  <si>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</si>
  <si>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</si>
  <si>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</si>
  <si>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</si>
  <si>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</si>
  <si>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</si>
  <si>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</si>
  <si>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</si>
  <si>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</si>
  <si>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</si>
  <si>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</si>
  <si>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</si>
  <si>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</si>
  <si>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</si>
  <si>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</si>
  <si>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</si>
  <si>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</si>
  <si>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</si>
  <si>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</si>
  <si>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</si>
  <si>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</si>
  <si>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</si>
  <si>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</si>
  <si>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</si>
  <si>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</si>
  <si>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</si>
  <si>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</si>
  <si>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</si>
  <si>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</si>
  <si>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</si>
  <si>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</si>
  <si>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</si>
  <si>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</si>
  <si>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</si>
  <si>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</si>
  <si>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</si>
  <si>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</si>
  <si>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</si>
  <si>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</si>
  <si>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</si>
  <si>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</si>
  <si>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</si>
  <si>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</si>
  <si>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</si>
  <si>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</si>
  <si>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</si>
  <si>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</si>
  <si>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</si>
  <si>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</si>
  <si>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</si>
  <si>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</si>
  <si>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</si>
  <si>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</si>
  <si>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</si>
  <si>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</si>
  <si>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</si>
  <si>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</si>
  <si>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</si>
  <si>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</si>
  <si>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</si>
  <si>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</si>
  <si>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</si>
  <si>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</si>
  <si>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</si>
  <si>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</si>
  <si>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</si>
  <si>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</si>
  <si>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</si>
  <si>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</si>
  <si>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</si>
  <si>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</si>
  <si>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</si>
  <si>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</si>
  <si>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</si>
  <si>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</si>
  <si>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</si>
  <si>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</si>
  <si>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</si>
  <si>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</si>
  <si>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</si>
  <si>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</si>
  <si>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</si>
  <si>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</si>
  <si>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</si>
  <si>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</si>
  <si>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</si>
  <si>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</si>
  <si>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</si>
  <si>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</si>
  <si>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</si>
  <si>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</si>
  <si>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</si>
  <si>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</si>
  <si>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</si>
  <si>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</si>
  <si>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</si>
  <si>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</si>
  <si>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</si>
  <si>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</si>
  <si>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</si>
  <si>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</si>
  <si>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</si>
  <si>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</si>
  <si>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</si>
  <si>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</si>
  <si>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</si>
  <si>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</si>
  <si>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</si>
  <si>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</si>
  <si>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</si>
  <si>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</si>
  <si>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</si>
  <si>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</si>
  <si>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</si>
  <si>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</si>
  <si>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</si>
  <si>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</si>
  <si>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</si>
  <si>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</si>
  <si>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</si>
  <si>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</si>
  <si>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</si>
  <si>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</si>
  <si>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</si>
  <si>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</si>
  <si>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</si>
  <si>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</si>
  <si>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</si>
  <si>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</si>
  <si>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</si>
  <si>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</si>
  <si>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</si>
  <si>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</si>
  <si>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</si>
  <si>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</si>
  <si>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</si>
  <si>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</si>
  <si>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</si>
  <si>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</si>
  <si>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</si>
  <si>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</si>
  <si>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</si>
  <si>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</si>
  <si>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</si>
  <si>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</si>
  <si>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</si>
  <si>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</si>
  <si>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</si>
  <si>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</si>
  <si>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</si>
  <si>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</si>
  <si>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</si>
  <si>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</si>
  <si>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</si>
  <si>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</si>
  <si>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</si>
  <si>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</si>
  <si>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</si>
  <si>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</si>
  <si>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</si>
  <si>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</si>
  <si>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</si>
  <si>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</si>
  <si>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</si>
  <si>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</si>
  <si>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</si>
  <si>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</si>
  <si>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</si>
  <si>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</si>
  <si>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</si>
  <si>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</si>
  <si>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</si>
  <si>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</si>
  <si>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</si>
  <si>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</si>
  <si>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</si>
  <si>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</si>
  <si>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</si>
  <si>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</si>
  <si>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</si>
  <si>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</si>
  <si>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</si>
  <si>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</si>
  <si>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</si>
  <si>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</si>
  <si>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</si>
  <si>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</si>
  <si>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</si>
  <si>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</si>
  <si>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</si>
  <si>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</si>
  <si>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</si>
  <si>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</si>
  <si>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</si>
  <si>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</si>
  <si>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</si>
  <si>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</si>
  <si>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</si>
  <si>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</si>
  <si>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</si>
  <si>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</si>
  <si>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</si>
  <si>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</si>
  <si>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</si>
  <si>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</si>
  <si>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</si>
  <si>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</si>
  <si>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</si>
  <si>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</si>
  <si>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</si>
  <si>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</si>
  <si>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</si>
  <si>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</si>
  <si>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</si>
  <si>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</si>
  <si>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</si>
  <si>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</si>
  <si>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</si>
  <si>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</si>
  <si>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</si>
  <si>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</si>
  <si>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</si>
  <si>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</si>
  <si>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</si>
  <si>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</si>
  <si>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</si>
  <si>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</si>
  <si>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</si>
  <si>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</si>
  <si>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</si>
  <si>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</si>
  <si>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</si>
  <si>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</si>
  <si>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</si>
  <si>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</si>
  <si>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</si>
  <si>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</si>
  <si>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</si>
  <si>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</si>
  <si>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</si>
  <si>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</si>
  <si>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</si>
  <si>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</si>
  <si>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</si>
  <si>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</si>
  <si>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</si>
  <si>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</si>
  <si>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</si>
  <si>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</si>
  <si>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</si>
  <si>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</si>
  <si>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</si>
  <si>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</si>
  <si>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</si>
  <si>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</si>
  <si>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</si>
  <si>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</si>
  <si>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</si>
  <si>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</si>
  <si>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</si>
  <si>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</si>
  <si>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</si>
  <si>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</si>
  <si>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</si>
  <si>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</si>
  <si>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</si>
  <si>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</si>
  <si>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</si>
  <si>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</si>
  <si>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</si>
  <si>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</si>
  <si>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</si>
  <si>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</si>
  <si>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</si>
  <si>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</si>
  <si>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</si>
  <si>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</si>
  <si>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</si>
  <si>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</si>
  <si>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</si>
  <si>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</si>
  <si>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</si>
  <si>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</si>
  <si>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</si>
  <si>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</si>
  <si>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</si>
  <si>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</si>
  <si>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</si>
  <si>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</si>
  <si>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</si>
  <si>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</si>
  <si>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</si>
  <si>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</si>
  <si>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</si>
  <si>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</si>
  <si>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</si>
  <si>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</si>
  <si>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</si>
  <si>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</si>
  <si>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</si>
  <si>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</si>
  <si>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</si>
  <si>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</si>
  <si>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</si>
  <si>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</si>
  <si>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</si>
  <si>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</si>
  <si>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</si>
  <si>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</si>
  <si>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</si>
  <si>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</si>
  <si>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</si>
  <si>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</si>
  <si>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</si>
  <si>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</si>
  <si>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</si>
  <si>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</si>
  <si>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</si>
  <si>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</si>
  <si>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</si>
  <si>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</si>
  <si>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</si>
  <si>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</si>
  <si>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</si>
  <si>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</si>
  <si>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</si>
  <si>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</si>
  <si>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</si>
  <si>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</si>
  <si>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</si>
  <si>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</si>
  <si>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</si>
  <si>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</si>
  <si>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</si>
  <si>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</si>
  <si>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</si>
  <si>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</si>
  <si>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</si>
  <si>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</si>
  <si>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</si>
  <si>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</si>
  <si>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</si>
  <si>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</si>
  <si>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</si>
  <si>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</si>
  <si>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</si>
  <si>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</si>
  <si>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</si>
  <si>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</si>
  <si>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</si>
  <si>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</si>
  <si>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</si>
  <si>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</si>
  <si>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</si>
  <si>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</si>
  <si>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</si>
  <si>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</si>
  <si>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</si>
  <si>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</si>
  <si>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</si>
  <si>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</si>
  <si>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</si>
  <si>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</si>
  <si>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</si>
  <si>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</si>
  <si>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</si>
  <si>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</si>
  <si>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</si>
  <si>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</si>
  <si>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</si>
  <si>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</si>
  <si>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</si>
  <si>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</si>
  <si>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</si>
  <si>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</si>
  <si>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</si>
  <si>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</si>
  <si>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</si>
  <si>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</si>
  <si>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</si>
  <si>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</si>
  <si>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</si>
  <si>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</si>
  <si>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</si>
  <si>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</si>
  <si>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</si>
  <si>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</si>
  <si>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</si>
  <si>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</si>
  <si>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</si>
  <si>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</si>
  <si>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</si>
  <si>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</si>
  <si>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</si>
  <si>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</si>
  <si>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</si>
  <si>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</si>
  <si>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</si>
  <si>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</si>
  <si>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</si>
  <si>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</si>
  <si>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</si>
  <si>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</si>
  <si>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</si>
  <si>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</si>
  <si>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</si>
  <si>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</si>
  <si>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</si>
  <si>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</si>
  <si>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</si>
  <si>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</si>
  <si>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</si>
  <si>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</si>
  <si>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</si>
  <si>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</si>
  <si>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</si>
  <si>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</si>
  <si>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</si>
  <si>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</si>
  <si>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</si>
  <si>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</si>
  <si>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</si>
  <si>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</si>
  <si>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</si>
  <si>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</si>
  <si>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</si>
  <si>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</si>
  <si>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</si>
  <si>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</si>
  <si>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</si>
  <si>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</si>
  <si>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</si>
  <si>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</si>
  <si>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</si>
  <si>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</si>
  <si>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</si>
  <si>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</si>
  <si>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</si>
  <si>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</si>
  <si>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</si>
  <si>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</si>
  <si>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</si>
  <si>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</si>
  <si>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</si>
  <si>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</si>
  <si>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</si>
  <si>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</si>
  <si>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</si>
  <si>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</si>
  <si>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</si>
  <si>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</si>
  <si>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</si>
  <si>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</si>
  <si>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</si>
  <si>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</si>
  <si>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</si>
  <si>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</si>
  <si>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</si>
  <si>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</si>
  <si>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</si>
  <si>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</si>
  <si>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</si>
  <si>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</si>
  <si>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</si>
  <si>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</si>
  <si>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</si>
  <si>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</si>
  <si>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</si>
  <si>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</si>
  <si>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</si>
  <si>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</si>
  <si>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</si>
  <si>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</si>
  <si>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</si>
  <si>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</si>
  <si>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</si>
  <si>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</si>
  <si>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</si>
  <si>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</si>
  <si>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</si>
  <si>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</si>
  <si>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</si>
  <si>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</si>
  <si>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</si>
  <si>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</si>
  <si>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</si>
  <si>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</si>
  <si>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</si>
  <si>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</si>
  <si>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</si>
  <si>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</si>
  <si>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</si>
  <si>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</si>
  <si>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</si>
  <si>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</si>
  <si>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</si>
  <si>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</si>
  <si>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</si>
  <si>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</si>
  <si>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</si>
  <si>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</si>
  <si>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</si>
  <si>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</si>
  <si>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</si>
  <si>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</si>
  <si>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</si>
  <si>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</si>
  <si>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</si>
  <si>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</si>
  <si>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</si>
  <si>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</si>
  <si>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</si>
  <si>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</si>
  <si>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</si>
  <si>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</si>
  <si>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</si>
  <si>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</si>
  <si>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</si>
  <si>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</si>
  <si>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</si>
  <si>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</si>
  <si>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</si>
  <si>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</si>
  <si>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</si>
  <si>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</si>
  <si>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</si>
  <si>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</si>
  <si>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</si>
  <si>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</si>
  <si>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</si>
  <si>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</si>
  <si>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</si>
  <si>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</si>
  <si>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</si>
  <si>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</si>
  <si>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</si>
  <si>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</si>
  <si>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</si>
  <si>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</si>
  <si>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</si>
  <si>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</si>
  <si>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</si>
  <si>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</si>
  <si>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</si>
  <si>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</si>
  <si>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</si>
  <si>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</si>
  <si>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</si>
  <si>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</si>
  <si>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</si>
  <si>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</si>
  <si>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</si>
  <si>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</si>
  <si>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</si>
  <si>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</si>
  <si>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</si>
  <si>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</si>
  <si>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</si>
  <si>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</si>
  <si>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</si>
  <si>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</si>
  <si>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</si>
  <si>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</si>
  <si>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</si>
  <si>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</si>
  <si>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</si>
  <si>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</si>
  <si>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</si>
  <si>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</si>
  <si>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</si>
  <si>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</si>
  <si>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</si>
  <si>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</si>
  <si>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</si>
  <si>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</si>
  <si>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</si>
  <si>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</si>
  <si>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</si>
  <si>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</si>
  <si>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</si>
  <si>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</si>
  <si>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</si>
  <si>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</si>
  <si>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</si>
  <si>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</si>
  <si>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</si>
  <si>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</si>
  <si>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</si>
  <si>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</si>
  <si>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</si>
  <si>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</si>
  <si>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</si>
  <si>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</si>
  <si>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</si>
  <si>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</si>
  <si>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</si>
  <si>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</si>
  <si>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</si>
  <si>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</si>
  <si>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</si>
  <si>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</si>
  <si>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</si>
  <si>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</si>
  <si>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</si>
  <si>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</si>
  <si>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</si>
  <si>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</si>
  <si>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</si>
  <si>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</si>
  <si>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</si>
  <si>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</si>
  <si>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</si>
  <si>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</si>
  <si>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</si>
  <si>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</si>
  <si>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</si>
  <si>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</si>
  <si>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</si>
  <si>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</si>
  <si>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</si>
  <si>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</si>
  <si>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</si>
  <si>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</si>
  <si>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</si>
  <si>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</si>
  <si>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</si>
  <si>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</si>
  <si>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</si>
  <si>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</si>
  <si>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</si>
  <si>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</si>
  <si>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</si>
  <si>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</si>
  <si>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</si>
  <si>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</si>
  <si>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</si>
  <si>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</si>
  <si>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</si>
  <si>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</si>
  <si>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</si>
  <si>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</si>
  <si>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</si>
  <si>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</si>
  <si>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</si>
  <si>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</si>
  <si>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</si>
  <si>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</si>
  <si>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</si>
  <si>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</si>
  <si>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</si>
  <si>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</si>
  <si>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</si>
  <si>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</si>
  <si>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</si>
  <si>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</si>
  <si>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</si>
  <si>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</si>
  <si>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</si>
  <si>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</si>
  <si>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</si>
  <si>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</si>
  <si>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</si>
  <si>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</si>
  <si>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</si>
  <si>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</si>
  <si>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</si>
  <si>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</si>
  <si>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</si>
  <si>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</si>
  <si>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</si>
  <si>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</si>
  <si>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</si>
  <si>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</si>
  <si>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</si>
  <si>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</si>
  <si>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</si>
  <si>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</si>
  <si>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</si>
  <si>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</si>
  <si>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</si>
  <si>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</si>
  <si>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</si>
  <si>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</si>
  <si>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</si>
  <si>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</si>
  <si>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</si>
  <si>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</si>
  <si>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</si>
  <si>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</si>
  <si>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</si>
  <si>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</si>
  <si>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</si>
  <si>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</si>
  <si>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</si>
  <si>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</si>
  <si>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</si>
  <si>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</si>
  <si>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</si>
  <si>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</si>
  <si>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</si>
  <si>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</si>
  <si>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</si>
  <si>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</si>
  <si>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</si>
  <si>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</si>
  <si>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</si>
  <si>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</si>
  <si>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</si>
  <si>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</si>
  <si>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</si>
  <si>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</si>
  <si>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</si>
  <si>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</si>
  <si>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</si>
  <si>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</si>
  <si>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</si>
  <si>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</si>
  <si>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</si>
  <si>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</si>
  <si>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</si>
  <si>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</si>
  <si>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</si>
  <si>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</si>
  <si>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</si>
  <si>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</si>
  <si>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</si>
  <si>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</si>
  <si>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</si>
  <si>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</si>
  <si>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</si>
  <si>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</si>
  <si>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</si>
  <si>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</si>
  <si>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</si>
  <si>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</si>
  <si>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</si>
  <si>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</si>
  <si>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</si>
  <si>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</si>
  <si>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</si>
  <si>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</si>
  <si>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</si>
  <si>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</si>
  <si>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</si>
  <si>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</si>
  <si>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</si>
  <si>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</si>
  <si>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</si>
  <si>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</si>
  <si>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</si>
  <si>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</si>
  <si>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</si>
  <si>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</si>
  <si>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</si>
  <si>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</si>
  <si>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</si>
  <si>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</si>
  <si>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</si>
  <si>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</si>
  <si>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</si>
  <si>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</si>
  <si>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</si>
  <si>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</si>
  <si>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</si>
  <si>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</si>
  <si>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</si>
  <si>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</si>
  <si>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</si>
  <si>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</si>
  <si>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</si>
  <si>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</si>
  <si>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</si>
  <si>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</si>
  <si>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</si>
  <si>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</si>
  <si>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</si>
  <si>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</si>
  <si>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</si>
  <si>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</si>
  <si>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</si>
  <si>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</si>
  <si>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</si>
  <si>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</si>
  <si>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</si>
  <si>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</si>
  <si>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</si>
  <si>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</si>
  <si>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</si>
  <si>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</si>
  <si>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</si>
  <si>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</si>
  <si>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</si>
  <si>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</si>
  <si>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</si>
  <si>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</si>
  <si>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</si>
  <si>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</si>
  <si>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</si>
  <si>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</si>
  <si>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</si>
  <si>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</si>
  <si>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</si>
  <si>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</si>
  <si>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</si>
  <si>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</si>
  <si>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</si>
  <si>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</si>
  <si>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</si>
  <si>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</si>
  <si>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</si>
  <si>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</si>
  <si>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</si>
  <si>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</si>
  <si>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</si>
  <si>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</si>
  <si>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</si>
  <si>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</si>
  <si>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</si>
  <si>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</si>
  <si>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</si>
  <si>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</si>
  <si>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</si>
  <si>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</si>
  <si>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</si>
  <si>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</si>
  <si>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</si>
  <si>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</si>
  <si>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</si>
  <si>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</si>
  <si>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</si>
  <si>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</si>
  <si>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</si>
  <si>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</si>
  <si>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</si>
  <si>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</si>
  <si>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</si>
  <si>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</si>
  <si>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</si>
  <si>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</si>
  <si>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</si>
  <si>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</si>
  <si>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</si>
  <si>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</si>
  <si>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</si>
  <si>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</si>
  <si>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</si>
  <si>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</si>
  <si>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</si>
  <si>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</si>
  <si>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</si>
  <si>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</si>
  <si>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</si>
  <si>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</si>
  <si>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</si>
  <si>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</si>
  <si>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</si>
  <si>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</si>
  <si>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</si>
  <si>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</si>
  <si>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</si>
  <si>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</si>
  <si>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</si>
  <si>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</si>
  <si>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</si>
  <si>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</si>
  <si>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</si>
  <si>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</si>
  <si>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</si>
  <si>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</si>
  <si>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</si>
  <si>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</si>
  <si>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</si>
  <si>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</si>
  <si>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</si>
  <si>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</si>
  <si>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</si>
  <si>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</si>
  <si>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</si>
  <si>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</si>
  <si>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</si>
  <si>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</si>
  <si>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</si>
  <si>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</si>
  <si>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</si>
  <si>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宗地容积率</t>
  </si>
  <si>
    <t>情况3</t>
  </si>
  <si>
    <t>自行开发建设</t>
  </si>
  <si>
    <t>出让金+开发费</t>
  </si>
  <si>
    <t>企业提供（在右侧录入）</t>
  </si>
  <si>
    <t>全部缴纳</t>
  </si>
  <si>
    <t>成本法</t>
  </si>
  <si>
    <t>收益法</t>
  </si>
  <si>
    <t>总价</t>
  </si>
  <si>
    <t>成本比率</t>
  </si>
  <si>
    <t>顺义新顺南大街8号院1幢</t>
    <phoneticPr fontId="6" type="noConversion"/>
  </si>
  <si>
    <t>Ⅶ-顺1</t>
  </si>
  <si>
    <r>
      <t>-3</t>
    </r>
    <r>
      <rPr>
        <sz val="10"/>
        <color indexed="8"/>
        <rFont val="宋体"/>
        <family val="3"/>
        <charset val="134"/>
      </rPr>
      <t>层</t>
    </r>
    <phoneticPr fontId="3" type="noConversion"/>
  </si>
  <si>
    <r>
      <t>-2</t>
    </r>
    <r>
      <rPr>
        <sz val="10"/>
        <color indexed="8"/>
        <rFont val="宋体"/>
        <family val="3"/>
        <charset val="134"/>
      </rPr>
      <t>层</t>
    </r>
    <phoneticPr fontId="3" type="noConversion"/>
  </si>
  <si>
    <t>地下</t>
  </si>
  <si>
    <t>车库—商业</t>
  </si>
  <si>
    <t>楼层</t>
  </si>
  <si>
    <t>-3层</t>
  </si>
  <si>
    <t>-2层</t>
  </si>
  <si>
    <t>-1层</t>
  </si>
  <si>
    <t>1层</t>
  </si>
  <si>
    <t>2层</t>
  </si>
  <si>
    <t>3层</t>
  </si>
  <si>
    <t>4层</t>
  </si>
  <si>
    <t>5层</t>
  </si>
  <si>
    <t>6层</t>
  </si>
  <si>
    <t>合计</t>
  </si>
  <si>
    <t>建筑面积(平方米)</t>
  </si>
  <si>
    <r>
      <t>-1</t>
    </r>
    <r>
      <rPr>
        <sz val="10"/>
        <color indexed="8"/>
        <rFont val="宋体"/>
        <family val="3"/>
        <charset val="134"/>
      </rPr>
      <t>层</t>
    </r>
    <phoneticPr fontId="3" type="noConversion"/>
  </si>
  <si>
    <t>地上</t>
    <phoneticPr fontId="3" type="noConversion"/>
  </si>
  <si>
    <t>华联商场</t>
  </si>
  <si>
    <t>华联商场</t>
    <phoneticPr fontId="7" type="noConversion"/>
  </si>
  <si>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</si>
  <si>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</si>
  <si>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</si>
  <si>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</si>
  <si>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</si>
  <si>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新顺大街</t>
  </si>
  <si>
    <t>燃气</t>
  </si>
  <si>
    <t>中心城区以外</t>
  </si>
  <si>
    <t>楼层修正</t>
  </si>
  <si>
    <t>起租</t>
    <phoneticPr fontId="134" type="noConversion"/>
  </si>
  <si>
    <t>终止</t>
    <phoneticPr fontId="134" type="noConversion"/>
  </si>
  <si>
    <t>超市</t>
    <phoneticPr fontId="134" type="noConversion"/>
  </si>
  <si>
    <t>百货</t>
    <phoneticPr fontId="134" type="noConversion"/>
  </si>
  <si>
    <t>购物街</t>
    <phoneticPr fontId="134" type="noConversion"/>
  </si>
  <si>
    <t>增长率</t>
    <phoneticPr fontId="134" type="noConversion"/>
  </si>
  <si>
    <t>起始租金</t>
    <phoneticPr fontId="134" type="noConversion"/>
  </si>
  <si>
    <r>
      <t>至2</t>
    </r>
    <r>
      <rPr>
        <sz val="11"/>
        <color theme="1"/>
        <rFont val="宋体"/>
        <family val="3"/>
        <charset val="134"/>
        <scheme val="minor"/>
      </rPr>
      <t>025年7月31日</t>
    </r>
    <phoneticPr fontId="134" type="noConversion"/>
  </si>
  <si>
    <t>原值</t>
    <phoneticPr fontId="134" type="noConversion"/>
  </si>
  <si>
    <t>土地</t>
    <phoneticPr fontId="134" type="noConversion"/>
  </si>
  <si>
    <t>拆迁补偿确认</t>
    <phoneticPr fontId="134" type="noConversion"/>
  </si>
  <si>
    <t>金额</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</si>
  <si>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</si>
  <si>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</si>
  <si>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</si>
  <si>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</si>
  <si>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</si>
  <si>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</si>
  <si>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总建筑面积</t>
    <phoneticPr fontId="134" type="noConversion"/>
  </si>
  <si>
    <t>土地面积</t>
    <phoneticPr fontId="134" type="noConversion"/>
  </si>
  <si>
    <t>单价</t>
    <phoneticPr fontId="134" type="noConversion"/>
  </si>
  <si>
    <t>项目全部</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</si>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</sst>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4" fillId="0" borderId="0" applyFont="0" applyFill="0" applyBorder="0" applyAlignment="0" applyProtection="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14" fontId="0" fillId="0" borderId="0" xfId="0" applyNumberFormat="1">
      <alignment vertical="center"/>
    </xf>
    <xf numFmtId="14" fontId="95" fillId="0" borderId="0" xfId="0" applyNumberFormat="1" applyFont="1">
      <alignment vertical="center"/>
    </xf>
    <xf numFmtId="9" fontId="0" fillId="0" borderId="0" xfId="0" applyNumberFormat="1">
      <alignment vertical="center"/>
    </xf>
    <xf numFmtId="2" fontId="0" fillId="0" borderId="0" xfId="0" applyNumberFormat="1">
      <alignment vertical="center"/>
    </xf>
    <xf numFmtId="43" fontId="0" fillId="0" borderId="0" xfId="19" applyFont="1">
      <alignment vertical="center"/>
    </xf>
    <xf numFmtId="196" fontId="0" fillId="0" borderId="0" xfId="0" applyNumberFormat="1">
      <alignment vertical="center"/>
    </xf>
    <xf numFmtId="1" fontId="0" fillId="0" borderId="0" xfId="0" applyNumberFormat="1">
      <alignment vertical="center"/>
    </xf>
    <xf numFmtId="179" fontId="44" fillId="22" borderId="23" xfId="0" applyNumberFormat="1" applyFont="1" applyFill="1" applyBorder="1" applyAlignment="1" applyProtection="1">
      <alignment horizontal="center" vertical="center"/>
      <protection locked="0"/>
    </xf>
    <xf numFmtId="0" fontId="53" fillId="2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4" fontId="44" fillId="22" borderId="67" xfId="0" applyNumberFormat="1" applyFont="1" applyFill="1" applyBorder="1" applyAlignment="1">
      <alignment horizontal="center" vertical="center"/>
    </xf>
    <xf numFmtId="179" fontId="47" fillId="7" borderId="1"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548640</xdr:colOff>
      <xdr:row>9</xdr:row>
      <xdr:rowOff>83820</xdr:rowOff>
    </xdr:from>
    <xdr:to>
      <xdr:col>12</xdr:col>
      <xdr:colOff>565755</xdr:colOff>
      <xdr:row>21</xdr:row>
      <xdr:rowOff>144404</xdr:rowOff>
    </xdr:to>
    <xdr:pic>
      <xdr:nvPicPr>
        <xdr:cNvPr id="2" name="图片 1">
          <a:extLst>
            <a:ext uri="{FF2B5EF4-FFF2-40B4-BE49-F238E27FC236}">
              <a16:creationId xmlns:a16="http://schemas.microsoft.com/office/drawing/2014/main" id="{547079AC-2B1D-5FA0-77E8-9D11EA4F2F12}"/>
            </a:ext>
          </a:extLst>
        </xdr:cNvPr>
        <xdr:cNvPicPr>
          <a:picLocks noChangeAspect="1"/>
        </xdr:cNvPicPr>
      </xdr:nvPicPr>
      <xdr:blipFill>
        <a:blip xmlns:r="http://schemas.openxmlformats.org/officeDocument/2006/relationships" r:embed="rId1"/>
        <a:stretch>
          <a:fillRect/>
        </a:stretch>
      </xdr:blipFill>
      <xdr:spPr>
        <a:xfrm>
          <a:off x="5410200" y="1729740"/>
          <a:ext cx="3796635" cy="2255144"/>
        </a:xfrm>
        <a:prstGeom prst="rect">
          <a:avLst/>
        </a:prstGeom>
      </xdr:spPr>
    </xdr:pic>
    <xdr:clientData/>
  </xdr:twoCellAnchor>
  <xdr:twoCellAnchor editAs="oneCell">
    <xdr:from>
      <xdr:col>6</xdr:col>
      <xdr:colOff>605790</xdr:colOff>
      <xdr:row>1</xdr:row>
      <xdr:rowOff>3748</xdr:rowOff>
    </xdr:from>
    <xdr:to>
      <xdr:col>14</xdr:col>
      <xdr:colOff>590550</xdr:colOff>
      <xdr:row>8</xdr:row>
      <xdr:rowOff>167435</xdr:rowOff>
    </xdr:to>
    <xdr:pic>
      <xdr:nvPicPr>
        <xdr:cNvPr id="3" name="图片 2">
          <a:extLst>
            <a:ext uri="{FF2B5EF4-FFF2-40B4-BE49-F238E27FC236}">
              <a16:creationId xmlns:a16="http://schemas.microsoft.com/office/drawing/2014/main" id="{728601AD-1F95-C506-995A-87E7545C1A07}"/>
            </a:ext>
          </a:extLst>
        </xdr:cNvPr>
        <xdr:cNvPicPr>
          <a:picLocks noChangeAspect="1"/>
        </xdr:cNvPicPr>
      </xdr:nvPicPr>
      <xdr:blipFill>
        <a:blip xmlns:r="http://schemas.openxmlformats.org/officeDocument/2006/relationships" r:embed="rId2"/>
        <a:stretch>
          <a:fillRect/>
        </a:stretch>
      </xdr:blipFill>
      <xdr:spPr>
        <a:xfrm>
          <a:off x="5854065" y="175198"/>
          <a:ext cx="5585460" cy="1363837"/>
        </a:xfrm>
        <a:prstGeom prst="rect">
          <a:avLst/>
        </a:prstGeom>
      </xdr:spPr>
    </xdr:pic>
    <xdr:clientData/>
  </xdr:twoCellAnchor>
  <xdr:twoCellAnchor editAs="oneCell">
    <xdr:from>
      <xdr:col>13</xdr:col>
      <xdr:colOff>342900</xdr:colOff>
      <xdr:row>10</xdr:row>
      <xdr:rowOff>91441</xdr:rowOff>
    </xdr:from>
    <xdr:to>
      <xdr:col>20</xdr:col>
      <xdr:colOff>12731</xdr:colOff>
      <xdr:row>15</xdr:row>
      <xdr:rowOff>41159</xdr:rowOff>
    </xdr:to>
    <xdr:pic>
      <xdr:nvPicPr>
        <xdr:cNvPr id="4" name="图片 3">
          <a:extLst>
            <a:ext uri="{FF2B5EF4-FFF2-40B4-BE49-F238E27FC236}">
              <a16:creationId xmlns:a16="http://schemas.microsoft.com/office/drawing/2014/main" id="{A2497640-901F-3C84-22DB-D2CC7268D23B}"/>
            </a:ext>
          </a:extLst>
        </xdr:cNvPr>
        <xdr:cNvPicPr>
          <a:picLocks noChangeAspect="1"/>
        </xdr:cNvPicPr>
      </xdr:nvPicPr>
      <xdr:blipFill>
        <a:blip xmlns:r="http://schemas.openxmlformats.org/officeDocument/2006/relationships" r:embed="rId3"/>
        <a:stretch>
          <a:fillRect/>
        </a:stretch>
      </xdr:blipFill>
      <xdr:spPr>
        <a:xfrm>
          <a:off x="9471660" y="1920241"/>
          <a:ext cx="4295171" cy="864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北京市顺义新顺南大街8号院1幢房地产抵押价值预评估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受贵公司委托，我公司对北京市顺义新顺南大街8号院1幢房地产抵押价值进行了预评估。</v>
      </c>
    </row>
    <row r="7" spans="1:2">
      <c r="A7" s="1117" t="s">
        <v>566</v>
      </c>
      <c r="B7" s="1118" t="str">
        <f>'预评函-1'!A7</f>
        <v>估价对象为北京市顺义新顺南大街8号院1幢房地产，为所有。根据《国有土地使用证》[]，估价对象（分摊）出让国有建设用地使用权面积为37387.29平方米，建筑面积为135843.08平方米。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2025年2月27日（评估专业人员实地查勘之日）</v>
      </c>
    </row>
    <row r="13" spans="1:2">
      <c r="A13" s="1117" t="s">
        <v>529</v>
      </c>
      <c r="B13" s="1118"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218181</v>
      </c>
    </row>
    <row r="21" spans="1:2">
      <c r="A21" s="1117" t="s">
        <v>537</v>
      </c>
      <c r="B21" s="1118">
        <f ca="1">'预评函-2'!D7</f>
        <v>16061</v>
      </c>
    </row>
    <row r="22" spans="1:2">
      <c r="A22" s="1117" t="s">
        <v>538</v>
      </c>
      <c r="B22" s="1118" t="str">
        <f ca="1">'预评函-2'!D6</f>
        <v>贰拾壹亿捌仟壹佰捌拾壹万元整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218181</v>
      </c>
    </row>
    <row r="31" spans="1:2">
      <c r="A31" s="1117" t="s">
        <v>576</v>
      </c>
      <c r="B31" s="1118">
        <f ca="1">'预评函-2'!D15</f>
        <v>16061</v>
      </c>
    </row>
    <row r="32" spans="1:2">
      <c r="A32" s="1117" t="s">
        <v>543</v>
      </c>
      <c r="B32" s="1118" t="str">
        <f ca="1">'预评函-2'!D14</f>
        <v>贰拾壹亿捌仟壹佰捌拾壹万元整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185247</v>
      </c>
    </row>
    <row r="39" spans="1:2">
      <c r="A39" s="1117" t="s">
        <v>545</v>
      </c>
      <c r="B39" s="1118">
        <f ca="1">'预评函-2'!D21</f>
        <v>13637</v>
      </c>
    </row>
    <row r="40" spans="1:2">
      <c r="A40" s="1117" t="s">
        <v>546</v>
      </c>
      <c r="B40" s="1118" t="str">
        <f ca="1">'预评函-2'!D20</f>
        <v>壹拾捌亿伍仟贰佰肆拾柒万元整</v>
      </c>
    </row>
    <row r="41" spans="1:2">
      <c r="A41" s="1117" t="s">
        <v>592</v>
      </c>
      <c r="B41" s="1118" t="str">
        <f>'预评函-3'!A4</f>
        <v>北京市顺义新顺南大街8号院1幢房地产</v>
      </c>
    </row>
    <row r="42" spans="1:2" ht="31.2">
      <c r="A42" s="1117" t="s">
        <v>590</v>
      </c>
      <c r="B42" s="1118" t="str">
        <f>'预评函-3'!B2</f>
        <v>建筑面积</v>
      </c>
    </row>
    <row r="43" spans="1:2">
      <c r="A43" s="1117" t="s">
        <v>591</v>
      </c>
      <c r="B43" s="1118">
        <f>'预评函-3'!B4</f>
        <v>135843.08000000002</v>
      </c>
    </row>
    <row r="44" spans="1:2" ht="31.2">
      <c r="A44" s="1117" t="s">
        <v>575</v>
      </c>
      <c r="B44" s="1118" t="str">
        <f>'预评函-3'!C2</f>
        <v>(分摊)土地面积</v>
      </c>
    </row>
    <row r="45" spans="1:2">
      <c r="A45" s="1117" t="s">
        <v>547</v>
      </c>
      <c r="B45" s="1118">
        <f>'预评函-3'!C4</f>
        <v>37387.29</v>
      </c>
    </row>
    <row r="46" spans="1:2">
      <c r="A46" s="1117" t="s">
        <v>573</v>
      </c>
      <c r="B46" s="1118" t="str">
        <f>'预评函-3'!D2</f>
        <v>出让国有建设用地使用权价值</v>
      </c>
    </row>
    <row r="47" spans="1:2">
      <c r="A47" s="1117" t="s">
        <v>548</v>
      </c>
      <c r="B47" s="1118">
        <f ca="1">'预评函-3'!D4</f>
        <v>128509</v>
      </c>
    </row>
    <row r="48" spans="1:2">
      <c r="A48" s="1117" t="s">
        <v>549</v>
      </c>
      <c r="B48" s="1118">
        <f ca="1">'预评函-3'!E4</f>
        <v>9460</v>
      </c>
    </row>
    <row r="49" spans="1:2">
      <c r="A49" s="1117" t="s">
        <v>550</v>
      </c>
      <c r="B49" s="1118" t="str">
        <f ca="1">'预评函-3'!D5</f>
        <v>壹拾贰亿捌仟伍佰零玖万元整</v>
      </c>
    </row>
    <row r="50" spans="1:2">
      <c r="A50" s="1117" t="s">
        <v>574</v>
      </c>
      <c r="B50" s="1118" t="str">
        <f>'预评函-3'!F2</f>
        <v>在建建筑物价值</v>
      </c>
    </row>
    <row r="51" spans="1:2">
      <c r="A51" s="1117" t="s">
        <v>551</v>
      </c>
      <c r="B51" s="1118">
        <f ca="1">'预评函-3'!F4</f>
        <v>89672</v>
      </c>
    </row>
    <row r="52" spans="1:2">
      <c r="A52" s="1117" t="s">
        <v>552</v>
      </c>
      <c r="B52" s="1118">
        <f ca="1">'预评函-3'!G4</f>
        <v>6601</v>
      </c>
    </row>
    <row r="53" spans="1:2">
      <c r="A53" s="1117" t="s">
        <v>580</v>
      </c>
      <c r="B53" s="1118" t="str">
        <f ca="1">'预评函-3'!F5</f>
        <v>捌亿玖仟陆佰柒拾贰万元整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2573</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2574</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5" t="s">
        <v>385</v>
      </c>
      <c r="C54" s="1443" t="s">
        <v>583</v>
      </c>
    </row>
    <row r="55" spans="1:4">
      <c r="A55" s="3216"/>
      <c r="B55" s="1445" t="s">
        <v>386</v>
      </c>
      <c r="C55" s="1443" t="s">
        <v>584</v>
      </c>
    </row>
    <row r="56" spans="1:4">
      <c r="A56" s="3216"/>
      <c r="B56" s="1445" t="s">
        <v>387</v>
      </c>
      <c r="C56" s="1443" t="s">
        <v>588</v>
      </c>
    </row>
    <row r="57" spans="1:4">
      <c r="A57" s="321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7" t="s">
        <v>2576</v>
      </c>
      <c r="J2" s="3217"/>
      <c r="K2" s="3217"/>
      <c r="L2" s="3217"/>
      <c r="M2" s="3217"/>
      <c r="N2" s="3217"/>
      <c r="O2" s="3217"/>
      <c r="P2" s="3217"/>
      <c r="Q2" s="3217"/>
      <c r="R2" s="3217"/>
    </row>
    <row r="3" spans="1:18">
      <c r="A3" s="2757" t="s">
        <v>2497</v>
      </c>
      <c r="B3" s="2758">
        <f>项目基本情况!D3</f>
        <v>45715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1.8</v>
      </c>
      <c r="D5" s="2762">
        <f>IF(ISERROR(ROUND(POWER(1+E5,A5-C5)*(POWER(1+E5,C5)-1)/(POWER(1+E5,A5)-1),3)),0,ROUND(POWER(1+E5,A5-C5)*(POWER(1+E5,C5)-1)/(POWER(1+E5,A5)-1),4))</f>
        <v>8.6099999999999996E-2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11.81</v>
      </c>
      <c r="D6" s="2762">
        <f>IF(ISERROR(ROUND(POWER(1+E6,A6-C6)*(POWER(1+E6,C6)-1)/(POWER(1+E6,A6)-1),3)),0,ROUND(POWER(1+E6,A6-C6)*(POWER(1+E6,C6)-1)/(POWER(1+E6,A6)-1),4))</f>
        <v>0.43140000000000001</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31.83</v>
      </c>
      <c r="D7" s="2762">
        <f>IF(ISERROR(ROUND(POWER(1+E7,A7-C7)*(POWER(1+E7,C7)-1)/(POWER(1+E7,A7)-1),3)),0,ROUND(POWER(1+E7,A7-C7)*(POWER(1+E7,C7)-1)/(POWER(1+E7,A7)-1),4))</f>
        <v>0.76200000000000001</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8" customWidth="1"/>
    <col min="12" max="13" width="10" style="2409"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25" t="str">
        <f>IF(B10="北京市","北京市",C10)&amp;F10&amp;IF(结果表!G1="在建","出让国有建设用地使用权及在建建筑物",IF(结果表!G1="土地","出让国有建设用地使用权",))&amp;B9&amp;"预评估"</f>
        <v>北京市顺义新顺南大街8号院1幢房地产抵押价值预评估</v>
      </c>
      <c r="C1" s="3226"/>
      <c r="D1" s="3226"/>
      <c r="E1" s="3226"/>
      <c r="F1" s="3226"/>
      <c r="G1" s="3226"/>
      <c r="H1" s="3226"/>
      <c r="I1" s="3227"/>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北京市顺义新顺南大街8号院1幢房地产抵押价值</v>
      </c>
      <c r="T1" s="1616"/>
      <c r="U1" s="1616"/>
      <c r="V1" s="1616"/>
      <c r="W1" s="1616"/>
      <c r="X1" s="1616"/>
      <c r="Y1" s="1616"/>
      <c r="Z1" s="1616"/>
      <c r="AA1" s="1616"/>
      <c r="AB1" s="1616"/>
    </row>
    <row r="2" spans="1:30">
      <c r="A2" s="2180" t="s">
        <v>2169</v>
      </c>
      <c r="B2" s="121"/>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北京市顺义新顺南大街8号院1幢房地产</v>
      </c>
      <c r="T2" s="1616"/>
      <c r="U2" s="1616"/>
      <c r="V2" s="1616"/>
      <c r="W2" s="1616"/>
      <c r="X2" s="1616"/>
      <c r="Y2" s="1616"/>
      <c r="Z2" s="1616"/>
      <c r="AA2" s="1616"/>
      <c r="AB2" s="1616"/>
    </row>
    <row r="3" spans="1:30">
      <c r="A3" s="293" t="s">
        <v>2170</v>
      </c>
      <c r="B3" s="2183">
        <v>45715</v>
      </c>
      <c r="C3" s="2184" t="s">
        <v>2171</v>
      </c>
      <c r="D3" s="2183">
        <f>B3</f>
        <v>45715</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t="s">
        <v>3539</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6" t="str">
        <f>IF(COUNTIF(B6,"*上海银行*"),"上海银行","")</f>
        <v/>
      </c>
      <c r="L6" s="2394"/>
      <c r="M6" s="2394"/>
      <c r="N6" s="2242"/>
      <c r="O6" s="1668"/>
      <c r="P6" s="2242"/>
      <c r="Q6" s="2242"/>
      <c r="R6" s="2242"/>
    </row>
    <row r="7" spans="1:30">
      <c r="A7" s="2192" t="s">
        <v>2175</v>
      </c>
      <c r="B7" s="2196"/>
      <c r="C7" s="2194"/>
      <c r="D7" s="2195"/>
      <c r="E7" s="2436"/>
      <c r="F7" s="2437"/>
      <c r="G7" s="2437"/>
      <c r="H7" s="2437"/>
      <c r="I7" s="2437"/>
      <c r="J7" s="2242"/>
      <c r="K7" s="2397"/>
      <c r="L7" s="2394"/>
      <c r="M7" s="2394"/>
      <c r="N7" s="2242"/>
      <c r="O7" s="1668"/>
      <c r="P7" s="2242"/>
      <c r="Q7" s="2242"/>
      <c r="R7" s="2242"/>
    </row>
    <row r="8" spans="1:30">
      <c r="A8" s="2197" t="s">
        <v>2176</v>
      </c>
      <c r="B8" s="2198" t="s">
        <v>3399</v>
      </c>
      <c r="C8" s="2199"/>
      <c r="D8" s="3228" t="s">
        <v>2177</v>
      </c>
      <c r="E8" s="2200" t="s">
        <v>3400</v>
      </c>
      <c r="F8" s="2201"/>
      <c r="G8" s="2437"/>
      <c r="H8" s="2437"/>
      <c r="I8" s="2437"/>
      <c r="J8" s="2242"/>
      <c r="K8" s="2395"/>
      <c r="L8" s="2394"/>
      <c r="M8" s="2394"/>
      <c r="N8" s="2242"/>
      <c r="O8" s="1668"/>
      <c r="P8" s="2242"/>
      <c r="Q8" s="2242"/>
      <c r="R8" s="2242"/>
    </row>
    <row r="9" spans="1:30" ht="13.8" thickBot="1">
      <c r="A9" s="2202" t="s">
        <v>2178</v>
      </c>
      <c r="B9" s="2203" t="s">
        <v>3400</v>
      </c>
      <c r="C9" s="2204"/>
      <c r="D9" s="3229"/>
      <c r="E9" s="2203" t="s">
        <v>587</v>
      </c>
      <c r="F9" s="2205"/>
      <c r="G9" s="2438"/>
      <c r="H9" s="2438"/>
      <c r="I9" s="2438"/>
      <c r="J9" s="2242"/>
      <c r="K9" s="2397"/>
      <c r="L9" s="2394"/>
      <c r="M9" s="2394"/>
      <c r="N9" s="2242"/>
      <c r="O9" s="1668"/>
      <c r="P9" s="2242"/>
      <c r="Q9" s="2242"/>
      <c r="R9" s="2242"/>
    </row>
    <row r="10" spans="1:30" ht="13.8" thickTop="1">
      <c r="A10" s="2206" t="s">
        <v>2179</v>
      </c>
      <c r="B10" s="2207" t="s">
        <v>3401</v>
      </c>
      <c r="C10" s="2208"/>
      <c r="D10" s="2191"/>
      <c r="E10" s="2209" t="s">
        <v>2180</v>
      </c>
      <c r="F10" s="3159" t="s">
        <v>3486</v>
      </c>
      <c r="G10" s="2439"/>
      <c r="H10" s="2440"/>
      <c r="I10" s="2441"/>
      <c r="J10" s="2242"/>
      <c r="K10" s="2397"/>
      <c r="L10" s="2394"/>
      <c r="M10" s="2394"/>
      <c r="N10" s="2242"/>
      <c r="O10" s="1668"/>
      <c r="P10" s="2242"/>
      <c r="Q10" s="2242"/>
      <c r="R10" s="2242"/>
    </row>
    <row r="11" spans="1:30">
      <c r="A11" s="2210" t="s">
        <v>2181</v>
      </c>
      <c r="B11" s="2211" t="s">
        <v>3469</v>
      </c>
      <c r="C11" s="3148"/>
      <c r="D11" s="2212"/>
      <c r="E11" s="2180"/>
      <c r="F11" s="2180"/>
      <c r="G11" s="2180"/>
      <c r="H11" s="2180"/>
      <c r="I11" s="2180"/>
      <c r="J11" s="2796"/>
      <c r="K11" s="2394"/>
      <c r="L11" s="2394"/>
      <c r="M11" s="2394"/>
      <c r="N11" s="2242"/>
      <c r="O11" s="1668"/>
      <c r="P11" s="2242"/>
      <c r="Q11" s="2242"/>
      <c r="R11" s="2242"/>
    </row>
    <row r="12" spans="1:30">
      <c r="A12" s="2213" t="s">
        <v>2182</v>
      </c>
      <c r="B12" s="314" t="s">
        <v>2183</v>
      </c>
      <c r="C12" s="2214" t="s">
        <v>2184</v>
      </c>
      <c r="D12" s="2214" t="s">
        <v>2185</v>
      </c>
      <c r="E12" s="2214" t="s">
        <v>2186</v>
      </c>
      <c r="F12" s="2214" t="s">
        <v>2187</v>
      </c>
      <c r="G12" s="2214" t="s">
        <v>2188</v>
      </c>
      <c r="H12" s="2214" t="s">
        <v>2189</v>
      </c>
      <c r="I12" s="2795" t="s">
        <v>2572</v>
      </c>
      <c r="J12" s="2797"/>
      <c r="K12" s="2394"/>
      <c r="L12" s="2394"/>
      <c r="M12" s="2242"/>
      <c r="N12" s="1668"/>
      <c r="O12" s="2242"/>
      <c r="P12" s="2242"/>
      <c r="Q12" s="2242"/>
      <c r="AD12" s="1616"/>
    </row>
    <row r="13" spans="1:30">
      <c r="A13" s="3116" t="s">
        <v>3327</v>
      </c>
      <c r="B13" s="2215" t="s">
        <v>2190</v>
      </c>
      <c r="C13" s="802"/>
      <c r="D13" s="802">
        <v>54603</v>
      </c>
      <c r="E13" s="802">
        <v>58255</v>
      </c>
      <c r="F13" s="802">
        <v>58255</v>
      </c>
      <c r="G13" s="802"/>
      <c r="H13" s="802"/>
      <c r="I13" s="802"/>
      <c r="J13" s="2797"/>
      <c r="K13" s="2394"/>
      <c r="L13" s="2394"/>
      <c r="M13" s="2242"/>
      <c r="N13" s="1668"/>
      <c r="O13" s="2242"/>
      <c r="P13" s="2242"/>
      <c r="Q13" s="2242"/>
      <c r="AD13" s="1616"/>
    </row>
    <row r="14" spans="1:30">
      <c r="A14" s="1016"/>
      <c r="B14" s="2215" t="s">
        <v>2191</v>
      </c>
      <c r="C14" s="2216"/>
      <c r="D14" s="2216">
        <v>40</v>
      </c>
      <c r="E14" s="2216">
        <v>50</v>
      </c>
      <c r="F14" s="2216">
        <v>50</v>
      </c>
      <c r="G14" s="2216"/>
      <c r="H14" s="2216"/>
      <c r="I14" s="2216"/>
      <c r="J14" s="2798"/>
      <c r="K14" s="2394"/>
      <c r="L14" s="2394"/>
      <c r="M14" s="2242"/>
      <c r="N14" s="1668"/>
      <c r="O14" s="2242"/>
      <c r="P14" s="2242"/>
      <c r="Q14" s="2242"/>
      <c r="AD14" s="1616"/>
    </row>
    <row r="15" spans="1:30">
      <c r="A15" s="311"/>
      <c r="B15" s="2217" t="s">
        <v>2192</v>
      </c>
      <c r="C15" s="2218" t="str">
        <f>IF(A13="出让",IF(C13="","",ROUNDDOWN(MIN((C13-$D$3)/365,C14),2)),C14)</f>
        <v/>
      </c>
      <c r="D15" s="2218">
        <f>IF(A13="出让",IF(D13="","",ROUNDDOWN(MIN((D13-$D$3)/365,D14),2)),D14)</f>
        <v>24.35</v>
      </c>
      <c r="E15" s="2218">
        <f>IF(A13="出让",IF(E13="","",ROUNDDOWN(MIN((E13-$D$3)/365,E14),2)),E14)</f>
        <v>34.35</v>
      </c>
      <c r="F15" s="2218">
        <f>IF(A13="出让",IF(F13="","",ROUNDDOWN(MIN((F13-$D$3)/365,F14),2)),F14)</f>
        <v>34.35</v>
      </c>
      <c r="G15" s="2218" t="str">
        <f>IF(A13="出让",IF(G13="","",ROUNDDOWN(MIN((G13-$D$3)/365,G14),2)),G14)</f>
        <v/>
      </c>
      <c r="H15" s="2218" t="str">
        <f>IF(A13="出让",IF(H13="","",ROUNDDOWN(MIN((H13-$D$3)/365,H14),2)),H14)</f>
        <v/>
      </c>
      <c r="I15" s="2218" t="str">
        <f>IF(A13="出让",IF(I13="","",ROUNDDOWN(MIN((I13-$D$3)/365,I14),2)),I14)</f>
        <v/>
      </c>
      <c r="J15" s="2799"/>
      <c r="K15" s="1668"/>
      <c r="L15" s="1668"/>
      <c r="M15" s="2242"/>
      <c r="N15" s="1668"/>
      <c r="O15" s="2242"/>
      <c r="P15" s="2242"/>
      <c r="Q15" s="2242"/>
      <c r="AD15" s="1616"/>
    </row>
    <row r="16" spans="1:30">
      <c r="A16" s="2209" t="s">
        <v>2193</v>
      </c>
      <c r="B16" s="3235"/>
      <c r="C16" s="3236"/>
      <c r="D16" s="3237"/>
      <c r="E16" s="2219" t="s">
        <v>2194</v>
      </c>
      <c r="F16" s="3238"/>
      <c r="G16" s="3239"/>
      <c r="H16" s="3239"/>
      <c r="I16" s="3240"/>
      <c r="J16" s="2242"/>
      <c r="K16" s="2398"/>
      <c r="L16" s="1668"/>
      <c r="M16" s="1668"/>
      <c r="N16" s="2242"/>
      <c r="O16" s="1668"/>
      <c r="P16" s="2242"/>
      <c r="Q16" s="2242"/>
      <c r="R16" s="2242"/>
    </row>
    <row r="17" spans="1:28">
      <c r="A17" s="304" t="s">
        <v>2195</v>
      </c>
      <c r="B17" s="293" t="s">
        <v>2196</v>
      </c>
      <c r="C17" s="8">
        <f>'数据-汇总表'!E3</f>
        <v>135843.08000000002</v>
      </c>
      <c r="D17" s="1254" t="s">
        <v>2197</v>
      </c>
      <c r="E17" s="3241" t="s">
        <v>2198</v>
      </c>
      <c r="F17" s="3242"/>
      <c r="G17" s="3242"/>
      <c r="H17" s="3242"/>
      <c r="I17" s="3243"/>
      <c r="J17" s="2242"/>
      <c r="K17" s="2399"/>
      <c r="L17" s="1668"/>
      <c r="M17" s="1668"/>
      <c r="N17" s="2242"/>
      <c r="O17" s="1668"/>
      <c r="P17" s="2242"/>
      <c r="Q17" s="2242"/>
      <c r="R17" s="2242"/>
      <c r="S17" s="2242"/>
      <c r="T17" s="2242"/>
      <c r="U17" s="2242"/>
      <c r="V17" s="2242"/>
    </row>
    <row r="18" spans="1:28" ht="24.6" thickBot="1">
      <c r="A18" s="2220" t="s">
        <v>2199</v>
      </c>
      <c r="B18" s="1025" t="s">
        <v>2200</v>
      </c>
      <c r="C18" s="2221">
        <f>'数据-汇总表'!D3</f>
        <v>37387.29</v>
      </c>
      <c r="D18" s="1027" t="s">
        <v>2201</v>
      </c>
      <c r="E18" s="3244" t="s">
        <v>2202</v>
      </c>
      <c r="F18" s="3245"/>
      <c r="G18" s="3245"/>
      <c r="H18" s="3245"/>
      <c r="I18" s="3246"/>
      <c r="J18" s="2242"/>
      <c r="K18" s="2399"/>
      <c r="L18" s="1668"/>
      <c r="M18" s="1668"/>
      <c r="N18" s="2242"/>
      <c r="O18" s="1668"/>
      <c r="P18" s="2242"/>
      <c r="Q18" s="2242"/>
      <c r="R18" s="2242"/>
      <c r="S18" s="2242"/>
      <c r="T18" s="2242"/>
      <c r="U18" s="2242"/>
      <c r="V18" s="2242"/>
    </row>
    <row r="19" spans="1:28" ht="54" thickTop="1" thickBot="1">
      <c r="A19" s="318" t="s">
        <v>1055</v>
      </c>
      <c r="B19" s="298" t="s">
        <v>2203</v>
      </c>
      <c r="C19" s="1453" t="s">
        <v>3402</v>
      </c>
      <c r="D19" s="1454" t="s">
        <v>2204</v>
      </c>
      <c r="E19" s="1455" t="s">
        <v>3403</v>
      </c>
      <c r="F19" s="1456" t="str">
        <f>IF(AND(C19="是",E19="否"),"是否提供他项权证或相关说明","")</f>
        <v>是否提供他项权证或相关说明</v>
      </c>
      <c r="G19" s="1457" t="s">
        <v>3403</v>
      </c>
      <c r="H19" s="2437"/>
      <c r="I19" s="2437"/>
      <c r="J19" s="2242"/>
      <c r="K19" s="2397"/>
      <c r="L19" s="2394"/>
      <c r="M19" s="2394"/>
      <c r="N19" s="2242"/>
      <c r="O19" s="1668"/>
      <c r="P19" s="2242"/>
      <c r="Q19" s="2242"/>
      <c r="R19" s="2242"/>
      <c r="S19" s="2242"/>
      <c r="T19" s="2242"/>
      <c r="U19" s="2242"/>
      <c r="V19" s="2242"/>
    </row>
    <row r="20" spans="1:28">
      <c r="A20" s="2412" t="s">
        <v>2205</v>
      </c>
      <c r="B20" s="3231" t="s">
        <v>2206</v>
      </c>
      <c r="C20" s="3232"/>
      <c r="D20" s="3233" t="s">
        <v>2207</v>
      </c>
      <c r="E20" s="3234"/>
      <c r="F20" s="2425" t="s">
        <v>1056</v>
      </c>
      <c r="G20" s="2437"/>
      <c r="H20" s="2437"/>
      <c r="I20" s="2437"/>
      <c r="J20" s="2242"/>
      <c r="K20" s="323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2"/>
      <c r="B21" s="2413" t="s">
        <v>2209</v>
      </c>
      <c r="C21" s="2291" t="s">
        <v>1057</v>
      </c>
      <c r="D21" s="1458" t="s">
        <v>2210</v>
      </c>
      <c r="E21" s="2414" t="s">
        <v>1057</v>
      </c>
      <c r="F21" s="2426"/>
      <c r="G21" s="2437"/>
      <c r="H21" s="2437"/>
      <c r="I21" s="2437"/>
      <c r="J21" s="2242"/>
      <c r="K21" s="32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2"/>
      <c r="B22" s="2415" t="s">
        <v>2211</v>
      </c>
      <c r="C22" s="2291" t="s">
        <v>1058</v>
      </c>
      <c r="D22" s="2437"/>
      <c r="E22" s="2437"/>
      <c r="F22" s="2437"/>
      <c r="G22" s="2437"/>
      <c r="H22" s="2437"/>
      <c r="I22" s="2437"/>
      <c r="J22" s="2242"/>
      <c r="K22" s="32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6" t="s">
        <v>2212</v>
      </c>
      <c r="B23" s="2288" t="s">
        <v>2213</v>
      </c>
      <c r="C23" s="2417"/>
      <c r="D23" s="2418" t="s">
        <v>2213</v>
      </c>
      <c r="E23" s="2419"/>
      <c r="F23" s="2437"/>
      <c r="G23" s="2437"/>
      <c r="H23" s="2437"/>
      <c r="I23" s="2437"/>
      <c r="J23" s="2242"/>
      <c r="K23" s="2396"/>
      <c r="L23" s="120"/>
      <c r="M23" s="2394"/>
      <c r="N23" s="2242"/>
      <c r="O23" s="1668"/>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8"/>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8"/>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8"/>
      <c r="P26" s="2242"/>
      <c r="Q26" s="2242"/>
      <c r="R26" s="2242"/>
      <c r="S26" s="2242"/>
      <c r="T26" s="2242"/>
      <c r="U26" s="2242"/>
      <c r="V26" s="2242"/>
    </row>
    <row r="27" spans="1:28" ht="13.8" thickTop="1">
      <c r="A27" s="3219" t="s">
        <v>2214</v>
      </c>
      <c r="B27" s="311" t="s">
        <v>2215</v>
      </c>
      <c r="C27" s="2222" t="s">
        <v>3404</v>
      </c>
      <c r="D27" s="2223"/>
      <c r="E27" s="2437"/>
      <c r="F27" s="2437"/>
      <c r="G27" s="2437"/>
      <c r="H27" s="2437"/>
      <c r="I27" s="2437"/>
      <c r="J27" s="2242"/>
      <c r="K27" s="2398"/>
      <c r="L27" s="1668"/>
      <c r="M27" s="1668"/>
      <c r="N27" s="2242"/>
      <c r="O27" s="1668"/>
      <c r="P27" s="2242"/>
      <c r="Q27" s="2242"/>
      <c r="R27" s="2242"/>
      <c r="S27" s="2242"/>
      <c r="T27" s="2242"/>
      <c r="U27" s="2242"/>
      <c r="V27" s="2242"/>
    </row>
    <row r="28" spans="1:28">
      <c r="A28" s="3219"/>
      <c r="B28" s="293" t="s">
        <v>2216</v>
      </c>
      <c r="C28" s="2224"/>
      <c r="D28" s="2225"/>
      <c r="E28" s="2437"/>
      <c r="F28" s="2437"/>
      <c r="G28" s="2437"/>
      <c r="H28" s="2437"/>
      <c r="I28" s="2437"/>
      <c r="J28" s="2242"/>
      <c r="K28" s="2397"/>
      <c r="L28" s="2394"/>
      <c r="M28" s="2394"/>
      <c r="N28" s="2242"/>
      <c r="O28" s="1668"/>
      <c r="P28" s="2242"/>
      <c r="Q28" s="2242"/>
      <c r="R28" s="2242"/>
      <c r="S28" s="2242"/>
      <c r="T28" s="2242"/>
      <c r="U28" s="2242"/>
      <c r="V28" s="2242"/>
    </row>
    <row r="29" spans="1:28">
      <c r="A29" s="3219"/>
      <c r="B29" s="293" t="s">
        <v>2217</v>
      </c>
      <c r="C29" s="2226"/>
      <c r="D29" s="2227"/>
      <c r="E29" s="2437"/>
      <c r="F29" s="2437"/>
      <c r="G29" s="2437"/>
      <c r="H29" s="2437"/>
      <c r="I29" s="2437"/>
      <c r="J29" s="2242"/>
      <c r="K29" s="2397"/>
      <c r="L29" s="2394"/>
      <c r="M29" s="2394"/>
      <c r="N29" s="2242"/>
      <c r="O29" s="1668"/>
      <c r="P29" s="2242"/>
      <c r="Q29" s="2242"/>
      <c r="R29" s="2242"/>
      <c r="S29" s="2242"/>
      <c r="T29" s="2242"/>
      <c r="U29" s="2242"/>
      <c r="V29" s="2242"/>
    </row>
    <row r="30" spans="1:28">
      <c r="A30" s="3220"/>
      <c r="B30" s="293" t="s">
        <v>2218</v>
      </c>
      <c r="C30" s="3221"/>
      <c r="D30" s="3222"/>
      <c r="E30" s="2437"/>
      <c r="F30" s="2437"/>
      <c r="G30" s="2437"/>
      <c r="H30" s="2437"/>
      <c r="I30" s="2437"/>
      <c r="J30" s="2242"/>
      <c r="K30" s="2397"/>
      <c r="L30" s="2394"/>
      <c r="M30" s="2394"/>
      <c r="N30" s="2242"/>
      <c r="O30" s="1668"/>
      <c r="P30" s="2242"/>
      <c r="Q30" s="2242"/>
      <c r="R30" s="2242"/>
      <c r="S30" s="2242"/>
      <c r="T30" s="2242"/>
      <c r="U30" s="2242"/>
      <c r="V30" s="2242"/>
    </row>
    <row r="31" spans="1:28">
      <c r="A31" s="3223" t="s">
        <v>2219</v>
      </c>
      <c r="B31" s="2228" t="s">
        <v>3405</v>
      </c>
      <c r="C31" s="11" t="str">
        <f>IF(B31="现房","成新及维护状况正常否",IF(B31="在建","工程状态是否正常",IF(B31="土地","是否闲置","-")))</f>
        <v>成新及维护状况正常否</v>
      </c>
      <c r="D31" s="1279"/>
      <c r="E31" s="2229"/>
      <c r="F31" s="2437"/>
      <c r="G31" s="2437"/>
      <c r="H31" s="2437"/>
      <c r="I31" s="2437"/>
      <c r="J31" s="2242"/>
      <c r="K31" s="2396"/>
      <c r="L31" s="2394"/>
      <c r="M31" s="2394"/>
      <c r="N31" s="2242"/>
      <c r="O31" s="1668"/>
      <c r="P31" s="2242"/>
      <c r="Q31" s="2242"/>
      <c r="R31" s="2242"/>
      <c r="S31" s="2242"/>
      <c r="T31" s="2242"/>
      <c r="U31" s="2242"/>
      <c r="V31" s="2242"/>
    </row>
    <row r="32" spans="1:28">
      <c r="A32" s="3224"/>
      <c r="B32" s="2228"/>
      <c r="C32" s="11" t="str">
        <f>IF(B32="现房","成新及维护状况是否正常",IF(B32="在建","工程状态是否正常",IF(B32="土地","是否闲置","-")))</f>
        <v>-</v>
      </c>
      <c r="D32" s="1279"/>
      <c r="E32" s="2229"/>
      <c r="F32" s="2437"/>
      <c r="G32" s="2437"/>
      <c r="H32" s="2437"/>
      <c r="I32" s="2437"/>
      <c r="J32" s="2242"/>
      <c r="K32" s="2397"/>
      <c r="L32" s="2394"/>
      <c r="M32" s="2394"/>
      <c r="N32" s="2242"/>
      <c r="O32" s="1668"/>
      <c r="P32" s="2242"/>
      <c r="Q32" s="2242"/>
      <c r="R32" s="2242"/>
      <c r="S32" s="2242"/>
      <c r="T32" s="2242"/>
      <c r="U32" s="2242"/>
      <c r="V32" s="2242"/>
    </row>
    <row r="33" spans="1:30">
      <c r="A33" s="3224"/>
      <c r="B33" s="2231"/>
      <c r="C33" s="1476" t="str">
        <f>IF(B33="现房","成新及维护状况是否正常",IF(B33="在建","工程状态是否正常",IF(B33="土地","是否闲置","-")))</f>
        <v>-</v>
      </c>
      <c r="D33" s="1272"/>
      <c r="E33" s="2232"/>
      <c r="F33" s="2437"/>
      <c r="G33" s="2437"/>
      <c r="H33" s="2437"/>
      <c r="I33" s="2437"/>
      <c r="J33" s="2242"/>
      <c r="K33" s="2397"/>
      <c r="L33" s="2394"/>
      <c r="M33" s="2394"/>
      <c r="N33" s="2242"/>
      <c r="O33" s="1668"/>
      <c r="P33" s="2242"/>
      <c r="Q33" s="2242"/>
      <c r="R33" s="2242"/>
      <c r="S33" s="2242"/>
      <c r="T33" s="2242"/>
      <c r="U33" s="2242"/>
      <c r="V33" s="2242"/>
    </row>
    <row r="34" spans="1:30">
      <c r="A34" s="293" t="s">
        <v>2220</v>
      </c>
      <c r="B34" s="1868"/>
      <c r="C34" s="1868"/>
      <c r="D34" s="1868"/>
      <c r="E34" s="1868"/>
      <c r="F34" s="1868"/>
      <c r="G34" s="1868"/>
      <c r="H34" s="1868"/>
      <c r="I34" s="2437"/>
      <c r="J34" s="2242"/>
      <c r="K34" s="8">
        <f>COUNTIF(B34:H34,"——")</f>
        <v>0</v>
      </c>
      <c r="L34" s="314" t="s">
        <v>2221</v>
      </c>
      <c r="M34" s="314" t="s">
        <v>2222</v>
      </c>
      <c r="N34" s="314" t="s">
        <v>2223</v>
      </c>
      <c r="O34" s="314" t="s">
        <v>2224</v>
      </c>
      <c r="P34" s="314" t="s">
        <v>2225</v>
      </c>
      <c r="Q34" s="314" t="s">
        <v>2226</v>
      </c>
      <c r="R34" s="314" t="s">
        <v>2227</v>
      </c>
      <c r="S34" s="3218" t="s">
        <v>2228</v>
      </c>
      <c r="T34" s="314" t="str">
        <f>NUMBERSTRING(7-K34,1)&amp;"通"</f>
        <v>七通</v>
      </c>
      <c r="U34" s="2242"/>
      <c r="V34" s="2242"/>
    </row>
    <row r="35" spans="1:30">
      <c r="A35" s="2233"/>
      <c r="B35" s="3218" t="s">
        <v>2229</v>
      </c>
      <c r="C35" s="3218"/>
      <c r="D35" s="3218"/>
      <c r="E35" s="3218"/>
      <c r="F35" s="8">
        <f>C10</f>
        <v>0</v>
      </c>
      <c r="G35" s="2437"/>
      <c r="H35" s="2437"/>
      <c r="I35" s="2437"/>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8"/>
      <c r="T35" s="137"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7"/>
      <c r="L36" s="2394"/>
      <c r="M36" s="2394"/>
      <c r="N36" s="2242"/>
      <c r="O36" s="1668"/>
      <c r="P36" s="2242"/>
      <c r="Q36" s="2242"/>
      <c r="R36" s="2242"/>
      <c r="S36" s="2242"/>
      <c r="T36" s="2242"/>
      <c r="U36" s="2242"/>
      <c r="V36" s="2242"/>
    </row>
    <row r="37" spans="1:30">
      <c r="A37" s="2410" t="s">
        <v>2230</v>
      </c>
      <c r="B37" s="2234" t="s">
        <v>304</v>
      </c>
      <c r="C37" s="2234" t="s">
        <v>304</v>
      </c>
      <c r="D37" s="2234"/>
      <c r="E37" s="2234"/>
      <c r="F37" s="2234"/>
      <c r="G37" s="2437"/>
      <c r="H37" s="2437"/>
      <c r="I37" s="2437"/>
      <c r="J37" s="2242"/>
      <c r="K37" s="2397"/>
      <c r="L37" s="2394"/>
      <c r="M37" s="2394"/>
      <c r="N37" s="2242"/>
      <c r="O37" s="1668"/>
      <c r="P37" s="2242"/>
      <c r="Q37" s="2242"/>
      <c r="R37" s="2242"/>
      <c r="S37" s="2242"/>
      <c r="T37" s="2242"/>
      <c r="U37" s="2242"/>
      <c r="V37" s="2242"/>
    </row>
    <row r="38" spans="1:30" ht="13.8" thickBot="1">
      <c r="A38" s="2411" t="s">
        <v>2231</v>
      </c>
      <c r="B38" s="2235" t="s">
        <v>3487</v>
      </c>
      <c r="C38" s="2235" t="s">
        <v>3487</v>
      </c>
      <c r="D38" s="2235"/>
      <c r="E38" s="2235"/>
      <c r="F38" s="2235"/>
      <c r="G38" s="2438"/>
      <c r="H38" s="2438"/>
      <c r="I38" s="2438"/>
      <c r="J38" s="2242"/>
      <c r="K38" s="2397"/>
      <c r="L38" s="2394"/>
      <c r="M38" s="2394"/>
      <c r="N38" s="2242"/>
      <c r="O38" s="1668"/>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0"/>
      <c r="B40" s="2180"/>
      <c r="C40" s="2180"/>
      <c r="D40" s="2180"/>
      <c r="E40" s="2180"/>
      <c r="F40" s="2180"/>
      <c r="G40" s="2180"/>
      <c r="H40" s="2180"/>
      <c r="I40" s="1464"/>
      <c r="J40" s="2242"/>
      <c r="K40" s="2396"/>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7"/>
      <c r="L41" s="2394"/>
      <c r="M41" s="2394"/>
      <c r="N41" s="2242"/>
      <c r="O41" s="1668"/>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D46"/>
  <sheetViews>
    <sheetView workbookViewId="0">
      <selection activeCell="E3" sqref="E3:E4"/>
    </sheetView>
  </sheetViews>
  <sheetFormatPr defaultRowHeight="14.4"/>
  <cols>
    <col min="2" max="2" width="13.109375" customWidth="1"/>
    <col min="3" max="3" width="2.44140625" customWidth="1"/>
    <col min="4" max="4" width="19.21875" customWidth="1"/>
    <col min="5" max="5" width="16" customWidth="1"/>
    <col min="8" max="8" width="10.44140625" bestFit="1" customWidth="1"/>
    <col min="9" max="9" width="9" customWidth="1"/>
    <col min="16" max="16" width="10.44140625" bestFit="1" customWidth="1"/>
    <col min="19" max="19" width="10.77734375" customWidth="1"/>
    <col min="20" max="20" width="10.44140625" bestFit="1" customWidth="1"/>
    <col min="21" max="26" width="11.6640625" bestFit="1" customWidth="1"/>
    <col min="27" max="27" width="12.77734375" bestFit="1" customWidth="1"/>
    <col min="28" max="30" width="10.44140625" bestFit="1" customWidth="1"/>
    <col min="31" max="31" width="9.44140625" bestFit="1" customWidth="1"/>
  </cols>
  <sheetData>
    <row r="2" spans="4:5">
      <c r="D2" t="s">
        <v>3492</v>
      </c>
      <c r="E2" t="s">
        <v>3503</v>
      </c>
    </row>
    <row r="3" spans="4:5">
      <c r="D3" t="s">
        <v>3493</v>
      </c>
      <c r="E3">
        <v>11760.56</v>
      </c>
    </row>
    <row r="4" spans="4:5">
      <c r="D4" t="s">
        <v>3494</v>
      </c>
      <c r="E4">
        <v>23455.95</v>
      </c>
    </row>
    <row r="5" spans="4:5">
      <c r="D5" t="s">
        <v>3495</v>
      </c>
      <c r="E5">
        <v>21379.405999999999</v>
      </c>
    </row>
    <row r="6" spans="4:5">
      <c r="D6" t="s">
        <v>3496</v>
      </c>
      <c r="E6">
        <v>17974.404999999999</v>
      </c>
    </row>
    <row r="7" spans="4:5">
      <c r="D7" t="s">
        <v>3497</v>
      </c>
      <c r="E7">
        <v>15871.165000000001</v>
      </c>
    </row>
    <row r="8" spans="4:5">
      <c r="D8" t="s">
        <v>3498</v>
      </c>
      <c r="E8">
        <v>15786.74</v>
      </c>
    </row>
    <row r="9" spans="4:5">
      <c r="D9" t="s">
        <v>3499</v>
      </c>
      <c r="E9">
        <v>16007.384</v>
      </c>
    </row>
    <row r="10" spans="4:5">
      <c r="D10" t="s">
        <v>3500</v>
      </c>
      <c r="E10">
        <v>11843.62</v>
      </c>
    </row>
    <row r="11" spans="4:5">
      <c r="D11" t="s">
        <v>3501</v>
      </c>
      <c r="E11">
        <v>1763.85</v>
      </c>
    </row>
    <row r="12" spans="4:5">
      <c r="D12" t="s">
        <v>3502</v>
      </c>
      <c r="E12">
        <v>135843.07999999999</v>
      </c>
    </row>
    <row r="18" spans="5:29">
      <c r="O18" s="1403" t="s">
        <v>3517</v>
      </c>
      <c r="P18" s="3164">
        <v>41487</v>
      </c>
    </row>
    <row r="19" spans="5:29">
      <c r="O19" s="1403" t="s">
        <v>3518</v>
      </c>
      <c r="P19" s="3164">
        <v>48791</v>
      </c>
    </row>
    <row r="24" spans="5:29">
      <c r="I24" s="3164"/>
      <c r="T24" s="3164">
        <v>45869</v>
      </c>
      <c r="AB24" s="3165">
        <v>48791</v>
      </c>
    </row>
    <row r="25" spans="5:29">
      <c r="F25" s="1403" t="s">
        <v>3386</v>
      </c>
      <c r="G25" s="1403" t="s">
        <v>3523</v>
      </c>
      <c r="H25" s="1403" t="s">
        <v>3522</v>
      </c>
      <c r="I25">
        <v>2014</v>
      </c>
      <c r="J25">
        <v>2015</v>
      </c>
      <c r="K25">
        <v>2016</v>
      </c>
      <c r="L25">
        <v>2017</v>
      </c>
      <c r="M25">
        <v>2018</v>
      </c>
      <c r="N25">
        <v>2019</v>
      </c>
      <c r="O25">
        <v>2020</v>
      </c>
      <c r="P25">
        <v>2021</v>
      </c>
      <c r="Q25">
        <v>2022</v>
      </c>
      <c r="R25">
        <v>2023</v>
      </c>
      <c r="S25">
        <v>2024</v>
      </c>
      <c r="T25">
        <v>2025</v>
      </c>
      <c r="U25">
        <v>2026</v>
      </c>
      <c r="V25">
        <v>2027</v>
      </c>
      <c r="W25">
        <v>2028</v>
      </c>
      <c r="X25">
        <v>2029</v>
      </c>
      <c r="Y25">
        <v>2030</v>
      </c>
      <c r="Z25">
        <v>2031</v>
      </c>
      <c r="AA25">
        <v>2032</v>
      </c>
      <c r="AB25">
        <v>2033</v>
      </c>
    </row>
    <row r="26" spans="5:29">
      <c r="E26" s="1403" t="s">
        <v>3519</v>
      </c>
      <c r="F26">
        <v>18940</v>
      </c>
      <c r="G26">
        <v>2.9</v>
      </c>
      <c r="H26" s="3166">
        <v>0.04</v>
      </c>
      <c r="I26">
        <f>G26</f>
        <v>2.9</v>
      </c>
      <c r="J26">
        <f>I26</f>
        <v>2.9</v>
      </c>
      <c r="K26">
        <f>I26</f>
        <v>2.9</v>
      </c>
      <c r="L26" s="3167">
        <f>I26*(1+$H$26)</f>
        <v>3.016</v>
      </c>
      <c r="M26" s="3167">
        <f>L26</f>
        <v>3.016</v>
      </c>
      <c r="N26" s="3167">
        <f>L26</f>
        <v>3.016</v>
      </c>
      <c r="O26" s="3167">
        <f>L26*(1+$H$26)</f>
        <v>3.1366400000000003</v>
      </c>
      <c r="P26" s="3167">
        <f>O26</f>
        <v>3.1366400000000003</v>
      </c>
      <c r="Q26" s="3167">
        <f>O26</f>
        <v>3.1366400000000003</v>
      </c>
      <c r="R26" s="3167">
        <f>O26*(1+$H$26)</f>
        <v>3.2621056000000004</v>
      </c>
      <c r="S26" s="3167">
        <f>R26</f>
        <v>3.2621056000000004</v>
      </c>
      <c r="T26" s="3167">
        <f>R26</f>
        <v>3.2621056000000004</v>
      </c>
      <c r="U26" s="3167">
        <f>R26*(1+$H$26)</f>
        <v>3.3925898240000003</v>
      </c>
      <c r="V26" s="3167">
        <f>U26</f>
        <v>3.3925898240000003</v>
      </c>
      <c r="W26" s="3167">
        <f>U26</f>
        <v>3.3925898240000003</v>
      </c>
      <c r="X26" s="3167">
        <f>U26*(1+$H$26)</f>
        <v>3.5282934169600004</v>
      </c>
      <c r="Y26" s="3167">
        <f>X26</f>
        <v>3.5282934169600004</v>
      </c>
      <c r="Z26" s="3167">
        <f>X26</f>
        <v>3.5282934169600004</v>
      </c>
      <c r="AA26" s="3167">
        <f>X26*(1+$H$26)</f>
        <v>3.6694251536384006</v>
      </c>
      <c r="AB26" s="3167">
        <f>AA26</f>
        <v>3.6694251536384006</v>
      </c>
      <c r="AC26" s="3167"/>
    </row>
    <row r="27" spans="5:29">
      <c r="E27" s="1403" t="s">
        <v>3520</v>
      </c>
      <c r="F27">
        <v>34958</v>
      </c>
      <c r="G27">
        <v>3.1</v>
      </c>
      <c r="H27" s="3166">
        <v>0.04</v>
      </c>
      <c r="I27">
        <f t="shared" ref="I27:I28" si="0">G27</f>
        <v>3.1</v>
      </c>
      <c r="J27">
        <f t="shared" ref="J27:J28" si="1">I27</f>
        <v>3.1</v>
      </c>
      <c r="K27">
        <f t="shared" ref="K27:K28" si="2">I27</f>
        <v>3.1</v>
      </c>
      <c r="L27" s="3167">
        <f>I27*(1+$H$27)</f>
        <v>3.2240000000000002</v>
      </c>
      <c r="M27" s="3167">
        <f t="shared" ref="M27:M28" si="3">L27</f>
        <v>3.2240000000000002</v>
      </c>
      <c r="N27" s="3167">
        <f t="shared" ref="N27:N28" si="4">L27</f>
        <v>3.2240000000000002</v>
      </c>
      <c r="O27" s="3167">
        <f>L27*(1+$H$27)</f>
        <v>3.3529600000000004</v>
      </c>
      <c r="P27" s="3167">
        <f t="shared" ref="P27:P28" si="5">O27</f>
        <v>3.3529600000000004</v>
      </c>
      <c r="Q27" s="3167">
        <f t="shared" ref="Q27:Q28" si="6">O27</f>
        <v>3.3529600000000004</v>
      </c>
      <c r="R27" s="3167">
        <f>O27*(1+$H$27)</f>
        <v>3.4870784000000006</v>
      </c>
      <c r="S27" s="3167">
        <f t="shared" ref="S27:S28" si="7">R27</f>
        <v>3.4870784000000006</v>
      </c>
      <c r="T27" s="3167">
        <f t="shared" ref="T27:T28" si="8">R27</f>
        <v>3.4870784000000006</v>
      </c>
      <c r="U27" s="3167">
        <f>R27*(1+$H$27)</f>
        <v>3.6265615360000005</v>
      </c>
      <c r="V27" s="3167">
        <f t="shared" ref="V27:V28" si="9">U27</f>
        <v>3.6265615360000005</v>
      </c>
      <c r="W27" s="3167">
        <f t="shared" ref="W27:W28" si="10">U27</f>
        <v>3.6265615360000005</v>
      </c>
      <c r="X27" s="3167">
        <f>U27*(1+$H$27)</f>
        <v>3.7716239974400008</v>
      </c>
      <c r="Y27" s="3167">
        <f t="shared" ref="Y27:Y28" si="11">X27</f>
        <v>3.7716239974400008</v>
      </c>
      <c r="Z27" s="3167">
        <f t="shared" ref="Z27:Z28" si="12">X27</f>
        <v>3.7716239974400008</v>
      </c>
      <c r="AA27" s="3167">
        <f>X27*(1+$H$27)</f>
        <v>3.9224889573376007</v>
      </c>
      <c r="AB27" s="3167">
        <f t="shared" ref="AB27:AB28" si="13">AA27</f>
        <v>3.9224889573376007</v>
      </c>
      <c r="AC27" s="3167"/>
    </row>
    <row r="28" spans="5:29">
      <c r="E28" s="1403" t="s">
        <v>3521</v>
      </c>
      <c r="F28">
        <v>41185</v>
      </c>
      <c r="G28">
        <v>3.5</v>
      </c>
      <c r="H28" s="3166">
        <v>0.05</v>
      </c>
      <c r="I28">
        <f t="shared" si="0"/>
        <v>3.5</v>
      </c>
      <c r="J28">
        <f t="shared" si="1"/>
        <v>3.5</v>
      </c>
      <c r="K28">
        <f t="shared" si="2"/>
        <v>3.5</v>
      </c>
      <c r="L28" s="3167">
        <f>I28*(1+$H$28)</f>
        <v>3.6750000000000003</v>
      </c>
      <c r="M28" s="3167">
        <f t="shared" si="3"/>
        <v>3.6750000000000003</v>
      </c>
      <c r="N28" s="3167">
        <f t="shared" si="4"/>
        <v>3.6750000000000003</v>
      </c>
      <c r="O28" s="3167">
        <f>L28*(1+$H$28)</f>
        <v>3.8587500000000006</v>
      </c>
      <c r="P28" s="3167">
        <f t="shared" si="5"/>
        <v>3.8587500000000006</v>
      </c>
      <c r="Q28" s="3167">
        <f t="shared" si="6"/>
        <v>3.8587500000000006</v>
      </c>
      <c r="R28" s="3167">
        <f>O28*(1+$H$28)</f>
        <v>4.0516875000000008</v>
      </c>
      <c r="S28" s="3167">
        <f t="shared" si="7"/>
        <v>4.0516875000000008</v>
      </c>
      <c r="T28" s="3167">
        <f t="shared" si="8"/>
        <v>4.0516875000000008</v>
      </c>
      <c r="U28" s="3167">
        <f>R28*(1+$H$28)</f>
        <v>4.2542718750000006</v>
      </c>
      <c r="V28" s="3167">
        <f t="shared" si="9"/>
        <v>4.2542718750000006</v>
      </c>
      <c r="W28" s="3167">
        <f t="shared" si="10"/>
        <v>4.2542718750000006</v>
      </c>
      <c r="X28" s="3167">
        <f>U28*(1+$H$28)</f>
        <v>4.4669854687500008</v>
      </c>
      <c r="Y28" s="3167">
        <f t="shared" si="11"/>
        <v>4.4669854687500008</v>
      </c>
      <c r="Z28" s="3167">
        <f t="shared" si="12"/>
        <v>4.4669854687500008</v>
      </c>
      <c r="AA28" s="3167">
        <f>X28*(1+$H$28)</f>
        <v>4.6903347421875008</v>
      </c>
      <c r="AB28" s="3167">
        <f t="shared" si="13"/>
        <v>4.6903347421875008</v>
      </c>
      <c r="AC28" s="3167"/>
    </row>
    <row r="30" spans="5:29">
      <c r="S30" s="3164">
        <v>45715</v>
      </c>
    </row>
    <row r="31" spans="5:29">
      <c r="S31" s="3164">
        <v>45869</v>
      </c>
      <c r="T31" s="1403" t="s">
        <v>3524</v>
      </c>
      <c r="U31">
        <f>U25</f>
        <v>2026</v>
      </c>
      <c r="V31">
        <f t="shared" ref="V31:AB31" si="14">V25</f>
        <v>2027</v>
      </c>
      <c r="W31">
        <f t="shared" si="14"/>
        <v>2028</v>
      </c>
      <c r="X31">
        <f t="shared" si="14"/>
        <v>2029</v>
      </c>
      <c r="Y31">
        <f t="shared" si="14"/>
        <v>2030</v>
      </c>
      <c r="Z31">
        <f t="shared" si="14"/>
        <v>2031</v>
      </c>
      <c r="AA31">
        <f t="shared" si="14"/>
        <v>2032</v>
      </c>
      <c r="AB31">
        <f t="shared" si="14"/>
        <v>2033</v>
      </c>
    </row>
    <row r="32" spans="5:29">
      <c r="T32">
        <v>365</v>
      </c>
      <c r="U32">
        <v>365</v>
      </c>
      <c r="V32">
        <v>365</v>
      </c>
      <c r="W32">
        <v>365</v>
      </c>
      <c r="X32">
        <v>365</v>
      </c>
      <c r="Y32">
        <v>365</v>
      </c>
      <c r="Z32">
        <v>365</v>
      </c>
      <c r="AA32">
        <v>365</v>
      </c>
      <c r="AB32">
        <v>365</v>
      </c>
    </row>
    <row r="33" spans="2:30">
      <c r="R33" s="1403" t="s">
        <v>3519</v>
      </c>
      <c r="S33">
        <v>18940</v>
      </c>
      <c r="T33" s="1403">
        <f>$S$33*T26*$T$32</f>
        <v>22551262.223360002</v>
      </c>
      <c r="U33" s="1403">
        <f t="shared" ref="U33:AB33" si="15">$S$33*U26*$T$32</f>
        <v>23453312.712294403</v>
      </c>
      <c r="V33" s="1403">
        <f t="shared" si="15"/>
        <v>23453312.712294403</v>
      </c>
      <c r="W33" s="1403">
        <f t="shared" si="15"/>
        <v>23453312.712294403</v>
      </c>
      <c r="X33" s="1403">
        <f t="shared" si="15"/>
        <v>24391445.220786177</v>
      </c>
      <c r="Y33" s="1403">
        <f t="shared" si="15"/>
        <v>24391445.220786177</v>
      </c>
      <c r="Z33" s="1403">
        <f t="shared" si="15"/>
        <v>24391445.220786177</v>
      </c>
      <c r="AA33" s="1403">
        <f t="shared" si="15"/>
        <v>25367103.02961763</v>
      </c>
      <c r="AB33" s="1403">
        <f t="shared" si="15"/>
        <v>25367103.02961763</v>
      </c>
    </row>
    <row r="34" spans="2:30">
      <c r="B34" s="1403" t="s">
        <v>3525</v>
      </c>
      <c r="D34" s="1403" t="s">
        <v>3528</v>
      </c>
      <c r="E34" s="1403" t="s">
        <v>3537</v>
      </c>
      <c r="R34" s="1403" t="s">
        <v>3520</v>
      </c>
      <c r="S34">
        <v>34958</v>
      </c>
      <c r="T34" s="1403">
        <f t="shared" ref="T34:AB35" si="16">$S$33*T27*$T$32</f>
        <v>24106521.687040001</v>
      </c>
      <c r="U34" s="1403">
        <f t="shared" si="16"/>
        <v>25070782.554521602</v>
      </c>
      <c r="V34" s="1403">
        <f t="shared" si="16"/>
        <v>25070782.554521602</v>
      </c>
      <c r="W34" s="1403">
        <f t="shared" si="16"/>
        <v>25070782.554521602</v>
      </c>
      <c r="X34" s="1403">
        <f t="shared" si="16"/>
        <v>26073613.856702473</v>
      </c>
      <c r="Y34" s="1403">
        <f t="shared" si="16"/>
        <v>26073613.856702473</v>
      </c>
      <c r="Z34" s="1403">
        <f t="shared" si="16"/>
        <v>26073613.856702473</v>
      </c>
      <c r="AA34" s="1403">
        <f t="shared" si="16"/>
        <v>27116558.410970565</v>
      </c>
      <c r="AB34" s="1403">
        <f t="shared" si="16"/>
        <v>27116558.410970565</v>
      </c>
    </row>
    <row r="35" spans="2:30">
      <c r="B35" s="1403" t="s">
        <v>3526</v>
      </c>
      <c r="D35" s="3168">
        <v>536196581.14999998</v>
      </c>
      <c r="E35" s="3169">
        <f>D35/D46</f>
        <v>3202.5749126289347</v>
      </c>
      <c r="R35" s="1403" t="s">
        <v>3521</v>
      </c>
      <c r="S35">
        <v>41185</v>
      </c>
      <c r="T35" s="1403">
        <f t="shared" si="16"/>
        <v>28009720.856250003</v>
      </c>
      <c r="U35" s="1403">
        <f t="shared" si="16"/>
        <v>29410206.899062503</v>
      </c>
      <c r="V35" s="1403">
        <f t="shared" si="16"/>
        <v>29410206.899062503</v>
      </c>
      <c r="W35" s="1403">
        <f t="shared" si="16"/>
        <v>29410206.899062503</v>
      </c>
      <c r="X35" s="1403">
        <f t="shared" si="16"/>
        <v>30880717.24401563</v>
      </c>
      <c r="Y35" s="1403">
        <f t="shared" si="16"/>
        <v>30880717.24401563</v>
      </c>
      <c r="Z35" s="1403">
        <f t="shared" si="16"/>
        <v>30880717.24401563</v>
      </c>
      <c r="AA35" s="1403">
        <f t="shared" si="16"/>
        <v>32424753.106216408</v>
      </c>
      <c r="AB35" s="1403">
        <f t="shared" si="16"/>
        <v>32424753.106216408</v>
      </c>
    </row>
    <row r="36" spans="2:30">
      <c r="B36" s="1403" t="s">
        <v>3527</v>
      </c>
      <c r="D36" s="3168">
        <v>45000</v>
      </c>
      <c r="S36">
        <f>SUM(S33:S35)</f>
        <v>95083</v>
      </c>
      <c r="T36">
        <f>SUM(T33:T35)</f>
        <v>74667504.766650006</v>
      </c>
      <c r="U36">
        <f t="shared" ref="U36:AB36" si="17">SUM(U33:U35)</f>
        <v>77934302.165878505</v>
      </c>
      <c r="V36">
        <f t="shared" si="17"/>
        <v>77934302.165878505</v>
      </c>
      <c r="W36">
        <f t="shared" si="17"/>
        <v>77934302.165878505</v>
      </c>
      <c r="X36">
        <f t="shared" si="17"/>
        <v>81345776.32150428</v>
      </c>
      <c r="Y36">
        <f t="shared" si="17"/>
        <v>81345776.32150428</v>
      </c>
      <c r="Z36">
        <f t="shared" si="17"/>
        <v>81345776.32150428</v>
      </c>
      <c r="AA36">
        <f t="shared" si="17"/>
        <v>84908414.546804607</v>
      </c>
      <c r="AB36">
        <f t="shared" si="17"/>
        <v>84908414.546804607</v>
      </c>
      <c r="AC36">
        <f>SUM(T36:AB36)</f>
        <v>722324569.32240772</v>
      </c>
      <c r="AD36">
        <f>AC36/S36/365/9</f>
        <v>2.3125660070103864</v>
      </c>
    </row>
    <row r="37" spans="2:30">
      <c r="B37" s="1403" t="s">
        <v>3529</v>
      </c>
      <c r="D37" s="3168">
        <v>47193286.490000002</v>
      </c>
    </row>
    <row r="38" spans="2:30">
      <c r="B38" s="1403" t="s">
        <v>3530</v>
      </c>
      <c r="D38" s="3168">
        <v>877204075.53999996</v>
      </c>
    </row>
    <row r="39" spans="2:30">
      <c r="B39" s="1403" t="s">
        <v>3531</v>
      </c>
      <c r="D39" s="3168">
        <v>57539001</v>
      </c>
    </row>
    <row r="40" spans="2:30">
      <c r="B40" s="1403" t="s">
        <v>3532</v>
      </c>
      <c r="D40" s="3168">
        <v>83782</v>
      </c>
    </row>
    <row r="41" spans="2:30">
      <c r="B41" s="1403" t="s">
        <v>3533</v>
      </c>
      <c r="D41" s="3168">
        <v>14400042.65</v>
      </c>
    </row>
    <row r="42" spans="2:30">
      <c r="B42" s="1403" t="s">
        <v>3534</v>
      </c>
      <c r="D42" s="3168">
        <v>144339810.88999999</v>
      </c>
    </row>
    <row r="43" spans="2:30">
      <c r="B43" s="1403"/>
      <c r="D43" s="3168">
        <f>SUM(D36:D42)</f>
        <v>1140804998.5699999</v>
      </c>
      <c r="E43" s="3170">
        <f>D43/D46</f>
        <v>6813.7574857082245</v>
      </c>
    </row>
    <row r="45" spans="2:30">
      <c r="B45" s="1403" t="s">
        <v>3536</v>
      </c>
      <c r="D45" s="3168">
        <v>46079.87</v>
      </c>
    </row>
    <row r="46" spans="2:30">
      <c r="B46" s="1403" t="s">
        <v>3535</v>
      </c>
      <c r="D46" s="3168">
        <v>167426.71</v>
      </c>
    </row>
  </sheetData>
  <phoneticPr fontId="134" type="noConversion"/>
  <pageMargins left="0.7" right="0.7" top="0.75" bottom="0.75" header="0.3" footer="0.3"/>
  <ignoredErrors>
    <ignoredError sqref="J27:K28 J26:K26" formula="1"/>
  </ignoredError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hidden="1" customWidth="1"/>
    <col min="18" max="18" width="9.21875" style="1461" hidden="1" customWidth="1"/>
    <col min="19" max="19" width="10.88671875" style="1461" hidden="1" customWidth="1"/>
    <col min="20" max="21" width="10.77734375" style="1461" hidden="1" customWidth="1"/>
    <col min="22" max="22" width="10.88671875" style="1461" hidden="1" customWidth="1"/>
    <col min="23" max="27" width="10.77734375" style="1461" hidden="1" customWidth="1"/>
    <col min="28" max="28" width="10.88671875" style="1461" hidden="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3175">
        <v>46079.87</v>
      </c>
      <c r="B3" s="10">
        <f>IF(C3="否",G5-AT5,G5)</f>
        <v>135843.08000000002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v>37387.29</v>
      </c>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1" t="s">
        <v>1071</v>
      </c>
      <c r="B5" s="1257"/>
      <c r="C5" s="1257"/>
      <c r="D5" s="1258"/>
      <c r="E5" s="12" t="s">
        <v>0</v>
      </c>
      <c r="F5" s="12">
        <f>SUM(F13:F587)</f>
        <v>0</v>
      </c>
      <c r="G5" s="12">
        <f>SUM(G13:G587)</f>
        <v>135843.08000000002</v>
      </c>
      <c r="H5" s="12">
        <f t="shared" ref="H5:AT5" si="0">SUM(H13:H656)</f>
        <v>135843.08000000002</v>
      </c>
      <c r="I5" s="12">
        <f t="shared" si="0"/>
        <v>79247.164000000004</v>
      </c>
      <c r="J5" s="12">
        <f t="shared" si="0"/>
        <v>0</v>
      </c>
      <c r="K5" s="12">
        <f t="shared" si="0"/>
        <v>35216.51</v>
      </c>
      <c r="L5" s="12">
        <f t="shared" si="0"/>
        <v>0</v>
      </c>
      <c r="M5" s="12">
        <f t="shared" si="0"/>
        <v>21379.405999999999</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6"/>
      <c r="AV5" s="11" t="s">
        <v>1071</v>
      </c>
      <c r="AW5" s="1257"/>
      <c r="AX5" s="1257"/>
      <c r="AY5" s="13" t="s">
        <v>2</v>
      </c>
      <c r="AZ5" s="14">
        <f t="shared" ref="AZ5:BT5" si="1">SUM(AZ13:AZ656)</f>
        <v>135843.08000000002</v>
      </c>
      <c r="BA5" s="14">
        <f t="shared" si="1"/>
        <v>135843.08000000002</v>
      </c>
      <c r="BB5" s="14">
        <f t="shared" si="1"/>
        <v>79247.164000000004</v>
      </c>
      <c r="BC5" s="14">
        <f t="shared" si="1"/>
        <v>35216.51</v>
      </c>
      <c r="BD5" s="14">
        <f t="shared" si="1"/>
        <v>21379.405999999999</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5" customFormat="1" ht="13.2">
      <c r="A6" s="11" t="s">
        <v>1072</v>
      </c>
      <c r="B6" s="1472"/>
      <c r="C6" s="1472"/>
      <c r="D6" s="1473"/>
      <c r="E6" s="12">
        <f>H6+AC6+AT6</f>
        <v>46079.86</v>
      </c>
      <c r="F6" s="12" t="s">
        <v>0</v>
      </c>
      <c r="G6" s="12" t="s">
        <v>1</v>
      </c>
      <c r="H6" s="16">
        <f>SUMIF(I$12:AB$12,"总值",I6:AB6)</f>
        <v>46079.86</v>
      </c>
      <c r="I6" s="12">
        <f t="shared" ref="I6:AB6" si="2">ROUND($A$3*I5/$B$3,2)</f>
        <v>26881.74</v>
      </c>
      <c r="J6" s="12">
        <f t="shared" si="2"/>
        <v>0</v>
      </c>
      <c r="K6" s="12">
        <f t="shared" si="2"/>
        <v>11945.93</v>
      </c>
      <c r="L6" s="12">
        <f t="shared" si="2"/>
        <v>0</v>
      </c>
      <c r="M6" s="12">
        <f t="shared" si="2"/>
        <v>7252.19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4"/>
      <c r="AV6" s="11" t="s">
        <v>1072</v>
      </c>
      <c r="AW6" s="1472"/>
      <c r="AX6" s="1472"/>
      <c r="AY6" s="17">
        <f>IF(AY3&gt;0,AY3,ROUND($A$3*AZ5/$B$3,2))</f>
        <v>37387.29</v>
      </c>
      <c r="AZ6" s="12" t="s">
        <v>2</v>
      </c>
      <c r="BA6" s="12">
        <f>ROUND($AY$6*BA5/$AZ$5,2)</f>
        <v>37387.29</v>
      </c>
      <c r="BB6" s="12">
        <f>ROUND($AY$6*BB5/$AZ$5,2)</f>
        <v>21810.73</v>
      </c>
      <c r="BC6" s="12">
        <f t="shared" ref="BC6:BH6" si="4">ROUND($AY$6*BC5/$AZ$5,2)</f>
        <v>9692.43</v>
      </c>
      <c r="BD6" s="12">
        <f t="shared" si="4"/>
        <v>5884.13</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19" t="s">
        <v>1081</v>
      </c>
      <c r="AW7" s="1464" t="s">
        <v>1082</v>
      </c>
      <c r="AX7" s="19"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2"/>
    </row>
    <row r="9" spans="1:72" s="1487" customFormat="1" ht="13.2">
      <c r="A9" s="1480"/>
      <c r="B9" s="1480"/>
      <c r="C9" s="1480"/>
      <c r="D9" s="1480"/>
      <c r="E9" s="1480"/>
      <c r="F9" s="1480"/>
      <c r="G9" s="1005"/>
      <c r="H9" s="1488" t="s">
        <v>1091</v>
      </c>
      <c r="I9" s="1489" t="s">
        <v>3406</v>
      </c>
      <c r="J9" s="760"/>
      <c r="K9" s="1489" t="s">
        <v>3490</v>
      </c>
      <c r="L9" s="760"/>
      <c r="M9" s="1489" t="s">
        <v>3490</v>
      </c>
      <c r="N9" s="760"/>
      <c r="O9" s="1489"/>
      <c r="P9" s="760"/>
      <c r="Q9" s="1489"/>
      <c r="R9" s="760"/>
      <c r="S9" s="1489"/>
      <c r="T9" s="760"/>
      <c r="U9" s="1489"/>
      <c r="V9" s="760"/>
      <c r="W9" s="1489"/>
      <c r="X9" s="1490"/>
      <c r="Y9" s="1489"/>
      <c r="Z9" s="760"/>
      <c r="AA9" s="1489"/>
      <c r="AB9" s="760"/>
      <c r="AC9" s="1481" t="s">
        <v>1091</v>
      </c>
      <c r="AD9" s="11" t="s">
        <v>1092</v>
      </c>
      <c r="AE9" s="1011"/>
      <c r="AF9" s="11" t="s">
        <v>1093</v>
      </c>
      <c r="AG9" s="1011"/>
      <c r="AH9" s="11" t="s">
        <v>1092</v>
      </c>
      <c r="AI9" s="1011"/>
      <c r="AJ9" s="11" t="s">
        <v>1093</v>
      </c>
      <c r="AK9" s="1011"/>
      <c r="AL9" s="11" t="s">
        <v>1092</v>
      </c>
      <c r="AM9" s="1011"/>
      <c r="AN9" s="11" t="s">
        <v>1093</v>
      </c>
      <c r="AO9" s="1011"/>
      <c r="AP9" s="11" t="s">
        <v>1092</v>
      </c>
      <c r="AQ9" s="1011"/>
      <c r="AR9" s="11" t="s">
        <v>1093</v>
      </c>
      <c r="AS9" s="1491"/>
      <c r="AT9" s="1480"/>
      <c r="AU9" s="1480" t="s">
        <v>1094</v>
      </c>
      <c r="AV9" s="1005"/>
      <c r="AW9" s="1465"/>
      <c r="AX9" s="1005"/>
      <c r="AY9" s="24"/>
      <c r="AZ9" s="24" t="s">
        <v>1084</v>
      </c>
      <c r="BA9" s="1492" t="s">
        <v>1095</v>
      </c>
      <c r="BB9" s="1493"/>
      <c r="BC9" s="1023"/>
      <c r="BD9" s="1023"/>
      <c r="BE9" s="1023"/>
      <c r="BF9" s="1023"/>
      <c r="BG9" s="1023"/>
      <c r="BH9" s="1023"/>
      <c r="BI9" s="1023"/>
      <c r="BJ9" s="1023"/>
      <c r="BK9" s="1494"/>
      <c r="BL9" s="11" t="s">
        <v>1096</v>
      </c>
      <c r="BM9" s="1267"/>
      <c r="BN9" s="1483"/>
      <c r="BO9" s="1267"/>
      <c r="BP9" s="1267"/>
      <c r="BQ9" s="1267"/>
      <c r="BR9" s="1267"/>
      <c r="BS9" s="1267"/>
      <c r="BT9" s="22"/>
    </row>
    <row r="10" spans="1:72" s="1487" customFormat="1" ht="13.2">
      <c r="A10" s="1480"/>
      <c r="B10" s="1480"/>
      <c r="C10" s="1480"/>
      <c r="D10" s="1480"/>
      <c r="E10" s="1480"/>
      <c r="F10" s="1480"/>
      <c r="G10" s="1005"/>
      <c r="H10" s="24"/>
      <c r="I10" s="1489" t="s">
        <v>673</v>
      </c>
      <c r="J10" s="760"/>
      <c r="K10" s="1495" t="s">
        <v>3491</v>
      </c>
      <c r="L10" s="760"/>
      <c r="M10" s="1495" t="s">
        <v>673</v>
      </c>
      <c r="N10" s="760"/>
      <c r="O10" s="1495"/>
      <c r="P10" s="760"/>
      <c r="Q10" s="1495"/>
      <c r="R10" s="760"/>
      <c r="S10" s="1495"/>
      <c r="T10" s="760"/>
      <c r="U10" s="1495"/>
      <c r="V10" s="760"/>
      <c r="W10" s="1495"/>
      <c r="X10" s="760"/>
      <c r="Y10" s="1495"/>
      <c r="Z10" s="760"/>
      <c r="AA10" s="1495"/>
      <c r="AB10" s="760"/>
      <c r="AC10" s="1005"/>
      <c r="AD10" s="11" t="s">
        <v>1097</v>
      </c>
      <c r="AE10" s="1496"/>
      <c r="AF10" s="11" t="s">
        <v>1097</v>
      </c>
      <c r="AG10" s="1496"/>
      <c r="AH10" s="11" t="s">
        <v>1098</v>
      </c>
      <c r="AI10" s="1496"/>
      <c r="AJ10" s="11" t="s">
        <v>1098</v>
      </c>
      <c r="AK10" s="1496"/>
      <c r="AL10" s="11" t="s">
        <v>1099</v>
      </c>
      <c r="AM10" s="1011"/>
      <c r="AN10" s="11" t="s">
        <v>1099</v>
      </c>
      <c r="AO10" s="1011"/>
      <c r="AP10" s="11" t="s">
        <v>1100</v>
      </c>
      <c r="AQ10" s="1011"/>
      <c r="AR10" s="11" t="s">
        <v>1100</v>
      </c>
      <c r="AS10" s="1011"/>
      <c r="AT10" s="1480"/>
      <c r="AU10" s="1480"/>
      <c r="AV10" s="1005"/>
      <c r="AW10" s="1465"/>
      <c r="AX10" s="1005"/>
      <c r="AY10" s="24"/>
      <c r="AZ10" s="24"/>
      <c r="BA10" s="1497" t="s">
        <v>1091</v>
      </c>
      <c r="BB10" s="1498"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6" t="str">
        <f>AD9</f>
        <v>地上</v>
      </c>
      <c r="BN10" s="25" t="str">
        <f>AF9</f>
        <v>地下</v>
      </c>
      <c r="BO10" s="1266" t="str">
        <f>AH9</f>
        <v>地上</v>
      </c>
      <c r="BP10" s="25" t="str">
        <f>AJ9</f>
        <v>地下</v>
      </c>
      <c r="BQ10" s="1266" t="str">
        <f>AL9</f>
        <v>地上</v>
      </c>
      <c r="BR10" s="25"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4"/>
      <c r="AZ11" s="24"/>
      <c r="BA11" s="24"/>
      <c r="BB11" s="1485" t="str">
        <f>I10</f>
        <v>商业</v>
      </c>
      <c r="BC11" s="1485" t="str">
        <f>K10</f>
        <v>车库—商业</v>
      </c>
      <c r="BD11" s="1485" t="str">
        <f>M10</f>
        <v>商业</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0" t="str">
        <f>AH10</f>
        <v>物业管理用房</v>
      </c>
      <c r="BP11" s="20" t="str">
        <f>AJ10</f>
        <v>物业管理用房</v>
      </c>
      <c r="BQ11" s="20" t="str">
        <f>AL10</f>
        <v>设备及其他</v>
      </c>
      <c r="BR11" s="20" t="str">
        <f>AN10</f>
        <v>设备及其他</v>
      </c>
      <c r="BS11" s="21" t="str">
        <f>AP10</f>
        <v>未注明</v>
      </c>
      <c r="BT11" s="1504" t="str">
        <f>AR10</f>
        <v>未注明</v>
      </c>
    </row>
    <row r="12" spans="1:72" s="1466" customFormat="1" ht="13.2">
      <c r="A12" s="1505"/>
      <c r="B12" s="1505"/>
      <c r="C12" s="1505"/>
      <c r="D12" s="1505"/>
      <c r="E12" s="1505"/>
      <c r="F12" s="1505"/>
      <c r="G12" s="26"/>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5" t="s">
        <v>1104</v>
      </c>
      <c r="AT12" s="1508"/>
      <c r="AU12" s="1505"/>
      <c r="AV12" s="27"/>
      <c r="AW12" s="1464"/>
      <c r="AX12" s="27"/>
      <c r="AY12" s="1509"/>
      <c r="AZ12" s="24"/>
      <c r="BA12" s="1497"/>
      <c r="BB12" s="20">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0" t="str">
        <f>AH11</f>
        <v>（住宅、计出让金）</v>
      </c>
      <c r="BP12" s="20" t="str">
        <f>AJ11</f>
        <v>（住宅、计出让金）</v>
      </c>
      <c r="BQ12" s="20">
        <f>AL11</f>
        <v>0</v>
      </c>
      <c r="BR12" s="20">
        <f>AN11</f>
        <v>0</v>
      </c>
      <c r="BS12" s="21">
        <f>AP11</f>
        <v>0</v>
      </c>
      <c r="BT12" s="1504">
        <f>AR11</f>
        <v>0</v>
      </c>
    </row>
    <row r="13" spans="1:72" s="1466" customFormat="1">
      <c r="A13" s="30"/>
      <c r="B13" s="30"/>
      <c r="C13" s="2241" t="s">
        <v>3488</v>
      </c>
      <c r="D13" s="1511" t="s">
        <v>3402</v>
      </c>
      <c r="E13" s="12">
        <f>IF($C$3="是",ROUND($A$3*G13/$B$3,2),ROUND($A$3*(G13-AT13)/$B$3,2))</f>
        <v>3989.35</v>
      </c>
      <c r="F13" s="28"/>
      <c r="G13" s="29">
        <f>H13+AC13+AT13</f>
        <v>11760.56</v>
      </c>
      <c r="H13" s="16">
        <f>SUMIF(I$12:AB$12,"总值",I13:AB13)</f>
        <v>11760.56</v>
      </c>
      <c r="I13" s="1512"/>
      <c r="J13" s="1512"/>
      <c r="K13" s="1512">
        <v>11760.56</v>
      </c>
      <c r="L13" s="1512"/>
      <c r="M13" s="1512"/>
      <c r="N13" s="1512"/>
      <c r="O13" s="1512"/>
      <c r="P13" s="1512"/>
      <c r="Q13" s="1512"/>
      <c r="R13" s="1512"/>
      <c r="S13" s="1512"/>
      <c r="T13" s="1512"/>
      <c r="U13" s="1512"/>
      <c r="V13" s="1512"/>
      <c r="W13" s="1512"/>
      <c r="X13" s="1512"/>
      <c r="Y13" s="1512"/>
      <c r="Z13" s="1512"/>
      <c r="AA13" s="1512"/>
      <c r="AB13" s="1512"/>
      <c r="AC13" s="12">
        <f>SUMIF(AD$12:AS$12,"总值",AD13:AS13)</f>
        <v>0</v>
      </c>
      <c r="AD13" s="987"/>
      <c r="AE13" s="987"/>
      <c r="AF13" s="987"/>
      <c r="AG13" s="987"/>
      <c r="AH13" s="987"/>
      <c r="AI13" s="987"/>
      <c r="AJ13" s="987"/>
      <c r="AK13" s="987"/>
      <c r="AL13" s="987"/>
      <c r="AM13" s="987"/>
      <c r="AN13" s="987"/>
      <c r="AO13" s="987"/>
      <c r="AP13" s="987"/>
      <c r="AQ13" s="987"/>
      <c r="AR13" s="987"/>
      <c r="AS13" s="987"/>
      <c r="AT13" s="28"/>
      <c r="AU13" s="1513"/>
      <c r="AV13" s="8">
        <f t="shared" ref="AV13:AX17" si="6">A13</f>
        <v>0</v>
      </c>
      <c r="AW13" s="8">
        <f t="shared" si="6"/>
        <v>0</v>
      </c>
      <c r="AX13" s="8" t="str">
        <f t="shared" si="6"/>
        <v>-3层</v>
      </c>
      <c r="AY13" s="1258">
        <f>ROUND($AY$6*AZ13/$AZ$5,2)</f>
        <v>3236.79</v>
      </c>
      <c r="AZ13" s="12">
        <f>BA13+BL13</f>
        <v>11760.56</v>
      </c>
      <c r="BA13" s="12">
        <f>SUM(BB13:BK13)</f>
        <v>11760.56</v>
      </c>
      <c r="BB13" s="12">
        <f>IF($D13="是",I13-J13,0)</f>
        <v>0</v>
      </c>
      <c r="BC13" s="12">
        <f>IF($D13="是",K13-L13,0)</f>
        <v>11760.56</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6" customFormat="1">
      <c r="A14" s="30"/>
      <c r="B14" s="30"/>
      <c r="C14" s="2241" t="s">
        <v>3489</v>
      </c>
      <c r="D14" s="1511" t="s">
        <v>3402</v>
      </c>
      <c r="E14" s="12">
        <f>IF($C$3="是",ROUND($A$3*G14/$B$3,2),ROUND($A$3*(G14-AT14)/$B$3,2))</f>
        <v>7956.59</v>
      </c>
      <c r="F14" s="28"/>
      <c r="G14" s="29">
        <f>H14+AC14+AT14</f>
        <v>23455.95</v>
      </c>
      <c r="H14" s="16">
        <f>SUMIF(I$12:AB$12,"总值",I14:AB14)</f>
        <v>23455.95</v>
      </c>
      <c r="I14" s="1512"/>
      <c r="J14" s="1512"/>
      <c r="K14" s="1512">
        <v>23455.95</v>
      </c>
      <c r="L14" s="1512"/>
      <c r="M14" s="1512"/>
      <c r="N14" s="1512"/>
      <c r="O14" s="1512"/>
      <c r="P14" s="1512"/>
      <c r="Q14" s="1512"/>
      <c r="R14" s="1512"/>
      <c r="S14" s="1512"/>
      <c r="T14" s="1512"/>
      <c r="U14" s="1512"/>
      <c r="V14" s="1512"/>
      <c r="W14" s="1512"/>
      <c r="X14" s="1512"/>
      <c r="Y14" s="1512"/>
      <c r="Z14" s="1512"/>
      <c r="AA14" s="1512"/>
      <c r="AB14" s="1512"/>
      <c r="AC14" s="12">
        <f>SUMIF(AD$12:AS$12,"总值",AD14:AS14)</f>
        <v>0</v>
      </c>
      <c r="AD14" s="987"/>
      <c r="AE14" s="987"/>
      <c r="AF14" s="987"/>
      <c r="AG14" s="987"/>
      <c r="AH14" s="987"/>
      <c r="AI14" s="987"/>
      <c r="AJ14" s="987"/>
      <c r="AK14" s="987"/>
      <c r="AL14" s="987"/>
      <c r="AM14" s="987"/>
      <c r="AN14" s="987"/>
      <c r="AO14" s="987"/>
      <c r="AP14" s="987"/>
      <c r="AQ14" s="987"/>
      <c r="AR14" s="987"/>
      <c r="AS14" s="987"/>
      <c r="AT14" s="28"/>
      <c r="AU14" s="1513"/>
      <c r="AV14" s="8">
        <f t="shared" si="6"/>
        <v>0</v>
      </c>
      <c r="AW14" s="8">
        <f t="shared" si="6"/>
        <v>0</v>
      </c>
      <c r="AX14" s="8" t="str">
        <f t="shared" si="6"/>
        <v>-2层</v>
      </c>
      <c r="AY14" s="1258">
        <f>ROUND($AY$6*AZ14/$AZ$5,2)</f>
        <v>6455.64</v>
      </c>
      <c r="AZ14" s="12">
        <f>BA14+BL14</f>
        <v>23455.95</v>
      </c>
      <c r="BA14" s="12">
        <f>SUM(BB14:BK14)</f>
        <v>23455.95</v>
      </c>
      <c r="BB14" s="12">
        <f>IF($D14="是",I14-J14,0)</f>
        <v>0</v>
      </c>
      <c r="BC14" s="12">
        <f>IF($D14="是",K14-L14,0)</f>
        <v>23455.95</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6" customFormat="1" ht="13.2">
      <c r="A15" s="627"/>
      <c r="B15" s="627"/>
      <c r="C15" s="2241" t="s">
        <v>3504</v>
      </c>
      <c r="D15" s="1511" t="s">
        <v>3402</v>
      </c>
      <c r="E15" s="12">
        <f>IF($C$3="是",ROUND($A$3*G15/$B$3,2),ROUND($A$3*(G15-AT15)/$B$3,2))</f>
        <v>7252.19</v>
      </c>
      <c r="F15" s="28"/>
      <c r="G15" s="29">
        <f>H15+AC15+AT15</f>
        <v>21379.405999999999</v>
      </c>
      <c r="H15" s="16">
        <f>SUMIF(I$12:AB$12,"总值",I15:AB15)</f>
        <v>21379.405999999999</v>
      </c>
      <c r="I15" s="1512"/>
      <c r="J15" s="1512"/>
      <c r="K15" s="1512"/>
      <c r="L15" s="1512"/>
      <c r="M15" s="1512">
        <f>面积!E5</f>
        <v>21379.405999999999</v>
      </c>
      <c r="N15" s="1512"/>
      <c r="O15" s="1512"/>
      <c r="P15" s="1512"/>
      <c r="Q15" s="1512"/>
      <c r="R15" s="1512"/>
      <c r="S15" s="1512"/>
      <c r="T15" s="1512"/>
      <c r="U15" s="1512"/>
      <c r="V15" s="1512"/>
      <c r="W15" s="1512"/>
      <c r="X15" s="1512"/>
      <c r="Y15" s="1512"/>
      <c r="Z15" s="1512"/>
      <c r="AA15" s="1512"/>
      <c r="AB15" s="1512"/>
      <c r="AC15" s="12">
        <f>SUMIF(AD$12:AS$12,"总值",AD15:AS15)</f>
        <v>0</v>
      </c>
      <c r="AD15" s="987"/>
      <c r="AE15" s="987"/>
      <c r="AF15" s="987"/>
      <c r="AG15" s="987"/>
      <c r="AH15" s="987"/>
      <c r="AI15" s="987"/>
      <c r="AJ15" s="987"/>
      <c r="AK15" s="987"/>
      <c r="AL15" s="987"/>
      <c r="AM15" s="987"/>
      <c r="AN15" s="987"/>
      <c r="AO15" s="987"/>
      <c r="AP15" s="987"/>
      <c r="AQ15" s="987"/>
      <c r="AR15" s="987"/>
      <c r="AS15" s="987"/>
      <c r="AT15" s="28"/>
      <c r="AU15" s="1513"/>
      <c r="AV15" s="8">
        <f t="shared" si="6"/>
        <v>0</v>
      </c>
      <c r="AW15" s="8">
        <f t="shared" si="6"/>
        <v>0</v>
      </c>
      <c r="AX15" s="8" t="str">
        <f t="shared" si="6"/>
        <v>-1层</v>
      </c>
      <c r="AY15" s="1258">
        <f>ROUND($AY$6*AZ15/$AZ$5,2)</f>
        <v>5884.13</v>
      </c>
      <c r="AZ15" s="12">
        <f>BA15+BL15</f>
        <v>21379.405999999999</v>
      </c>
      <c r="BA15" s="12">
        <f>SUM(BB15:BK15)</f>
        <v>21379.405999999999</v>
      </c>
      <c r="BB15" s="12">
        <f>IF($D15="是",I15-J15,0)</f>
        <v>0</v>
      </c>
      <c r="BC15" s="12">
        <f>IF($D15="是",K15-L15,0)</f>
        <v>0</v>
      </c>
      <c r="BD15" s="12">
        <f>IF($D15="是",M15-N15,0)</f>
        <v>21379.405999999999</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6" customFormat="1" ht="13.2">
      <c r="A16" s="627"/>
      <c r="B16" s="627"/>
      <c r="C16" s="3161" t="s">
        <v>3505</v>
      </c>
      <c r="D16" s="1511" t="s">
        <v>3402</v>
      </c>
      <c r="E16" s="12">
        <f>IF($C$3="是",ROUND($A$3*G16/$B$3,2),ROUND($A$3*(G16-AT16)/$B$3,2))</f>
        <v>26881.74</v>
      </c>
      <c r="F16" s="28"/>
      <c r="G16" s="29">
        <f>H16+AC16+AT16</f>
        <v>79247.164000000004</v>
      </c>
      <c r="H16" s="16">
        <f>SUMIF(I$12:AB$12,"总值",I16:AB16)</f>
        <v>79247.164000000004</v>
      </c>
      <c r="I16" s="1512">
        <f>面积!E6+面积!E7+面积!E8+面积!E9+面积!E10+面积!E11</f>
        <v>79247.164000000004</v>
      </c>
      <c r="J16" s="1512"/>
      <c r="K16" s="1512"/>
      <c r="L16" s="1512"/>
      <c r="M16" s="1512"/>
      <c r="N16" s="1512"/>
      <c r="O16" s="1512"/>
      <c r="P16" s="1512"/>
      <c r="Q16" s="1512"/>
      <c r="R16" s="1512"/>
      <c r="S16" s="1512"/>
      <c r="T16" s="1512"/>
      <c r="U16" s="1512"/>
      <c r="V16" s="1512"/>
      <c r="W16" s="1512"/>
      <c r="X16" s="1512"/>
      <c r="Y16" s="1512"/>
      <c r="Z16" s="1512"/>
      <c r="AA16" s="1512"/>
      <c r="AB16" s="1512"/>
      <c r="AC16" s="12">
        <f>SUMIF(AD$12:AS$12,"总值",AD16:AS16)</f>
        <v>0</v>
      </c>
      <c r="AD16" s="987"/>
      <c r="AE16" s="987"/>
      <c r="AF16" s="987"/>
      <c r="AG16" s="987"/>
      <c r="AH16" s="987"/>
      <c r="AI16" s="987"/>
      <c r="AJ16" s="987"/>
      <c r="AK16" s="987"/>
      <c r="AL16" s="987"/>
      <c r="AM16" s="987"/>
      <c r="AN16" s="987"/>
      <c r="AO16" s="987"/>
      <c r="AP16" s="987"/>
      <c r="AQ16" s="987"/>
      <c r="AR16" s="987"/>
      <c r="AS16" s="987"/>
      <c r="AT16" s="28"/>
      <c r="AU16" s="1513"/>
      <c r="AV16" s="8">
        <f t="shared" si="6"/>
        <v>0</v>
      </c>
      <c r="AW16" s="8">
        <f t="shared" si="6"/>
        <v>0</v>
      </c>
      <c r="AX16" s="8" t="str">
        <f t="shared" si="6"/>
        <v>地上</v>
      </c>
      <c r="AY16" s="1258">
        <f>ROUND($AY$6*AZ16/$AZ$5,2)</f>
        <v>21810.73</v>
      </c>
      <c r="AZ16" s="12">
        <f>BA16+BL16</f>
        <v>79247.164000000004</v>
      </c>
      <c r="BA16" s="12">
        <f>SUM(BB16:BK16)</f>
        <v>79247.164000000004</v>
      </c>
      <c r="BB16" s="12">
        <f>IF($D16="是",I16-J16,0)</f>
        <v>79247.164000000004</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6" customFormat="1" ht="13.2">
      <c r="A17" s="627"/>
      <c r="B17" s="627"/>
      <c r="C17" s="1460"/>
      <c r="D17" s="1511"/>
      <c r="E17" s="12">
        <f>IF($C$3="是",ROUND($A$3*G17/$B$3,2),ROUND($A$3*(G17-AT17)/$B$3,2))</f>
        <v>0</v>
      </c>
      <c r="F17" s="28"/>
      <c r="G17" s="29">
        <f>H17+AC17+AT17</f>
        <v>0</v>
      </c>
      <c r="H17" s="16">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2">
        <f>SUMIF(AD$12:AS$12,"总值",AD17:AS17)</f>
        <v>0</v>
      </c>
      <c r="AD17" s="987"/>
      <c r="AE17" s="987"/>
      <c r="AF17" s="987"/>
      <c r="AG17" s="987"/>
      <c r="AH17" s="987"/>
      <c r="AI17" s="987"/>
      <c r="AJ17" s="987"/>
      <c r="AK17" s="987"/>
      <c r="AL17" s="987"/>
      <c r="AM17" s="987"/>
      <c r="AN17" s="987"/>
      <c r="AO17" s="987"/>
      <c r="AP17" s="987"/>
      <c r="AQ17" s="987"/>
      <c r="AR17" s="987"/>
      <c r="AS17" s="987"/>
      <c r="AT17" s="28"/>
      <c r="AU17" s="1513"/>
      <c r="AV17" s="8">
        <f t="shared" si="6"/>
        <v>0</v>
      </c>
      <c r="AW17" s="8">
        <f t="shared" si="6"/>
        <v>0</v>
      </c>
      <c r="AX17" s="8">
        <f t="shared" si="6"/>
        <v>0</v>
      </c>
      <c r="AY17" s="125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5"/>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5"/>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5"/>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5"/>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5"/>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5"/>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5"/>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5"/>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5"/>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5"/>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5"/>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5"/>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5"/>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5"/>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5"/>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5"/>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5"/>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5"/>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5"/>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5"/>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5"/>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5"/>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5"/>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5"/>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5"/>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5"/>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5"/>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5"/>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5"/>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5"/>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5"/>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5"/>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5"/>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5"/>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5"/>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5"/>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5"/>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5"/>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5"/>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5"/>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5"/>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5"/>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5"/>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5"/>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5"/>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5"/>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5"/>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5"/>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5"/>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5"/>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5"/>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5"/>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5"/>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5"/>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5"/>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5"/>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5"/>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5"/>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5"/>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5"/>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5"/>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5"/>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5"/>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5"/>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5"/>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5"/>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5"/>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5"/>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5"/>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5"/>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5"/>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5"/>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5"/>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5"/>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5"/>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5"/>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5"/>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5"/>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5"/>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5"/>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5"/>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5"/>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5"/>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5"/>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5"/>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5"/>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5"/>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5"/>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5"/>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5"/>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5"/>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5"/>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4"/>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4"/>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4"/>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5"/>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5"/>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5"/>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5"/>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5"/>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5"/>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5"/>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5"/>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5"/>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5"/>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5"/>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5"/>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5"/>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5"/>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5"/>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5"/>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5"/>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5"/>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5"/>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5"/>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5"/>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5"/>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5"/>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5"/>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5"/>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5"/>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5"/>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5"/>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5"/>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5"/>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5"/>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5"/>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5"/>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5"/>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5"/>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5"/>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5"/>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5"/>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5"/>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5"/>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5"/>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5"/>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5"/>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5"/>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5"/>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5"/>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5"/>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5"/>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5"/>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5"/>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5"/>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5"/>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5"/>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5"/>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5"/>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5"/>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5"/>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5"/>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5"/>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5"/>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5"/>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5"/>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5"/>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5"/>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5"/>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5"/>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5"/>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5"/>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5"/>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5"/>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5"/>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5"/>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5"/>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5"/>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5"/>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5"/>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5"/>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5"/>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5"/>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5"/>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5"/>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5"/>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5"/>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5"/>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5"/>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5"/>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5"/>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5"/>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5"/>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5"/>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5"/>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5"/>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4"/>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4"/>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4"/>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5"/>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5"/>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5"/>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5"/>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5"/>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5"/>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5"/>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5"/>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5"/>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5"/>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5"/>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5"/>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5"/>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5"/>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5"/>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5"/>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5"/>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5"/>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5"/>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5"/>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5"/>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5"/>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5"/>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5"/>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5"/>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5"/>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5"/>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5"/>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5"/>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5"/>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5"/>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5"/>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5"/>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5"/>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5"/>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5"/>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5"/>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5"/>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5"/>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5"/>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5"/>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5"/>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5"/>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5"/>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5"/>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5"/>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5"/>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5"/>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5"/>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5"/>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5"/>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5"/>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5"/>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5"/>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5"/>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5"/>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5"/>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5"/>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5"/>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5"/>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5"/>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5"/>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5"/>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5"/>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5"/>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5"/>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5"/>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5"/>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5"/>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5"/>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5"/>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5"/>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5"/>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5"/>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5"/>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5"/>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5"/>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5"/>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5"/>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5"/>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5"/>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5"/>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5"/>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5"/>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5"/>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5"/>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5"/>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5"/>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5"/>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5"/>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5"/>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5"/>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4"/>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4"/>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4"/>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5"/>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5"/>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5"/>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5"/>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5"/>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5"/>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5"/>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5"/>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5"/>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5"/>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5"/>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5"/>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5"/>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5"/>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5"/>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5"/>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5"/>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5"/>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5"/>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5"/>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5"/>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5"/>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5"/>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5"/>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5"/>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5"/>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5"/>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5"/>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5"/>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5"/>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5"/>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5"/>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5"/>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5"/>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5"/>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5"/>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5"/>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5"/>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5"/>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5"/>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5"/>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5"/>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5"/>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5"/>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5"/>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5"/>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5"/>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5"/>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5"/>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5"/>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5"/>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5"/>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5"/>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5"/>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5"/>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5"/>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5"/>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5"/>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5"/>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5"/>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5"/>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5"/>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5"/>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5"/>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5"/>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5"/>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5"/>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5"/>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5"/>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5"/>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5"/>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5"/>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5"/>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5"/>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5"/>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5"/>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5"/>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5"/>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5"/>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5"/>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5"/>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5"/>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5"/>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5"/>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5"/>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5"/>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5"/>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5"/>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5"/>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5"/>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5"/>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5"/>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4"/>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4"/>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4"/>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5"/>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5"/>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5"/>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5"/>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5"/>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5"/>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5"/>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5"/>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5"/>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5"/>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5"/>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5"/>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5"/>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5"/>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5"/>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5"/>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5"/>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5"/>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5"/>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5"/>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5"/>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5"/>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5"/>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5"/>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5"/>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5"/>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5"/>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5"/>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5"/>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5"/>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5"/>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5"/>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5"/>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5"/>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5"/>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5"/>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5"/>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5"/>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5"/>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5"/>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5"/>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5"/>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5"/>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5"/>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5"/>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5"/>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5"/>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5"/>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5"/>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5"/>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5"/>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5"/>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5"/>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5"/>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5"/>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5"/>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5"/>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5"/>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5"/>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5"/>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5"/>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5"/>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5"/>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5"/>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5"/>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5"/>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5"/>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5"/>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5"/>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5"/>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5"/>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5"/>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5"/>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5"/>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5"/>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5"/>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5"/>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5"/>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5"/>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5"/>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5"/>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5"/>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5"/>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5"/>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5"/>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5"/>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5"/>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5"/>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5"/>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5"/>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5"/>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5"/>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4"/>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4"/>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4"/>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5"/>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5"/>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5"/>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5"/>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5"/>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5"/>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5"/>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5"/>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5"/>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5"/>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5"/>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5"/>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5"/>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5"/>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5"/>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5"/>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5"/>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5"/>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5"/>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5"/>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5"/>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5"/>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5"/>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5"/>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5"/>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5"/>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5"/>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5"/>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5"/>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5"/>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5"/>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5"/>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5"/>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5"/>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5"/>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5"/>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5"/>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5"/>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5"/>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5"/>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5"/>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5"/>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5"/>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5"/>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5"/>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5"/>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5"/>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5"/>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5"/>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5"/>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5"/>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5"/>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5"/>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5"/>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5"/>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5"/>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5"/>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5"/>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5"/>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5"/>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5"/>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5"/>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5"/>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5"/>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5"/>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5"/>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5"/>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5"/>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5"/>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5"/>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5"/>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5"/>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5"/>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5"/>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5"/>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5"/>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5"/>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5"/>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5"/>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5"/>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5"/>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5"/>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5"/>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5"/>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5"/>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5"/>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5"/>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5"/>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5"/>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5"/>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5"/>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5"/>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4"/>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4"/>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4"/>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56" t="s">
        <v>1131</v>
      </c>
      <c r="B2" s="3256"/>
      <c r="C2" s="3256"/>
      <c r="D2" s="747" t="s">
        <v>1107</v>
      </c>
      <c r="E2" s="1521" t="s">
        <v>1108</v>
      </c>
      <c r="F2" s="2434"/>
      <c r="G2" s="2427"/>
      <c r="H2" s="2428"/>
      <c r="I2" s="2144" t="s">
        <v>1132</v>
      </c>
      <c r="J2" s="2434"/>
      <c r="K2" s="2434"/>
      <c r="L2" s="2434"/>
      <c r="M2" s="2434"/>
      <c r="N2" s="2435"/>
      <c r="O2" s="2434"/>
      <c r="P2" s="2434"/>
    </row>
    <row r="3" spans="1:16" ht="15" thickBot="1">
      <c r="A3" s="3257" t="s">
        <v>1105</v>
      </c>
      <c r="B3" s="3257"/>
      <c r="C3" s="3257"/>
      <c r="D3" s="40">
        <f>'数据-基础表'!AY6</f>
        <v>37387.29</v>
      </c>
      <c r="E3" s="40">
        <f>'数据-基础表'!AZ5</f>
        <v>135843.08000000002</v>
      </c>
      <c r="F3" s="2434"/>
      <c r="G3" s="41"/>
      <c r="H3" s="42" t="s">
        <v>1106</v>
      </c>
      <c r="I3" s="801">
        <f>ROUND('数据-基础表'!B3/'数据-基础表'!A3,2)</f>
        <v>2.95</v>
      </c>
      <c r="J3" s="2434"/>
      <c r="K3" s="2434"/>
      <c r="L3" s="2434"/>
      <c r="M3" s="2434"/>
      <c r="N3" s="2435"/>
      <c r="O3" s="2434"/>
      <c r="P3" s="2434"/>
    </row>
    <row r="4" spans="1:16" ht="14.4">
      <c r="A4" s="3258"/>
      <c r="B4" s="3259"/>
      <c r="C4" s="3260"/>
      <c r="D4" s="1522" t="s">
        <v>1107</v>
      </c>
      <c r="E4" s="1523" t="s">
        <v>1108</v>
      </c>
      <c r="F4" s="2434"/>
      <c r="G4" s="2429" t="s">
        <v>1133</v>
      </c>
      <c r="H4" s="42" t="s">
        <v>1113</v>
      </c>
      <c r="I4" s="801">
        <f>ROUND(SUMIF('数据-基础表'!I9:AS9,"地上",'数据-基础表'!I5:AS5)/'数据-基础表'!A3,2)</f>
        <v>1.72</v>
      </c>
      <c r="J4" s="2434"/>
      <c r="K4" s="2434"/>
      <c r="L4" s="2434"/>
      <c r="M4" s="2434"/>
      <c r="N4" s="2435"/>
      <c r="O4" s="2434"/>
      <c r="P4" s="2434"/>
    </row>
    <row r="5" spans="1:16" ht="14.4">
      <c r="A5" s="41" t="s">
        <v>1109</v>
      </c>
      <c r="B5" s="3261" t="s">
        <v>1110</v>
      </c>
      <c r="C5" s="3261"/>
      <c r="D5" s="42">
        <f>ROUND($D$3*E5/$E$3,2)</f>
        <v>0</v>
      </c>
      <c r="E5" s="43">
        <f>SUMIF('数据-基础表'!$11:$11,"住宅",'数据-基础表'!$5:$5)</f>
        <v>0</v>
      </c>
      <c r="F5" s="2434"/>
      <c r="G5" s="41"/>
      <c r="H5" s="42" t="s">
        <v>1106</v>
      </c>
      <c r="I5" s="801">
        <f>ROUND(E31/D31,2)</f>
        <v>3.63</v>
      </c>
      <c r="J5" s="2434"/>
      <c r="K5" s="2434"/>
      <c r="L5" s="2434"/>
      <c r="M5" s="2434"/>
      <c r="N5" s="2434"/>
      <c r="O5" s="2434"/>
      <c r="P5" s="2434"/>
    </row>
    <row r="6" spans="1:16" ht="15" thickBot="1">
      <c r="A6" s="1525"/>
      <c r="B6" s="3261" t="s">
        <v>1111</v>
      </c>
      <c r="C6" s="3261"/>
      <c r="D6" s="42">
        <f>ROUND($D$3*E6/$E$3,2)</f>
        <v>37387.29</v>
      </c>
      <c r="E6" s="43">
        <f>E3-E5</f>
        <v>135843.08000000002</v>
      </c>
      <c r="F6" s="2434"/>
      <c r="G6" s="1527" t="s">
        <v>1112</v>
      </c>
      <c r="H6" s="44" t="s">
        <v>1113</v>
      </c>
      <c r="I6" s="2430">
        <f>ROUND(F31/D31,2)</f>
        <v>2.12</v>
      </c>
      <c r="J6" s="2434"/>
      <c r="K6" s="2434"/>
      <c r="L6" s="2434"/>
      <c r="M6" s="2434"/>
      <c r="N6" s="2434"/>
      <c r="O6" s="2434"/>
      <c r="P6" s="2434"/>
    </row>
    <row r="7" spans="1:16" ht="15" thickBot="1">
      <c r="A7" s="3253"/>
      <c r="B7" s="3254"/>
      <c r="C7" s="3255"/>
      <c r="D7" s="1522" t="s">
        <v>1107</v>
      </c>
      <c r="E7" s="1526" t="s">
        <v>1114</v>
      </c>
      <c r="F7" s="2434"/>
      <c r="G7" s="2431" t="s">
        <v>1115</v>
      </c>
      <c r="H7" s="94"/>
      <c r="I7" s="2432">
        <v>2.65</v>
      </c>
      <c r="J7" s="2434"/>
      <c r="K7" s="2434"/>
      <c r="L7" s="2434"/>
      <c r="M7" s="2434"/>
      <c r="N7" s="2434"/>
      <c r="O7" s="2434"/>
      <c r="P7" s="2434"/>
    </row>
    <row r="8" spans="1:16" ht="14.4">
      <c r="A8" s="41" t="s">
        <v>1116</v>
      </c>
      <c r="B8" s="44" t="s">
        <v>1117</v>
      </c>
      <c r="C8" s="42" t="s">
        <v>1118</v>
      </c>
      <c r="D8" s="42">
        <f t="shared" ref="D8:D15" si="0">ROUND($D$3*E8/$E$3,2)</f>
        <v>21810.73</v>
      </c>
      <c r="E8" s="45">
        <f>SUMIF('数据-基础表'!BB10:BK10,"地上",'数据-基础表'!BB5:BK5)</f>
        <v>79247.164000000004</v>
      </c>
      <c r="F8" s="2434"/>
      <c r="G8" s="2434"/>
      <c r="H8" s="2434"/>
      <c r="I8" s="2434"/>
      <c r="J8" s="2434"/>
      <c r="K8" s="2434"/>
      <c r="L8" s="2434"/>
      <c r="M8" s="2434"/>
      <c r="N8" s="2434"/>
      <c r="O8" s="2434"/>
      <c r="P8" s="2434"/>
    </row>
    <row r="9" spans="1:16" ht="14.4">
      <c r="A9" s="1527"/>
      <c r="B9" s="1528"/>
      <c r="C9" s="42" t="s">
        <v>1119</v>
      </c>
      <c r="D9" s="42">
        <f t="shared" si="0"/>
        <v>0</v>
      </c>
      <c r="E9" s="46">
        <v>0</v>
      </c>
      <c r="F9" s="2434"/>
      <c r="G9" s="2434"/>
      <c r="H9" s="2434"/>
      <c r="I9" s="2434"/>
      <c r="J9" s="2434"/>
      <c r="K9" s="2434"/>
      <c r="L9" s="2434"/>
      <c r="M9" s="2434"/>
      <c r="N9" s="2434"/>
      <c r="O9" s="2434"/>
      <c r="P9" s="2434"/>
    </row>
    <row r="10" spans="1:16" ht="14.4">
      <c r="A10" s="1527"/>
      <c r="B10" s="1528"/>
      <c r="C10" s="42" t="s">
        <v>1128</v>
      </c>
      <c r="D10" s="42">
        <f t="shared" si="0"/>
        <v>5884.13</v>
      </c>
      <c r="E10" s="45">
        <f>SUMPRODUCT(('数据-基础表'!BB10:BK10="地下")*('数据-基础表'!BB11:BK11="商业")*('数据-基础表'!BB5:BK5))</f>
        <v>21379.405999999999</v>
      </c>
      <c r="F10" s="2434"/>
      <c r="G10" s="2434"/>
      <c r="H10" s="2434"/>
      <c r="I10" s="2434"/>
      <c r="J10" s="2434"/>
      <c r="K10" s="2434"/>
      <c r="L10" s="2434"/>
      <c r="M10" s="2434"/>
      <c r="N10" s="2434"/>
      <c r="O10" s="2434"/>
      <c r="P10" s="2434"/>
    </row>
    <row r="11" spans="1:16" ht="14.4">
      <c r="A11" s="1527"/>
      <c r="B11" s="1528"/>
      <c r="C11" s="42" t="s">
        <v>1120</v>
      </c>
      <c r="D11" s="42">
        <f t="shared" si="0"/>
        <v>0</v>
      </c>
      <c r="E11" s="45">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7"/>
      <c r="B12" s="1528"/>
      <c r="C12" s="42" t="s">
        <v>1121</v>
      </c>
      <c r="D12" s="42">
        <f t="shared" si="0"/>
        <v>0</v>
      </c>
      <c r="E12" s="45">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7"/>
      <c r="B13" s="1528"/>
      <c r="C13" s="42" t="s">
        <v>1122</v>
      </c>
      <c r="D13" s="42">
        <f t="shared" si="0"/>
        <v>0</v>
      </c>
      <c r="E13" s="45">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7"/>
      <c r="B14" s="1528"/>
      <c r="C14" s="42" t="s">
        <v>1134</v>
      </c>
      <c r="D14" s="42">
        <f t="shared" si="0"/>
        <v>9692.43</v>
      </c>
      <c r="E14" s="45">
        <f>SUMPRODUCT(('数据-基础表'!BB10:BK10="地下")*('数据-基础表'!BB11:BK11="车库—商业")*('数据-基础表'!BB5:BK5))</f>
        <v>35216.51</v>
      </c>
      <c r="F14" s="2434"/>
      <c r="G14" s="2434"/>
      <c r="H14" s="2434"/>
      <c r="I14" s="2434"/>
      <c r="J14" s="2434"/>
      <c r="K14" s="2434"/>
      <c r="L14" s="2434"/>
      <c r="M14" s="2434"/>
      <c r="N14" s="2434"/>
      <c r="O14" s="2434"/>
      <c r="P14" s="2434"/>
    </row>
    <row r="15" spans="1:16" ht="15" thickBot="1">
      <c r="A15" s="1527"/>
      <c r="B15" s="1528"/>
      <c r="C15" s="42" t="s">
        <v>1129</v>
      </c>
      <c r="D15" s="42">
        <f t="shared" si="0"/>
        <v>0</v>
      </c>
      <c r="E15" s="45">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5"/>
      <c r="B16" s="1528"/>
      <c r="C16" s="44" t="s">
        <v>1123</v>
      </c>
      <c r="D16" s="44">
        <f>SUM(D8:D15)</f>
        <v>37387.29</v>
      </c>
      <c r="E16" s="47">
        <f>SUM(E8:E15)</f>
        <v>135843.08000000002</v>
      </c>
      <c r="F16" s="2434"/>
      <c r="G16" s="2434"/>
      <c r="H16" s="1529" t="s">
        <v>1135</v>
      </c>
      <c r="I16" s="1530"/>
      <c r="J16" s="1069"/>
      <c r="K16" s="3250" t="s">
        <v>1135</v>
      </c>
      <c r="L16" s="3251"/>
      <c r="M16" s="3251"/>
      <c r="N16" s="3251"/>
      <c r="O16" s="3251"/>
      <c r="P16" s="3252"/>
    </row>
    <row r="17" spans="1:19" ht="14.4">
      <c r="A17" s="1531" t="s">
        <v>1136</v>
      </c>
      <c r="B17" s="1532" t="s">
        <v>1137</v>
      </c>
      <c r="C17" s="1533" t="s">
        <v>1138</v>
      </c>
      <c r="D17" s="1534" t="s">
        <v>1126</v>
      </c>
      <c r="E17" s="1535" t="s">
        <v>1127</v>
      </c>
      <c r="F17" s="1536"/>
      <c r="G17" s="1537"/>
      <c r="H17" s="1538" t="s">
        <v>1139</v>
      </c>
      <c r="I17" s="1539" t="s">
        <v>1124</v>
      </c>
      <c r="J17" s="1069"/>
      <c r="K17" s="3247" t="s">
        <v>1140</v>
      </c>
      <c r="L17" s="3248"/>
      <c r="M17" s="3249"/>
      <c r="N17" s="3247" t="s">
        <v>1141</v>
      </c>
      <c r="O17" s="3248"/>
      <c r="P17" s="3249"/>
      <c r="R17" s="768" t="s">
        <v>1142</v>
      </c>
      <c r="S17" s="53"/>
    </row>
    <row r="18" spans="1:19" ht="14.4">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2" t="s">
        <v>1151</v>
      </c>
      <c r="S18" s="42" t="s">
        <v>1152</v>
      </c>
    </row>
    <row r="19" spans="1:19" ht="14.4">
      <c r="A19" s="1547"/>
      <c r="B19" s="44" t="s">
        <v>1125</v>
      </c>
      <c r="C19" s="3110" t="s">
        <v>3507</v>
      </c>
      <c r="D19" s="42">
        <f>ROUND($D$3*E19/$E$3,2)</f>
        <v>37387.29</v>
      </c>
      <c r="E19" s="50">
        <f t="shared" ref="E19:E26" si="1">SUM(F19:G19)</f>
        <v>135843.08000000002</v>
      </c>
      <c r="F19" s="2552">
        <f>'数据-基础表'!I5</f>
        <v>79247.164000000004</v>
      </c>
      <c r="G19" s="1241">
        <f>'数据-基础表'!K13+'数据-基础表'!K14+'数据-基础表'!M15</f>
        <v>56595.915999999997</v>
      </c>
      <c r="H19" s="636">
        <f>ROUND($D$3*I19/$E$3,2)</f>
        <v>0</v>
      </c>
      <c r="I19" s="45">
        <f t="shared" ref="I19:I26" si="2">IF($I$17="自定义",P19,M19)</f>
        <v>0</v>
      </c>
      <c r="J19" s="1069"/>
      <c r="K19" s="636">
        <f t="shared" ref="K19:K26" si="3">ROUND(E$28*E19/E$27,2)</f>
        <v>0</v>
      </c>
      <c r="L19" s="42">
        <f t="shared" ref="L19:L26" si="4">ROUND(IF(COUNTIF(C19,"*住宅*")&gt;0,E$29*E19/E$32,0),2)</f>
        <v>0</v>
      </c>
      <c r="M19" s="45">
        <f>K19+L19</f>
        <v>0</v>
      </c>
      <c r="N19" s="1548"/>
      <c r="O19" s="1549"/>
      <c r="P19" s="45">
        <f>N19+O19</f>
        <v>0</v>
      </c>
      <c r="R19" s="42">
        <f t="shared" ref="R19:S26" si="5">D19+H19</f>
        <v>37387.29</v>
      </c>
      <c r="S19" s="50">
        <f t="shared" si="5"/>
        <v>135843.08000000002</v>
      </c>
    </row>
    <row r="20" spans="1:19" ht="14.4">
      <c r="A20" s="1547"/>
      <c r="B20" s="44" t="s">
        <v>1153</v>
      </c>
      <c r="C20" s="3110"/>
      <c r="D20" s="42">
        <f t="shared" ref="D20:D26" si="6">ROUND($D$3*E20/$E$3,2)</f>
        <v>0</v>
      </c>
      <c r="E20" s="50">
        <f t="shared" si="1"/>
        <v>0</v>
      </c>
      <c r="F20" s="2552"/>
      <c r="G20" s="1241"/>
      <c r="H20" s="636">
        <f t="shared" ref="H20:H26" si="7">ROUND($D$3*I20/$E$3,2)</f>
        <v>0</v>
      </c>
      <c r="I20" s="45">
        <f t="shared" si="2"/>
        <v>0</v>
      </c>
      <c r="J20" s="1069"/>
      <c r="K20" s="636">
        <f t="shared" si="3"/>
        <v>0</v>
      </c>
      <c r="L20" s="42">
        <f t="shared" si="4"/>
        <v>0</v>
      </c>
      <c r="M20" s="45">
        <f t="shared" ref="M20:M26" si="8">K20+L20</f>
        <v>0</v>
      </c>
      <c r="N20" s="1548"/>
      <c r="O20" s="1549"/>
      <c r="P20" s="45">
        <f t="shared" ref="P20:P26" si="9">N20+O20</f>
        <v>0</v>
      </c>
      <c r="R20" s="42">
        <f t="shared" si="5"/>
        <v>0</v>
      </c>
      <c r="S20" s="50">
        <f t="shared" si="5"/>
        <v>0</v>
      </c>
    </row>
    <row r="21" spans="1:19" ht="14.4">
      <c r="A21" s="1547"/>
      <c r="B21" s="44" t="s">
        <v>1153</v>
      </c>
      <c r="C21" s="3110"/>
      <c r="D21" s="42">
        <f t="shared" si="6"/>
        <v>0</v>
      </c>
      <c r="E21" s="50">
        <f t="shared" si="1"/>
        <v>0</v>
      </c>
      <c r="F21" s="2552"/>
      <c r="G21" s="1241"/>
      <c r="H21" s="636">
        <f t="shared" si="7"/>
        <v>0</v>
      </c>
      <c r="I21" s="45">
        <f t="shared" si="2"/>
        <v>0</v>
      </c>
      <c r="J21" s="1069"/>
      <c r="K21" s="636">
        <f t="shared" si="3"/>
        <v>0</v>
      </c>
      <c r="L21" s="42">
        <f t="shared" si="4"/>
        <v>0</v>
      </c>
      <c r="M21" s="45">
        <f t="shared" si="8"/>
        <v>0</v>
      </c>
      <c r="N21" s="1548"/>
      <c r="O21" s="1549"/>
      <c r="P21" s="45">
        <f t="shared" si="9"/>
        <v>0</v>
      </c>
      <c r="R21" s="42">
        <f t="shared" si="5"/>
        <v>0</v>
      </c>
      <c r="S21" s="50">
        <f t="shared" si="5"/>
        <v>0</v>
      </c>
    </row>
    <row r="22" spans="1:19" ht="14.4">
      <c r="A22" s="1547"/>
      <c r="B22" s="44" t="s">
        <v>1153</v>
      </c>
      <c r="C22" s="3111"/>
      <c r="D22" s="42">
        <f t="shared" si="6"/>
        <v>0</v>
      </c>
      <c r="E22" s="50">
        <f t="shared" si="1"/>
        <v>0</v>
      </c>
      <c r="F22" s="2553"/>
      <c r="G22" s="2554"/>
      <c r="H22" s="636">
        <f t="shared" si="7"/>
        <v>0</v>
      </c>
      <c r="I22" s="45">
        <f t="shared" si="2"/>
        <v>0</v>
      </c>
      <c r="J22" s="1069"/>
      <c r="K22" s="636">
        <f t="shared" si="3"/>
        <v>0</v>
      </c>
      <c r="L22" s="42">
        <f t="shared" si="4"/>
        <v>0</v>
      </c>
      <c r="M22" s="45">
        <f t="shared" si="8"/>
        <v>0</v>
      </c>
      <c r="N22" s="1548"/>
      <c r="O22" s="1549"/>
      <c r="P22" s="45">
        <f t="shared" si="9"/>
        <v>0</v>
      </c>
      <c r="R22" s="42">
        <f t="shared" si="5"/>
        <v>0</v>
      </c>
      <c r="S22" s="50">
        <f t="shared" si="5"/>
        <v>0</v>
      </c>
    </row>
    <row r="23" spans="1:19" ht="14.4">
      <c r="A23" s="1547"/>
      <c r="B23" s="44" t="s">
        <v>1153</v>
      </c>
      <c r="C23" s="3111"/>
      <c r="D23" s="42">
        <f>ROUND($D$3*E23/$E$3,2)</f>
        <v>0</v>
      </c>
      <c r="E23" s="50">
        <f>SUM(F23:G23)</f>
        <v>0</v>
      </c>
      <c r="F23" s="2553"/>
      <c r="G23" s="2554"/>
      <c r="H23" s="636">
        <f>ROUND($D$3*I23/$E$3,2)</f>
        <v>0</v>
      </c>
      <c r="I23" s="45">
        <f t="shared" si="2"/>
        <v>0</v>
      </c>
      <c r="J23" s="1069"/>
      <c r="K23" s="636">
        <f t="shared" si="3"/>
        <v>0</v>
      </c>
      <c r="L23" s="42">
        <f t="shared" si="4"/>
        <v>0</v>
      </c>
      <c r="M23" s="45">
        <f t="shared" si="8"/>
        <v>0</v>
      </c>
      <c r="N23" s="1548"/>
      <c r="O23" s="1549"/>
      <c r="P23" s="45">
        <f t="shared" si="9"/>
        <v>0</v>
      </c>
      <c r="R23" s="42">
        <f t="shared" si="5"/>
        <v>0</v>
      </c>
      <c r="S23" s="50">
        <f t="shared" si="5"/>
        <v>0</v>
      </c>
    </row>
    <row r="24" spans="1:19" ht="14.4">
      <c r="A24" s="1547"/>
      <c r="B24" s="44" t="s">
        <v>1153</v>
      </c>
      <c r="C24" s="3111"/>
      <c r="D24" s="42">
        <f>ROUND($D$3*E24/$E$3,2)</f>
        <v>0</v>
      </c>
      <c r="E24" s="50">
        <f>SUM(F24:G24)</f>
        <v>0</v>
      </c>
      <c r="F24" s="2553"/>
      <c r="G24" s="2554"/>
      <c r="H24" s="636">
        <f>ROUND($D$3*I24/$E$3,2)</f>
        <v>0</v>
      </c>
      <c r="I24" s="45">
        <f t="shared" si="2"/>
        <v>0</v>
      </c>
      <c r="J24" s="1069"/>
      <c r="K24" s="636">
        <f t="shared" si="3"/>
        <v>0</v>
      </c>
      <c r="L24" s="42">
        <f t="shared" si="4"/>
        <v>0</v>
      </c>
      <c r="M24" s="45">
        <f t="shared" si="8"/>
        <v>0</v>
      </c>
      <c r="N24" s="1548"/>
      <c r="O24" s="1549"/>
      <c r="P24" s="45">
        <f t="shared" si="9"/>
        <v>0</v>
      </c>
      <c r="R24" s="42">
        <f t="shared" si="5"/>
        <v>0</v>
      </c>
      <c r="S24" s="50">
        <f t="shared" si="5"/>
        <v>0</v>
      </c>
    </row>
    <row r="25" spans="1:19" ht="14.4">
      <c r="A25" s="1547"/>
      <c r="B25" s="44" t="s">
        <v>1153</v>
      </c>
      <c r="C25" s="3111"/>
      <c r="D25" s="42">
        <f t="shared" si="6"/>
        <v>0</v>
      </c>
      <c r="E25" s="50">
        <f t="shared" si="1"/>
        <v>0</v>
      </c>
      <c r="F25" s="2553"/>
      <c r="G25" s="2554"/>
      <c r="H25" s="41">
        <f t="shared" si="7"/>
        <v>0</v>
      </c>
      <c r="I25" s="45">
        <f t="shared" si="2"/>
        <v>0</v>
      </c>
      <c r="J25" s="1069"/>
      <c r="K25" s="636">
        <f t="shared" si="3"/>
        <v>0</v>
      </c>
      <c r="L25" s="42">
        <f t="shared" si="4"/>
        <v>0</v>
      </c>
      <c r="M25" s="45">
        <f t="shared" si="8"/>
        <v>0</v>
      </c>
      <c r="N25" s="1548"/>
      <c r="O25" s="1549"/>
      <c r="P25" s="45">
        <f t="shared" si="9"/>
        <v>0</v>
      </c>
      <c r="R25" s="42">
        <f t="shared" si="5"/>
        <v>0</v>
      </c>
      <c r="S25" s="50">
        <f t="shared" si="5"/>
        <v>0</v>
      </c>
    </row>
    <row r="26" spans="1:19" ht="14.4">
      <c r="A26" s="1547"/>
      <c r="B26" s="44" t="s">
        <v>1153</v>
      </c>
      <c r="C26" s="52"/>
      <c r="D26" s="42">
        <f t="shared" si="6"/>
        <v>0</v>
      </c>
      <c r="E26" s="50">
        <f t="shared" si="1"/>
        <v>0</v>
      </c>
      <c r="F26" s="2553"/>
      <c r="G26" s="2554"/>
      <c r="H26" s="41">
        <f t="shared" si="7"/>
        <v>0</v>
      </c>
      <c r="I26" s="45">
        <f t="shared" si="2"/>
        <v>0</v>
      </c>
      <c r="J26" s="1069"/>
      <c r="K26" s="41">
        <f t="shared" si="3"/>
        <v>0</v>
      </c>
      <c r="L26" s="44">
        <f t="shared" si="4"/>
        <v>0</v>
      </c>
      <c r="M26" s="47">
        <f t="shared" si="8"/>
        <v>0</v>
      </c>
      <c r="N26" s="1550"/>
      <c r="O26" s="1551"/>
      <c r="P26" s="47">
        <f t="shared" si="9"/>
        <v>0</v>
      </c>
      <c r="R26" s="42">
        <f t="shared" si="5"/>
        <v>0</v>
      </c>
      <c r="S26" s="50">
        <f t="shared" si="5"/>
        <v>0</v>
      </c>
    </row>
    <row r="27" spans="1:19" ht="15" thickBot="1">
      <c r="A27" s="1547"/>
      <c r="B27" s="42"/>
      <c r="C27" s="1552" t="s">
        <v>1154</v>
      </c>
      <c r="D27" s="1070">
        <f>SUM(D19:D26)</f>
        <v>37387.29</v>
      </c>
      <c r="E27" s="1071">
        <f>IF(SUM(E19:E26)='数据-基础表'!BA5,SUM(E19:E26),IF(F27="地上面积有误","面积有误","地下面积有误"))</f>
        <v>135843.08000000002</v>
      </c>
      <c r="F27" s="1070">
        <f>IF(SUM(F19:F26)=E8,SUM(F19:F26),"地上面积有误")</f>
        <v>79247.164000000004</v>
      </c>
      <c r="G27" s="1072">
        <f>SUM(G19:G26)</f>
        <v>56595.915999999997</v>
      </c>
      <c r="H27" s="1073">
        <f>SUM(H19:H26)</f>
        <v>0</v>
      </c>
      <c r="I27" s="1074">
        <f>SUM(I19:I26)</f>
        <v>0</v>
      </c>
      <c r="J27" s="1069"/>
      <c r="K27" s="1075">
        <f>SUM(K19:K26)</f>
        <v>0</v>
      </c>
      <c r="L27" s="784">
        <f>SUM(L19:L26)</f>
        <v>0</v>
      </c>
      <c r="M27" s="1076">
        <f>SUM(M19:M26)</f>
        <v>0</v>
      </c>
      <c r="N27" s="1075">
        <f t="shared" ref="N27:O27" si="10">SUM(N19:N26)</f>
        <v>0</v>
      </c>
      <c r="O27" s="784">
        <f t="shared" si="10"/>
        <v>0</v>
      </c>
      <c r="P27" s="93">
        <f>SUM(P19:P26)</f>
        <v>0</v>
      </c>
      <c r="R27" s="967">
        <f>IF(SUM(R19:R26)=$D$3,SUM(R19:R26),SUM(R19:R26)&amp;"误差"&amp;ROUND(SUM(R19:R26)-$D$3,2))</f>
        <v>37387.29</v>
      </c>
      <c r="S27" s="42">
        <f>IF(SUM(S19:S26)=$E$3,SUM(S19:S26),SUM(S19:S26)&amp;"误差"&amp;ROUND(SUM(S19:S26)-E3,2))</f>
        <v>135843.08000000002</v>
      </c>
    </row>
    <row r="28" spans="1:19" ht="14.4">
      <c r="A28" s="1547"/>
      <c r="B28" s="44" t="s">
        <v>1155</v>
      </c>
      <c r="C28" s="53" t="s">
        <v>1156</v>
      </c>
      <c r="D28" s="42">
        <f>ROUND($D$3*E28/$E$3,2)</f>
        <v>0</v>
      </c>
      <c r="E28" s="50">
        <f>SUM(F28:G28)</f>
        <v>0</v>
      </c>
      <c r="F28" s="53">
        <f>'数据-基础表'!BQ5+'数据-基础表'!BS5</f>
        <v>0</v>
      </c>
      <c r="G28" s="54">
        <f>'数据-基础表'!BR5+'数据-基础表'!BT5</f>
        <v>0</v>
      </c>
      <c r="H28" s="2434"/>
      <c r="I28" s="2434"/>
      <c r="J28" s="2434"/>
      <c r="K28" s="2434"/>
      <c r="L28" s="2434"/>
      <c r="M28" s="2434"/>
      <c r="N28" s="2434"/>
      <c r="O28" s="2434"/>
      <c r="P28" s="2434"/>
    </row>
    <row r="29" spans="1:19" ht="14.4">
      <c r="A29" s="1547"/>
      <c r="B29" s="44" t="s">
        <v>1155</v>
      </c>
      <c r="C29" s="1553" t="s">
        <v>1157</v>
      </c>
      <c r="D29" s="42">
        <f>ROUND($D$3*E29/$E$3,2)</f>
        <v>0</v>
      </c>
      <c r="E29" s="50">
        <f>SUM(F29:G29)</f>
        <v>0</v>
      </c>
      <c r="F29" s="55">
        <f>'数据-基础表'!BM5+'数据-基础表'!BO5</f>
        <v>0</v>
      </c>
      <c r="G29" s="47">
        <f>'数据-基础表'!BN5+'数据-基础表'!BP5</f>
        <v>0</v>
      </c>
      <c r="H29" s="2434"/>
      <c r="I29" s="2434"/>
      <c r="J29" s="2434"/>
      <c r="K29" s="2434"/>
      <c r="L29" s="2434"/>
      <c r="M29" s="2434"/>
      <c r="N29" s="2434"/>
      <c r="O29" s="2434"/>
      <c r="P29" s="2434"/>
    </row>
    <row r="30" spans="1:19" ht="14.4">
      <c r="A30" s="1547"/>
      <c r="B30" s="44"/>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 thickBot="1">
      <c r="A31" s="1555"/>
      <c r="B31" s="95"/>
      <c r="C31" s="784" t="s">
        <v>1158</v>
      </c>
      <c r="D31" s="642">
        <f>D27+D30</f>
        <v>37387.29</v>
      </c>
      <c r="E31" s="642">
        <f>E27+E30</f>
        <v>135843.08000000002</v>
      </c>
      <c r="F31" s="643">
        <f>F27+F30</f>
        <v>79247.164000000004</v>
      </c>
      <c r="G31" s="644">
        <f>G27+G30</f>
        <v>56595.915999999997</v>
      </c>
      <c r="H31" s="2434"/>
      <c r="I31" s="2434"/>
      <c r="J31" s="2434"/>
      <c r="K31" s="2434"/>
      <c r="L31" s="2434"/>
      <c r="M31" s="2434"/>
      <c r="N31" s="2434"/>
      <c r="O31" s="2434"/>
      <c r="P31" s="2434"/>
    </row>
    <row r="32" spans="1:19" ht="14.4">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G31" sqref="G31"/>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 thickBot="1">
      <c r="A2" s="1560" t="s">
        <v>1161</v>
      </c>
      <c r="B2" s="3174">
        <f>项目基本情况!D3</f>
        <v>45715</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6"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3407</v>
      </c>
      <c r="O5" s="1575" t="s">
        <v>1181</v>
      </c>
      <c r="P5" s="1578" t="s">
        <v>1182</v>
      </c>
      <c r="Q5" s="57" t="s">
        <v>1183</v>
      </c>
      <c r="R5" s="1579" t="s">
        <v>1184</v>
      </c>
      <c r="S5" s="1580" t="s">
        <v>1185</v>
      </c>
      <c r="T5" s="1581" t="s">
        <v>1186</v>
      </c>
      <c r="U5" s="983" t="s">
        <v>1187</v>
      </c>
      <c r="V5" s="503" t="s">
        <v>1188</v>
      </c>
      <c r="W5" s="503" t="s">
        <v>1189</v>
      </c>
      <c r="X5" s="59"/>
      <c r="Y5" s="58" t="s">
        <v>1190</v>
      </c>
      <c r="Z5" s="1099" t="s">
        <v>1187</v>
      </c>
      <c r="AA5" s="503" t="s">
        <v>1188</v>
      </c>
      <c r="AB5" s="503" t="s">
        <v>1189</v>
      </c>
      <c r="AC5" s="59"/>
      <c r="AD5" s="59" t="s">
        <v>1190</v>
      </c>
      <c r="AE5" s="983" t="s">
        <v>1191</v>
      </c>
      <c r="AF5" s="503" t="s">
        <v>1192</v>
      </c>
      <c r="AG5" s="58" t="s">
        <v>1193</v>
      </c>
      <c r="AH5" s="983" t="s">
        <v>1194</v>
      </c>
      <c r="AI5" s="1099" t="s">
        <v>1195</v>
      </c>
      <c r="AJ5" s="1099" t="s">
        <v>1196</v>
      </c>
      <c r="AK5" s="503" t="s">
        <v>1197</v>
      </c>
      <c r="AL5" s="503" t="s">
        <v>1198</v>
      </c>
      <c r="AM5" s="58"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华联商场</v>
      </c>
      <c r="B6" s="1585" t="str">
        <f>IF(A6=0,"","经营性")</f>
        <v>经营性</v>
      </c>
      <c r="C6" s="1586" t="s">
        <v>673</v>
      </c>
      <c r="D6" s="804">
        <f>SUMIF(项目基本情况!C$12:I$12,C6,项目基本情况!C$14:I$14)</f>
        <v>40</v>
      </c>
      <c r="E6" s="803">
        <f>IF(B6="","",SUMIF(项目基本情况!C$12:I$12,C6,项目基本情况!C$13:I$13))</f>
        <v>54603</v>
      </c>
      <c r="F6" s="60">
        <f>SUMIF(项目基本情况!C$12:I$12,C6,项目基本情况!C$15:I$15)</f>
        <v>24.35</v>
      </c>
      <c r="G6" s="61">
        <f>IF(ISERROR(ROUND(POWER(1+H6,D6-F6)*(POWER(1+H6,F6)-1)/(POWER(1+H6,D6)-1),3)),0,ROUND(POWER(1+H6,D6-F6)*(POWER(1+H6,F6)-1)/(POWER(1+H6,D6)-1),3))</f>
        <v>0.81</v>
      </c>
      <c r="H6" s="690">
        <v>0.05</v>
      </c>
      <c r="I6" s="690">
        <v>5.5E-2</v>
      </c>
      <c r="J6" s="62">
        <v>7.0000000000000007E-2</v>
      </c>
      <c r="K6" s="969">
        <f>SUMIF('数据-汇总表'!C$19:C$33,A6,'数据-汇总表'!E$19:E$33)</f>
        <v>135843.08000000002</v>
      </c>
      <c r="L6" s="691">
        <v>5500</v>
      </c>
      <c r="M6" s="63">
        <f t="shared" ref="M6:M14" si="0">ROUND(K6*L6/10000,0)</f>
        <v>74714</v>
      </c>
      <c r="N6" s="689">
        <f>N21</f>
        <v>0.85</v>
      </c>
      <c r="O6" s="63" t="str">
        <f>IF($N$5="成新度","——",ROUND(M6*N6,0))</f>
        <v>——</v>
      </c>
      <c r="P6" s="64" t="str">
        <f>IF($N$5="成新度","——",M6-O6)</f>
        <v>——</v>
      </c>
      <c r="Q6" s="692">
        <v>0.2</v>
      </c>
      <c r="R6" s="65">
        <f ca="1">SUMIF('数据-汇总表'!C$19:C$33,A6,'数据-汇总表'!R$19:R$27)</f>
        <v>37387.29</v>
      </c>
      <c r="S6" s="48">
        <f>IF('数据-汇总表'!$I$17="按面积比例",SUMIF('数据-汇总表'!C$19:C$33,A6,'数据-汇总表'!K$19:K$33),SUMIF('数据-汇总表'!C$19:C$33,A6,'数据-汇总表'!N$19:N$33))</f>
        <v>0</v>
      </c>
      <c r="T6" s="1090">
        <f>ROUND($L$14*S6/10000,0)</f>
        <v>0</v>
      </c>
      <c r="U6" s="3171">
        <v>2.7</v>
      </c>
      <c r="V6" s="66">
        <v>0.02</v>
      </c>
      <c r="W6" s="66">
        <v>0.1</v>
      </c>
      <c r="X6" s="978"/>
      <c r="Y6" s="67">
        <f>N6</f>
        <v>0.85</v>
      </c>
      <c r="Z6" s="68"/>
      <c r="AA6" s="62"/>
      <c r="AB6" s="62"/>
      <c r="AC6" s="978"/>
      <c r="AD6" s="69"/>
      <c r="AE6" s="979">
        <f ca="1">IF(AN6="",0,SUMIF(INDIRECT("'"&amp;AN6&amp;"'"&amp;"!E:E"),$AE$5,INDIRECT("'"&amp;AN6&amp;"'"&amp;"!F:F")))</f>
        <v>24.35</v>
      </c>
      <c r="AF6" s="73"/>
      <c r="AG6" s="129">
        <f>IF(AF6="",0,AE6-AF6)</f>
        <v>0</v>
      </c>
      <c r="AH6" s="70"/>
      <c r="AI6" s="72">
        <v>365</v>
      </c>
      <c r="AJ6" s="73"/>
      <c r="AK6" s="74">
        <v>3.0000000000000001E-3</v>
      </c>
      <c r="AL6" s="75">
        <v>1E-3</v>
      </c>
      <c r="AM6" s="76">
        <v>5.0000000000000001E-3</v>
      </c>
      <c r="AN6" s="1587" t="s">
        <v>3483</v>
      </c>
      <c r="AO6" s="49">
        <f ca="1">SUMIF(INDIRECT("'"&amp;AN6&amp;"'"&amp;"!A:A"),"总价",INDIRECT("'"&amp;AN6&amp;"'"&amp;"!B:B"))</f>
        <v>161526</v>
      </c>
      <c r="AP6" s="1588">
        <f>IF(C6="住宅",K6*L6,0)</f>
        <v>0</v>
      </c>
      <c r="AQ6" s="49">
        <f>ROUND($L$14*$N$14*S6/10000,0)</f>
        <v>0</v>
      </c>
      <c r="AR6" s="49">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0">
        <f t="shared" ref="T7:T13" si="5">ROUND($L$14*S7/10000,0)</f>
        <v>0</v>
      </c>
      <c r="U7" s="3121"/>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7"/>
      <c r="AO7" s="49" t="e">
        <f t="shared" ref="AO7:AO13" ca="1" si="8">SUMIF(INDIRECT("'"&amp;AN7&amp;"'"&amp;"!A:A"),"总价",INDIRECT("'"&amp;AN7&amp;"'"&amp;"!B:B"))</f>
        <v>#REF!</v>
      </c>
      <c r="AP7" s="1588">
        <f t="shared" ref="AP7:AP13" si="9">IF(C7="住宅",K7*L7,0)</f>
        <v>0</v>
      </c>
      <c r="AQ7" s="49">
        <f t="shared" ref="AQ7:AQ13" si="10">ROUND($L$14*$N$14*S7/10000,0)</f>
        <v>0</v>
      </c>
      <c r="AR7" s="49">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0">
        <f t="shared" si="5"/>
        <v>0</v>
      </c>
      <c r="U8" s="3122"/>
      <c r="V8" s="693"/>
      <c r="W8" s="693"/>
      <c r="X8" s="978"/>
      <c r="Y8" s="67"/>
      <c r="Z8" s="68"/>
      <c r="AA8" s="62"/>
      <c r="AB8" s="62"/>
      <c r="AC8" s="978"/>
      <c r="AD8" s="69"/>
      <c r="AE8" s="979">
        <f t="shared" ca="1" si="6"/>
        <v>0</v>
      </c>
      <c r="AF8" s="73"/>
      <c r="AG8" s="129">
        <f t="shared" si="7"/>
        <v>0</v>
      </c>
      <c r="AH8" s="694"/>
      <c r="AI8" s="72"/>
      <c r="AJ8" s="73"/>
      <c r="AK8" s="695"/>
      <c r="AL8" s="696"/>
      <c r="AM8" s="105"/>
      <c r="AN8" s="1587"/>
      <c r="AO8" s="49" t="e">
        <f t="shared" ca="1" si="8"/>
        <v>#REF!</v>
      </c>
      <c r="AP8" s="1588">
        <f t="shared" si="9"/>
        <v>0</v>
      </c>
      <c r="AQ8" s="49">
        <f t="shared" si="10"/>
        <v>0</v>
      </c>
      <c r="AR8" s="49">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0">
        <f t="shared" si="5"/>
        <v>0</v>
      </c>
      <c r="U9" s="3121"/>
      <c r="V9" s="66"/>
      <c r="W9" s="66"/>
      <c r="X9" s="978"/>
      <c r="Y9" s="67"/>
      <c r="Z9" s="68"/>
      <c r="AA9" s="62"/>
      <c r="AB9" s="62"/>
      <c r="AC9" s="978"/>
      <c r="AD9" s="69"/>
      <c r="AE9" s="979">
        <f t="shared" ca="1" si="6"/>
        <v>0</v>
      </c>
      <c r="AF9" s="73"/>
      <c r="AG9" s="129">
        <f t="shared" si="7"/>
        <v>0</v>
      </c>
      <c r="AH9" s="70"/>
      <c r="AI9" s="72"/>
      <c r="AJ9" s="73"/>
      <c r="AK9" s="74"/>
      <c r="AL9" s="75"/>
      <c r="AM9" s="76"/>
      <c r="AN9" s="1587"/>
      <c r="AO9" s="49" t="e">
        <f t="shared" ca="1" si="8"/>
        <v>#REF!</v>
      </c>
      <c r="AP9" s="1588">
        <f t="shared" si="9"/>
        <v>0</v>
      </c>
      <c r="AQ9" s="49">
        <f t="shared" si="10"/>
        <v>0</v>
      </c>
      <c r="AR9" s="49">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0">
        <f t="shared" si="5"/>
        <v>0</v>
      </c>
      <c r="U10" s="3121"/>
      <c r="V10" s="66"/>
      <c r="W10" s="66"/>
      <c r="X10" s="978"/>
      <c r="Y10" s="67"/>
      <c r="Z10" s="68"/>
      <c r="AA10" s="62"/>
      <c r="AB10" s="62"/>
      <c r="AC10" s="978"/>
      <c r="AD10" s="69"/>
      <c r="AE10" s="979">
        <f t="shared" ca="1" si="6"/>
        <v>0</v>
      </c>
      <c r="AF10" s="73"/>
      <c r="AG10" s="129">
        <f t="shared" si="7"/>
        <v>0</v>
      </c>
      <c r="AH10" s="70"/>
      <c r="AI10" s="72"/>
      <c r="AJ10" s="73"/>
      <c r="AK10" s="74"/>
      <c r="AL10" s="75"/>
      <c r="AM10" s="76"/>
      <c r="AN10" s="1587"/>
      <c r="AO10" s="49" t="e">
        <f t="shared" ca="1" si="8"/>
        <v>#REF!</v>
      </c>
      <c r="AP10" s="1588">
        <f t="shared" si="9"/>
        <v>0</v>
      </c>
      <c r="AQ10" s="49">
        <f t="shared" si="10"/>
        <v>0</v>
      </c>
      <c r="AR10" s="49">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0">
        <f t="shared" si="5"/>
        <v>0</v>
      </c>
      <c r="U11" s="3121"/>
      <c r="V11" s="62"/>
      <c r="W11" s="62"/>
      <c r="X11" s="978"/>
      <c r="Y11" s="67"/>
      <c r="Z11" s="80"/>
      <c r="AA11" s="62"/>
      <c r="AB11" s="62"/>
      <c r="AC11" s="978"/>
      <c r="AD11" s="69"/>
      <c r="AE11" s="979">
        <f t="shared" ca="1" si="6"/>
        <v>0</v>
      </c>
      <c r="AF11" s="73"/>
      <c r="AG11" s="129">
        <f t="shared" si="7"/>
        <v>0</v>
      </c>
      <c r="AH11" s="70"/>
      <c r="AI11" s="72"/>
      <c r="AJ11" s="73"/>
      <c r="AK11" s="74"/>
      <c r="AL11" s="75"/>
      <c r="AM11" s="76"/>
      <c r="AN11" s="1587"/>
      <c r="AO11" s="49" t="e">
        <f t="shared" ca="1" si="8"/>
        <v>#REF!</v>
      </c>
      <c r="AP11" s="1588">
        <f t="shared" si="9"/>
        <v>0</v>
      </c>
      <c r="AQ11" s="49">
        <f t="shared" si="10"/>
        <v>0</v>
      </c>
      <c r="AR11" s="49">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0">
        <f t="shared" si="5"/>
        <v>0</v>
      </c>
      <c r="U12" s="3121"/>
      <c r="V12" s="62"/>
      <c r="W12" s="62"/>
      <c r="X12" s="978"/>
      <c r="Y12" s="67"/>
      <c r="Z12" s="80"/>
      <c r="AA12" s="62"/>
      <c r="AB12" s="62"/>
      <c r="AC12" s="978"/>
      <c r="AD12" s="69"/>
      <c r="AE12" s="979">
        <f t="shared" ca="1" si="6"/>
        <v>0</v>
      </c>
      <c r="AF12" s="73"/>
      <c r="AG12" s="129">
        <f t="shared" si="7"/>
        <v>0</v>
      </c>
      <c r="AH12" s="70"/>
      <c r="AI12" s="72"/>
      <c r="AJ12" s="73"/>
      <c r="AK12" s="74"/>
      <c r="AL12" s="75"/>
      <c r="AM12" s="76"/>
      <c r="AN12" s="1587"/>
      <c r="AO12" s="49" t="e">
        <f t="shared" ca="1" si="8"/>
        <v>#REF!</v>
      </c>
      <c r="AP12" s="1588">
        <f t="shared" si="9"/>
        <v>0</v>
      </c>
      <c r="AQ12" s="49">
        <f t="shared" si="10"/>
        <v>0</v>
      </c>
      <c r="AR12" s="49">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0">
        <f t="shared" si="5"/>
        <v>0</v>
      </c>
      <c r="U13" s="3123"/>
      <c r="V13" s="66"/>
      <c r="W13" s="66"/>
      <c r="X13" s="978"/>
      <c r="Y13" s="67"/>
      <c r="Z13" s="68"/>
      <c r="AA13" s="62"/>
      <c r="AB13" s="62"/>
      <c r="AC13" s="978"/>
      <c r="AD13" s="69"/>
      <c r="AE13" s="979">
        <f t="shared" ca="1" si="6"/>
        <v>0</v>
      </c>
      <c r="AF13" s="73"/>
      <c r="AG13" s="129">
        <f t="shared" si="7"/>
        <v>0</v>
      </c>
      <c r="AH13" s="70"/>
      <c r="AI13" s="72"/>
      <c r="AJ13" s="73"/>
      <c r="AK13" s="74"/>
      <c r="AL13" s="75"/>
      <c r="AM13" s="76"/>
      <c r="AN13" s="1587"/>
      <c r="AO13" s="49" t="e">
        <f t="shared" ca="1" si="8"/>
        <v>#REF!</v>
      </c>
      <c r="AP13" s="1588">
        <f t="shared" si="9"/>
        <v>0</v>
      </c>
      <c r="AQ13" s="49">
        <f t="shared" si="10"/>
        <v>0</v>
      </c>
      <c r="AR13" s="49">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0"/>
      <c r="U14" s="636"/>
      <c r="V14" s="974"/>
      <c r="W14" s="974"/>
      <c r="X14" s="975"/>
      <c r="Y14" s="976"/>
      <c r="Z14" s="53"/>
      <c r="AA14" s="977"/>
      <c r="AB14" s="977"/>
      <c r="AC14" s="978"/>
      <c r="AD14" s="975"/>
      <c r="AE14" s="979"/>
      <c r="AF14" s="49"/>
      <c r="AG14" s="129"/>
      <c r="AH14" s="979"/>
      <c r="AI14" s="1264"/>
      <c r="AJ14" s="49"/>
      <c r="AK14" s="980"/>
      <c r="AL14" s="981"/>
      <c r="AM14" s="982"/>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4"/>
      <c r="E15" s="803"/>
      <c r="F15" s="60"/>
      <c r="G15" s="61"/>
      <c r="H15" s="968"/>
      <c r="I15" s="968"/>
      <c r="J15" s="968"/>
      <c r="K15" s="969">
        <f>SUMIF('数据-汇总表'!C$19:C$33,A15,'数据-汇总表'!E$19:E$33)</f>
        <v>0</v>
      </c>
      <c r="L15" s="970"/>
      <c r="M15" s="63"/>
      <c r="N15" s="971"/>
      <c r="O15" s="63"/>
      <c r="P15" s="64"/>
      <c r="Q15" s="972"/>
      <c r="R15" s="65"/>
      <c r="S15" s="48"/>
      <c r="T15" s="1090"/>
      <c r="U15" s="636"/>
      <c r="V15" s="974"/>
      <c r="W15" s="974"/>
      <c r="X15" s="975"/>
      <c r="Y15" s="976"/>
      <c r="Z15" s="53"/>
      <c r="AA15" s="977"/>
      <c r="AB15" s="977"/>
      <c r="AC15" s="978"/>
      <c r="AD15" s="975"/>
      <c r="AE15" s="979"/>
      <c r="AF15" s="49"/>
      <c r="AG15" s="129"/>
      <c r="AH15" s="979"/>
      <c r="AI15" s="1264"/>
      <c r="AJ15" s="49"/>
      <c r="AK15" s="980"/>
      <c r="AL15" s="981"/>
      <c r="AM15" s="982"/>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1"/>
      <c r="C16" s="782"/>
      <c r="D16" s="1592"/>
      <c r="E16" s="81"/>
      <c r="F16" s="81"/>
      <c r="G16" s="82">
        <f>ROUND(SUMPRODUCT(G6:G13,K6:K13)/SUMPRODUCT((G6:G13&gt;0)*(K6:K13)),3)</f>
        <v>0.81</v>
      </c>
      <c r="H16" s="83">
        <f>ROUND(SUMPRODUCT(H6:H13,K6:K13)/SUMPRODUCT((H6:H13&gt;0)*(K6:K13)),3)</f>
        <v>0.05</v>
      </c>
      <c r="I16" s="84"/>
      <c r="J16" s="84"/>
      <c r="K16" s="85">
        <f>SUM(K6:K15)</f>
        <v>135843.08000000002</v>
      </c>
      <c r="L16" s="86">
        <f>ROUND(M16*10000/SUM(K6:K14),0)</f>
        <v>5500</v>
      </c>
      <c r="M16" s="86">
        <f>SUM(M6:M14)</f>
        <v>74714</v>
      </c>
      <c r="N16" s="87">
        <f>ROUND(SUMPRODUCT(M6:M14,N6:N14)/M16,3)</f>
        <v>0.85</v>
      </c>
      <c r="O16" s="86">
        <f>SUM(O6:O14)</f>
        <v>0</v>
      </c>
      <c r="P16" s="86">
        <f>SUM(P6:P14)</f>
        <v>0</v>
      </c>
      <c r="Q16" s="88">
        <f>ROUND(SUMPRODUCT(Q6:Q13,K6:K13)/SUMPRODUCT((Q6:Q13&gt;0)*(K6:K13)),2)</f>
        <v>0.2</v>
      </c>
      <c r="R16" s="973">
        <f ca="1">SUM(R6:R13)</f>
        <v>37387.29</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6" t="s">
        <v>1210</v>
      </c>
      <c r="B18" s="2455"/>
      <c r="C18" s="2434"/>
      <c r="D18" s="2446"/>
      <c r="E18" s="2434"/>
      <c r="F18" s="2434"/>
      <c r="G18" s="2434"/>
      <c r="H18" s="2434"/>
      <c r="I18" s="2434"/>
      <c r="J18" s="2434"/>
      <c r="K18" s="2444"/>
      <c r="L18" s="2444"/>
      <c r="M18" s="3149" t="s">
        <v>3408</v>
      </c>
      <c r="N18" s="2443">
        <v>2013</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4" t="s">
        <v>1211</v>
      </c>
      <c r="B19" s="96">
        <v>0</v>
      </c>
      <c r="C19" s="2555" t="s">
        <v>2298</v>
      </c>
      <c r="D19" s="2446"/>
      <c r="E19" s="2434"/>
      <c r="F19" s="2434"/>
      <c r="G19" s="2434"/>
      <c r="H19" s="2434"/>
      <c r="I19" s="2434"/>
      <c r="J19" s="2434"/>
      <c r="K19" s="2444"/>
      <c r="L19" s="2444"/>
      <c r="M19" s="3149" t="s">
        <v>3409</v>
      </c>
      <c r="N19" s="2443">
        <f>ROUND(1-(1-0)*(2025-N18)/60,2)</f>
        <v>0.8</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5" t="s">
        <v>1212</v>
      </c>
      <c r="B20" s="97">
        <v>3</v>
      </c>
      <c r="C20" s="2556" t="s">
        <v>2296</v>
      </c>
      <c r="D20" s="2446"/>
      <c r="E20" s="2434"/>
      <c r="F20" s="2434"/>
      <c r="G20" s="2434"/>
      <c r="H20" s="2434"/>
      <c r="I20" s="2434"/>
      <c r="J20" s="2434"/>
      <c r="K20" s="2444"/>
      <c r="L20" s="2444"/>
      <c r="M20" s="3149" t="s">
        <v>3410</v>
      </c>
      <c r="N20" s="2443">
        <v>0.9</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6" t="s">
        <v>1213</v>
      </c>
      <c r="B21" s="97">
        <f>B20</f>
        <v>3</v>
      </c>
      <c r="C21" s="2434"/>
      <c r="D21" s="2446"/>
      <c r="E21" s="2434"/>
      <c r="F21" s="2434"/>
      <c r="G21" s="2434"/>
      <c r="H21" s="2434"/>
      <c r="I21" s="2434"/>
      <c r="J21" s="2434"/>
      <c r="K21" s="2444"/>
      <c r="L21" s="2444"/>
      <c r="M21" s="3149" t="s">
        <v>3411</v>
      </c>
      <c r="N21" s="2443">
        <f>ROUND((N20+N19)/2,2)</f>
        <v>0.85</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5"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6"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9" t="s">
        <v>1220</v>
      </c>
      <c r="B27" s="100">
        <v>150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0" t="s">
        <v>1221</v>
      </c>
      <c r="B28" s="102">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1" t="s">
        <v>1222</v>
      </c>
      <c r="B29" s="104">
        <f>ROUND(B28*K16/10000,0)</f>
        <v>2581</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2"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0"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3"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9" t="s">
        <v>1226</v>
      </c>
      <c r="B33" s="639">
        <v>7.0000000000000007E-2</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0" t="s">
        <v>1228</v>
      </c>
      <c r="B35" s="102">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2" t="s">
        <v>1230</v>
      </c>
      <c r="B37" s="107">
        <v>0.03</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0" t="s">
        <v>1231</v>
      </c>
      <c r="B38" s="105">
        <v>0.02</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3"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9"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4"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4" t="s">
        <v>1235</v>
      </c>
      <c r="B43" s="110">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5" t="s">
        <v>1236</v>
      </c>
      <c r="B44" s="111">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5" t="s">
        <v>1237</v>
      </c>
      <c r="B45" s="109">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5" t="s">
        <v>1238</v>
      </c>
      <c r="B46" s="109">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7" t="s">
        <v>1240</v>
      </c>
      <c r="B48" s="113">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8"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8"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0" t="s">
        <v>1247</v>
      </c>
      <c r="B54" s="71">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0" t="s">
        <v>1248</v>
      </c>
      <c r="B55" s="71">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0" t="s">
        <v>1249</v>
      </c>
      <c r="B56" s="71">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0" t="s">
        <v>1250</v>
      </c>
      <c r="B57" s="71">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0" t="s">
        <v>1251</v>
      </c>
      <c r="B58" s="71">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0" t="s">
        <v>1252</v>
      </c>
      <c r="B59" s="71">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0" t="s">
        <v>1253</v>
      </c>
      <c r="B60" s="71"/>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0" t="s">
        <v>1254</v>
      </c>
      <c r="B61" s="71"/>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0" t="s">
        <v>1255</v>
      </c>
      <c r="B62" s="71"/>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3"/>
      <c r="L134" s="23"/>
    </row>
    <row r="135" spans="1:12" s="121" customFormat="1">
      <c r="A135" s="1614"/>
      <c r="D135" s="1615"/>
      <c r="K135" s="23"/>
      <c r="L135" s="23"/>
    </row>
    <row r="136" spans="1:12" s="121" customFormat="1">
      <c r="A136" s="1614"/>
      <c r="D136" s="1615"/>
      <c r="K136" s="23"/>
      <c r="L136" s="23"/>
    </row>
    <row r="137" spans="1:12" s="121" customFormat="1">
      <c r="A137" s="1614"/>
      <c r="D137" s="1615"/>
      <c r="K137" s="23"/>
      <c r="L137" s="23"/>
    </row>
    <row r="138" spans="1:12" s="121" customFormat="1">
      <c r="A138" s="1614"/>
      <c r="D138" s="1615"/>
      <c r="K138" s="23"/>
      <c r="L138" s="23"/>
    </row>
    <row r="139" spans="1:12" s="121" customFormat="1">
      <c r="A139" s="1614"/>
      <c r="D139" s="1615"/>
      <c r="K139" s="23"/>
      <c r="L139" s="23"/>
    </row>
    <row r="140" spans="1:12" s="121" customFormat="1">
      <c r="A140" s="1614"/>
      <c r="D140" s="1615"/>
      <c r="K140" s="23"/>
      <c r="L140" s="23"/>
    </row>
    <row r="141" spans="1:12" s="121" customFormat="1">
      <c r="A141" s="1614"/>
      <c r="D141" s="1615"/>
      <c r="K141" s="23"/>
      <c r="L141" s="23"/>
    </row>
    <row r="142" spans="1:12" s="121" customFormat="1">
      <c r="A142" s="1614"/>
      <c r="D142" s="1615"/>
      <c r="K142" s="23"/>
      <c r="L142" s="23"/>
    </row>
    <row r="143" spans="1:12" s="121" customFormat="1">
      <c r="A143" s="1614"/>
      <c r="D143" s="1615"/>
      <c r="K143" s="23"/>
      <c r="L143" s="23"/>
    </row>
    <row r="144" spans="1:12" s="121" customFormat="1">
      <c r="A144" s="1614"/>
      <c r="D144" s="1615"/>
      <c r="K144" s="23"/>
      <c r="L144" s="23"/>
    </row>
    <row r="145" spans="1:12" s="121" customFormat="1">
      <c r="A145" s="1614"/>
      <c r="D145" s="1615"/>
      <c r="K145" s="23"/>
      <c r="L145" s="23"/>
    </row>
    <row r="146" spans="1:12" s="121" customFormat="1">
      <c r="A146" s="1614"/>
      <c r="D146" s="1615"/>
      <c r="K146" s="23"/>
      <c r="L146" s="23"/>
    </row>
    <row r="147" spans="1:12" s="121" customFormat="1">
      <c r="A147" s="1614"/>
      <c r="D147" s="1615"/>
      <c r="K147" s="23"/>
      <c r="L147" s="23"/>
    </row>
    <row r="148" spans="1:12" s="121" customFormat="1">
      <c r="A148" s="1614"/>
      <c r="D148" s="1615"/>
      <c r="K148" s="23"/>
      <c r="L148" s="23"/>
    </row>
    <row r="149" spans="1:12" s="121" customFormat="1">
      <c r="A149" s="1614"/>
      <c r="D149" s="1615"/>
      <c r="K149" s="23"/>
      <c r="L149" s="23"/>
    </row>
    <row r="150" spans="1:12" s="121" customFormat="1">
      <c r="A150" s="1614"/>
      <c r="D150" s="1615"/>
      <c r="K150" s="23"/>
      <c r="L150" s="23"/>
    </row>
    <row r="151" spans="1:12" s="121" customFormat="1">
      <c r="A151" s="1614"/>
      <c r="D151" s="1615"/>
      <c r="K151" s="23"/>
      <c r="L151" s="23"/>
    </row>
    <row r="152" spans="1:12" s="121" customFormat="1">
      <c r="A152" s="1614"/>
      <c r="D152" s="1615"/>
      <c r="K152" s="23"/>
      <c r="L152" s="23"/>
    </row>
    <row r="153" spans="1:12" s="121" customFormat="1">
      <c r="A153" s="1614"/>
      <c r="D153" s="1615"/>
      <c r="K153" s="23"/>
      <c r="L153" s="23"/>
    </row>
    <row r="154" spans="1:12" s="121" customFormat="1">
      <c r="A154" s="1614"/>
      <c r="D154" s="1615"/>
      <c r="K154" s="23"/>
      <c r="L154" s="23"/>
    </row>
    <row r="155" spans="1:12" s="121" customFormat="1">
      <c r="A155" s="1614"/>
      <c r="D155" s="1615"/>
      <c r="K155" s="23"/>
      <c r="L155" s="23"/>
    </row>
    <row r="156" spans="1:12" s="121" customFormat="1">
      <c r="A156" s="1614"/>
      <c r="D156" s="1615"/>
      <c r="K156" s="23"/>
      <c r="L156" s="23"/>
    </row>
    <row r="157" spans="1:12" s="121" customFormat="1">
      <c r="A157" s="1614"/>
      <c r="D157" s="1615"/>
      <c r="K157" s="23"/>
      <c r="L157" s="23"/>
    </row>
    <row r="158" spans="1:12" s="121" customFormat="1">
      <c r="A158" s="1614"/>
      <c r="D158" s="1615"/>
      <c r="K158" s="23"/>
      <c r="L158" s="23"/>
    </row>
    <row r="159" spans="1:12" s="121" customFormat="1">
      <c r="A159" s="1614"/>
      <c r="D159" s="1615"/>
      <c r="K159" s="23"/>
      <c r="L159" s="23"/>
    </row>
    <row r="160" spans="1:12" s="121" customFormat="1">
      <c r="A160" s="1614"/>
      <c r="D160" s="1615"/>
      <c r="K160" s="23"/>
      <c r="L160" s="23"/>
    </row>
    <row r="161" spans="1:12" s="121" customFormat="1">
      <c r="A161" s="1614"/>
      <c r="D161" s="1615"/>
      <c r="K161" s="23"/>
      <c r="L161" s="23"/>
    </row>
    <row r="162" spans="1:12" s="121" customFormat="1">
      <c r="A162" s="1614"/>
      <c r="D162" s="1615"/>
      <c r="K162" s="23"/>
      <c r="L162" s="23"/>
    </row>
    <row r="163" spans="1:12" s="121" customFormat="1">
      <c r="A163" s="1614"/>
      <c r="D163" s="1615"/>
      <c r="K163" s="23"/>
      <c r="L163" s="23"/>
    </row>
    <row r="164" spans="1:12" s="121" customFormat="1">
      <c r="A164" s="1614"/>
      <c r="D164" s="1615"/>
      <c r="K164" s="23"/>
      <c r="L164" s="23"/>
    </row>
    <row r="165" spans="1:12" s="121" customFormat="1">
      <c r="A165" s="1614"/>
      <c r="D165" s="1615"/>
      <c r="K165" s="23"/>
      <c r="L165" s="23"/>
    </row>
    <row r="166" spans="1:12" s="121" customFormat="1">
      <c r="A166" s="1614"/>
      <c r="D166" s="1615"/>
      <c r="K166" s="23"/>
      <c r="L166" s="23"/>
    </row>
    <row r="167" spans="1:12" s="121" customFormat="1">
      <c r="A167" s="1614"/>
      <c r="D167" s="1615"/>
      <c r="K167" s="23"/>
      <c r="L167" s="23"/>
    </row>
    <row r="168" spans="1:12" s="121" customFormat="1">
      <c r="A168" s="1614"/>
      <c r="D168" s="1615"/>
      <c r="K168" s="23"/>
      <c r="L168" s="23"/>
    </row>
    <row r="169" spans="1:12" s="121" customFormat="1">
      <c r="A169" s="1614"/>
      <c r="D169" s="1615"/>
      <c r="K169" s="23"/>
      <c r="L169" s="23"/>
    </row>
    <row r="170" spans="1:12" s="121" customFormat="1">
      <c r="A170" s="1614"/>
      <c r="D170" s="1615"/>
      <c r="K170" s="23"/>
      <c r="L170" s="23"/>
    </row>
    <row r="171" spans="1:12" s="121" customFormat="1">
      <c r="A171" s="1614"/>
      <c r="D171" s="1615"/>
      <c r="K171" s="23"/>
      <c r="L171" s="23"/>
    </row>
    <row r="172" spans="1:12" s="121" customFormat="1">
      <c r="A172" s="1614"/>
      <c r="D172" s="1615"/>
      <c r="K172" s="23"/>
      <c r="L172" s="23"/>
    </row>
    <row r="173" spans="1:12" s="121" customFormat="1">
      <c r="A173" s="1614"/>
      <c r="D173" s="1615"/>
      <c r="K173" s="23"/>
      <c r="L173" s="23"/>
    </row>
    <row r="174" spans="1:12" s="121" customFormat="1">
      <c r="A174" s="1614"/>
      <c r="D174" s="1615"/>
      <c r="K174" s="23"/>
      <c r="L174" s="23"/>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0" customWidth="1"/>
    <col min="19" max="29" width="9" style="750"/>
    <col min="30" max="16384" width="9" style="1520"/>
  </cols>
  <sheetData>
    <row r="1" spans="1:29" s="2256" customFormat="1" ht="18" thickBot="1">
      <c r="A1" s="3262" t="s">
        <v>2282</v>
      </c>
      <c r="B1" s="3263"/>
      <c r="C1" s="3263"/>
      <c r="D1" s="3263"/>
      <c r="E1" s="3263"/>
      <c r="F1" s="3263"/>
      <c r="G1" s="326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3"/>
      <c r="E2" s="2257"/>
      <c r="F2" s="2260"/>
      <c r="G2" s="2259" t="s">
        <v>2279</v>
      </c>
      <c r="H2" s="750"/>
      <c r="I2" s="750"/>
      <c r="J2" s="750"/>
      <c r="K2" s="750"/>
      <c r="L2" s="750"/>
      <c r="M2" s="750"/>
      <c r="N2" s="750"/>
      <c r="O2" s="750"/>
      <c r="P2" s="750"/>
      <c r="Q2" s="750"/>
    </row>
    <row r="3" spans="1:29" ht="40.200000000000003" thickBot="1">
      <c r="A3" s="2244" t="s">
        <v>2280</v>
      </c>
      <c r="B3" s="2261" t="s">
        <v>2252</v>
      </c>
      <c r="C3" s="2262"/>
      <c r="D3" s="2263"/>
      <c r="E3" s="2245" t="s">
        <v>2280</v>
      </c>
      <c r="F3" s="2264" t="s">
        <v>2253</v>
      </c>
      <c r="G3" s="2265" t="s">
        <v>2281</v>
      </c>
      <c r="H3" s="750"/>
      <c r="I3" s="750"/>
      <c r="J3" s="750"/>
      <c r="K3" s="750"/>
      <c r="L3" s="750"/>
      <c r="M3" s="750"/>
      <c r="N3" s="750"/>
      <c r="O3" s="750"/>
      <c r="P3" s="750"/>
      <c r="Q3" s="750"/>
    </row>
    <row r="4" spans="1:29" ht="48.6" thickBot="1">
      <c r="A4" s="2245"/>
      <c r="B4" s="314" t="s">
        <v>2254</v>
      </c>
      <c r="C4" s="3162" t="s">
        <v>3508</v>
      </c>
      <c r="D4" s="2263"/>
      <c r="E4" s="2266"/>
      <c r="F4" s="1279" t="s">
        <v>2255</v>
      </c>
      <c r="G4" s="2267" t="s">
        <v>2256</v>
      </c>
      <c r="H4" s="750"/>
      <c r="I4" s="750"/>
      <c r="J4" s="750"/>
      <c r="K4" s="750"/>
      <c r="L4" s="750"/>
      <c r="M4" s="750"/>
      <c r="N4" s="750"/>
      <c r="O4" s="750"/>
      <c r="P4" s="750"/>
      <c r="Q4" s="750"/>
    </row>
    <row r="5" spans="1:29" ht="60.6" thickBot="1">
      <c r="A5" s="2245"/>
      <c r="B5" s="314" t="s">
        <v>2257</v>
      </c>
      <c r="C5" s="3162" t="s">
        <v>3509</v>
      </c>
      <c r="D5" s="2263"/>
      <c r="E5" s="2266"/>
      <c r="F5" s="314" t="s">
        <v>2258</v>
      </c>
      <c r="G5" s="2267" t="s">
        <v>2259</v>
      </c>
      <c r="H5" s="750"/>
      <c r="I5" s="750"/>
      <c r="J5" s="750"/>
      <c r="K5" s="750"/>
      <c r="L5" s="750"/>
      <c r="M5" s="750"/>
      <c r="N5" s="750"/>
      <c r="O5" s="750"/>
      <c r="P5" s="750"/>
      <c r="Q5" s="750"/>
    </row>
    <row r="6" spans="1:29" ht="60" customHeight="1" thickBot="1">
      <c r="A6" s="2245"/>
      <c r="B6" s="314" t="s">
        <v>2260</v>
      </c>
      <c r="C6" s="3163" t="s">
        <v>3510</v>
      </c>
      <c r="D6" s="2263"/>
      <c r="E6" s="2266"/>
      <c r="F6" s="314" t="s">
        <v>2261</v>
      </c>
      <c r="G6" s="2267" t="s">
        <v>2262</v>
      </c>
      <c r="H6" s="750"/>
      <c r="I6" s="750"/>
      <c r="J6" s="750"/>
      <c r="K6" s="750"/>
      <c r="L6" s="750"/>
      <c r="M6" s="750"/>
      <c r="N6" s="750"/>
      <c r="O6" s="750"/>
      <c r="P6" s="750"/>
      <c r="Q6" s="750"/>
    </row>
    <row r="7" spans="1:29" ht="64.95" customHeight="1" thickBot="1">
      <c r="A7" s="2245"/>
      <c r="B7" s="314" t="s">
        <v>2258</v>
      </c>
      <c r="C7" s="2262" t="s">
        <v>3474</v>
      </c>
      <c r="D7" s="2242"/>
      <c r="E7" s="2268"/>
      <c r="F7" s="2269" t="s">
        <v>2263</v>
      </c>
      <c r="G7" s="2270" t="s">
        <v>2264</v>
      </c>
      <c r="H7" s="750"/>
      <c r="I7" s="750"/>
      <c r="J7" s="750"/>
      <c r="K7" s="750"/>
      <c r="L7" s="750"/>
      <c r="M7" s="750"/>
      <c r="N7" s="750"/>
      <c r="O7" s="750"/>
      <c r="P7" s="750"/>
      <c r="Q7" s="750"/>
    </row>
    <row r="8" spans="1:29" ht="30" customHeight="1" thickBot="1">
      <c r="A8" s="2245"/>
      <c r="B8" s="314" t="s">
        <v>2261</v>
      </c>
      <c r="C8" s="2262" t="s">
        <v>3475</v>
      </c>
      <c r="D8" s="2242"/>
      <c r="E8" s="2242"/>
      <c r="F8" s="120"/>
      <c r="G8" s="120"/>
      <c r="H8" s="750"/>
      <c r="I8" s="750"/>
      <c r="J8" s="750"/>
      <c r="K8" s="750"/>
      <c r="L8" s="750"/>
      <c r="M8" s="750"/>
      <c r="N8" s="750"/>
      <c r="O8" s="750"/>
      <c r="P8" s="750"/>
      <c r="Q8" s="750"/>
    </row>
    <row r="9" spans="1:29" ht="48.6" thickBot="1">
      <c r="A9" s="2245"/>
      <c r="B9" s="314" t="s">
        <v>2265</v>
      </c>
      <c r="C9" s="3162" t="s">
        <v>3511</v>
      </c>
      <c r="D9" s="2263"/>
      <c r="E9" s="2242"/>
      <c r="F9" s="120"/>
      <c r="G9" s="120"/>
      <c r="H9" s="750"/>
      <c r="I9" s="750"/>
      <c r="J9" s="750"/>
      <c r="K9" s="750"/>
      <c r="L9" s="750"/>
      <c r="M9" s="750"/>
      <c r="N9" s="750"/>
      <c r="O9" s="750"/>
      <c r="P9" s="750"/>
      <c r="Q9" s="750"/>
    </row>
    <row r="10" spans="1:29" ht="14.4" thickBot="1">
      <c r="A10" s="2246"/>
      <c r="B10" s="2271" t="s">
        <v>2266</v>
      </c>
      <c r="C10" s="3163" t="s">
        <v>3512</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52.8">
      <c r="A16" s="2249"/>
      <c r="B16" s="2286" t="s">
        <v>2254</v>
      </c>
      <c r="C16" s="2287" t="str">
        <f>C4</f>
        <v>位于顺义中心区域，周边有国泰商业大厦、新世界百货、龙华购物中心，商业繁华度好</v>
      </c>
      <c r="D16" s="2263"/>
      <c r="E16" s="2250"/>
      <c r="F16" s="2288" t="s">
        <v>2255</v>
      </c>
      <c r="G16" s="2289" t="str">
        <f>G4</f>
        <v>估价对象周边道路状况、公共交通通达情况、停车便捷程度，综合评价交通便捷度较好</v>
      </c>
    </row>
    <row r="17" spans="1:17" ht="66">
      <c r="A17" s="2249"/>
      <c r="B17" s="2286" t="s">
        <v>2257</v>
      </c>
      <c r="C17" s="2287" t="str">
        <f>C5</f>
        <v>估价对象位于朝阳门商圈，周边办公楼项目较多，有顺鑫国际商务中心、正华国贸财富中心等写字楼，入驻率较高，办公集聚程度较好</v>
      </c>
      <c r="D17" s="2242"/>
      <c r="E17" s="2250"/>
      <c r="F17" s="2288" t="s">
        <v>2272</v>
      </c>
      <c r="G17" s="2290"/>
    </row>
    <row r="18" spans="1:17" ht="52.8">
      <c r="A18" s="2249"/>
      <c r="B18" s="2288" t="s">
        <v>2260</v>
      </c>
      <c r="C18" s="2289" t="str">
        <f>C6</f>
        <v>周边有顺12、顺13、顺16路等多条及地铁15号线，周边道路密集，停车便捷程度，综合评价交通便捷度较好</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4" t="s">
        <v>2258</v>
      </c>
      <c r="G19" s="2289" t="str">
        <f>G5</f>
        <v>估价对象所在区域公共配套设施齐备情况</v>
      </c>
    </row>
    <row r="20" spans="1:17" ht="52.8">
      <c r="A20" s="2249"/>
      <c r="B20" s="2288" t="s">
        <v>2274</v>
      </c>
      <c r="C20" s="2287" t="str">
        <f>C9</f>
        <v>区域内有顺义公园、怡园公园、潮白河等自然及人文环境，综合评价自然及人文环境状况较好。</v>
      </c>
      <c r="D20" s="2242"/>
      <c r="E20" s="2250"/>
      <c r="F20" s="314" t="s">
        <v>2261</v>
      </c>
      <c r="G20" s="2289" t="str">
        <f>G6</f>
        <v>估价对象所在区域基础设施水平</v>
      </c>
    </row>
    <row r="21" spans="1:17" ht="52.8">
      <c r="A21" s="2249"/>
      <c r="B21" s="314"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4" t="s">
        <v>2261</v>
      </c>
      <c r="C22" s="2289" t="str">
        <f>C8</f>
        <v>估价对象所在区域基础设施水平“七通一平</v>
      </c>
      <c r="D22" s="2263"/>
      <c r="E22" s="2250"/>
      <c r="F22" s="2288" t="s">
        <v>2266</v>
      </c>
      <c r="G22" s="2290"/>
    </row>
    <row r="23" spans="1:17" s="750" customFormat="1" ht="14.4" thickBot="1">
      <c r="A23" s="2249"/>
      <c r="B23" s="2288" t="s">
        <v>2275</v>
      </c>
      <c r="C23" s="2291"/>
      <c r="D23" s="1612"/>
      <c r="E23" s="2251"/>
      <c r="F23" s="2292" t="s">
        <v>2276</v>
      </c>
      <c r="G23" s="2293"/>
      <c r="H23" s="2272"/>
      <c r="I23" s="2272"/>
      <c r="J23" s="2272"/>
      <c r="K23" s="2272"/>
      <c r="L23" s="2272"/>
      <c r="M23" s="2272"/>
      <c r="N23" s="2272"/>
      <c r="O23" s="2272"/>
      <c r="P23" s="2272"/>
      <c r="Q23" s="2272"/>
    </row>
    <row r="24" spans="1:17" s="750" customFormat="1" ht="14.4" thickBot="1">
      <c r="A24" s="2252"/>
      <c r="B24" s="2292" t="s">
        <v>2277</v>
      </c>
      <c r="C24" s="2294" t="str">
        <f>C10</f>
        <v>城市主干道——新顺南大街</v>
      </c>
      <c r="D24" s="1612"/>
      <c r="E24" s="2242"/>
      <c r="F24" s="2242"/>
      <c r="G24" s="2242"/>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4.4"/>
  <cols>
    <col min="1" max="1" width="25" style="2296" customWidth="1"/>
    <col min="2" max="9" width="15.77734375" style="2296" customWidth="1"/>
    <col min="10" max="10" width="12.109375" style="2296" customWidth="1"/>
    <col min="11" max="16384" width="9" style="2296"/>
  </cols>
  <sheetData>
    <row r="1" spans="1:11" ht="16.2">
      <c r="A1" s="2295" t="s">
        <v>665</v>
      </c>
      <c r="B1" s="2295">
        <f>SUM(B14:B23)</f>
        <v>135843.08000000002</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45715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218181</v>
      </c>
      <c r="C5" s="2295">
        <f ca="1">IF(B5=D14,结果表!H102,ROUND(B5*10000/$B$1,0))</f>
        <v>16061</v>
      </c>
      <c r="D5" s="2295" t="e">
        <f ca="1">ROUND(B5*10000/$B$2,0)</f>
        <v>#DIV/0!</v>
      </c>
      <c r="E5" s="2456"/>
      <c r="G5" s="2457"/>
      <c r="H5" s="2457"/>
      <c r="I5" s="2457"/>
      <c r="J5" s="2457">
        <v>220543</v>
      </c>
      <c r="K5" s="2457">
        <f ca="1">B5/J5</f>
        <v>0.98929007041710681</v>
      </c>
    </row>
    <row r="6" spans="1:11" ht="15.6">
      <c r="A6" s="2295" t="s">
        <v>656</v>
      </c>
      <c r="B6" s="2295">
        <f ca="1">SUM(G14:G23)</f>
        <v>218181</v>
      </c>
      <c r="C6" s="2295">
        <f ca="1">IF(B6=G14,结果表!H108,ROUND(B6*10000/$B$1,0))</f>
        <v>16061</v>
      </c>
      <c r="D6" s="2295" t="e">
        <f ca="1">ROUND(B6*10000/$B$2,0)</f>
        <v>#DIV/0!</v>
      </c>
      <c r="E6" s="2456"/>
      <c r="F6" s="2457"/>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13637</v>
      </c>
      <c r="D8" s="2295" t="e">
        <f>ROUND(B8*10000/$B$2,0)</f>
        <v>#DIV/0!</v>
      </c>
      <c r="E8" s="2456"/>
      <c r="F8" s="2457"/>
      <c r="G8" s="2457"/>
      <c r="H8" s="2457"/>
      <c r="I8" s="2457"/>
      <c r="J8" s="2457"/>
      <c r="K8" s="2457"/>
    </row>
    <row r="9" spans="1:11" ht="15.6">
      <c r="A9" s="2295" t="s">
        <v>655</v>
      </c>
      <c r="B9" s="1242"/>
      <c r="C9" s="2456"/>
      <c r="D9" s="2456"/>
      <c r="E9" s="2456"/>
      <c r="F9" s="2457"/>
      <c r="G9" s="2457"/>
      <c r="H9" s="2457"/>
      <c r="I9" s="2457"/>
      <c r="J9" s="2457"/>
      <c r="K9" s="2457"/>
    </row>
    <row r="10" spans="1:11" ht="15.6">
      <c r="A10" s="2295" t="s">
        <v>654</v>
      </c>
      <c r="B10" s="2295">
        <f>IF(E10="",0,ROUND(B1*(E10*365/G10)/10000,0))</f>
        <v>0</v>
      </c>
      <c r="C10" s="2295" t="s">
        <v>3350</v>
      </c>
      <c r="D10" s="2295" t="s">
        <v>3351</v>
      </c>
      <c r="E10" s="3131"/>
      <c r="F10" s="3135" t="s">
        <v>3352</v>
      </c>
      <c r="G10" s="3132"/>
      <c r="H10" s="2457"/>
      <c r="I10" s="2457"/>
      <c r="J10" s="2457"/>
      <c r="K10" s="2457"/>
    </row>
    <row r="11" spans="1:11" ht="15.6">
      <c r="A11" s="2295" t="s">
        <v>670</v>
      </c>
      <c r="B11" s="1242"/>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'数据-汇总表'!E19</f>
        <v>135843.08000000002</v>
      </c>
      <c r="C14" s="2301"/>
      <c r="D14" s="2301">
        <f ca="1">ROUND(结果表!H118,0)</f>
        <v>218181</v>
      </c>
      <c r="E14" s="2301">
        <f ca="1">结果表!I118</f>
        <v>16061</v>
      </c>
      <c r="F14" s="2301" t="e">
        <f ca="1">ROUND(D14*10000/C14,0)</f>
        <v>#DIV/0!</v>
      </c>
      <c r="G14" s="2301">
        <f ca="1">D14</f>
        <v>218181</v>
      </c>
      <c r="H14" s="2301"/>
      <c r="I14" s="2301"/>
      <c r="J14" s="2457"/>
      <c r="K14" s="2457"/>
    </row>
    <row r="15" spans="1:11" ht="15.6">
      <c r="A15" s="2300" t="s">
        <v>649</v>
      </c>
      <c r="B15" s="2302"/>
      <c r="C15" s="2302"/>
      <c r="D15" s="2302"/>
      <c r="E15" s="2301" t="e">
        <f t="shared" ref="E15:E23" si="0">ROUND(D15*10000/B15,0)</f>
        <v>#DIV/0!</v>
      </c>
      <c r="F15" s="2301" t="e">
        <f t="shared" ref="F15:F23" si="1">ROUND(D15*10000/C15,0)</f>
        <v>#DIV/0!</v>
      </c>
      <c r="G15" s="1242"/>
      <c r="H15" s="1242"/>
      <c r="I15" s="2302"/>
      <c r="J15" s="2457"/>
      <c r="K15" s="2457"/>
    </row>
    <row r="16" spans="1:11" ht="15.6">
      <c r="A16" s="2300" t="s">
        <v>648</v>
      </c>
      <c r="B16" s="2302"/>
      <c r="C16" s="2302"/>
      <c r="D16" s="2302"/>
      <c r="E16" s="2301" t="e">
        <f t="shared" si="0"/>
        <v>#DIV/0!</v>
      </c>
      <c r="F16" s="2301" t="e">
        <f t="shared" si="1"/>
        <v>#DIV/0!</v>
      </c>
      <c r="G16" s="1242"/>
      <c r="H16" s="1242"/>
      <c r="I16" s="2302"/>
      <c r="J16" s="2457"/>
      <c r="K16" s="2457"/>
    </row>
    <row r="17" spans="1:11" ht="15.6">
      <c r="A17" s="2300" t="s">
        <v>647</v>
      </c>
      <c r="B17" s="2302"/>
      <c r="C17" s="2302"/>
      <c r="D17" s="2302"/>
      <c r="E17" s="2301" t="e">
        <f t="shared" si="0"/>
        <v>#DIV/0!</v>
      </c>
      <c r="F17" s="2301" t="e">
        <f t="shared" si="1"/>
        <v>#DIV/0!</v>
      </c>
      <c r="G17" s="1242"/>
      <c r="H17" s="1242"/>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2" t="e">
        <f t="shared" si="0"/>
        <v>#DIV/0!</v>
      </c>
      <c r="F23" s="1242"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H55" zoomScaleNormal="100" zoomScaleSheetLayoutView="100" zoomScalePageLayoutView="80" workbookViewId="0">
      <selection activeCell="N61" sqref="N61"/>
    </sheetView>
  </sheetViews>
  <sheetFormatPr defaultColWidth="12.6640625" defaultRowHeight="21.75" customHeight="1"/>
  <cols>
    <col min="1" max="2" width="12.6640625" style="1559"/>
    <col min="3" max="4" width="12.6640625" style="1559" customWidth="1"/>
    <col min="5"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1262</v>
      </c>
      <c r="B1" s="645"/>
      <c r="C1" s="1618" t="s">
        <v>3506</v>
      </c>
      <c r="D1" s="645"/>
      <c r="E1" s="645"/>
      <c r="F1" s="1619" t="s">
        <v>1263</v>
      </c>
      <c r="G1" s="1451" t="s">
        <v>3405</v>
      </c>
      <c r="H1" s="1619" t="str">
        <f>IF(G1="现房","——","估价对象范围")</f>
        <v>——</v>
      </c>
      <c r="I1" s="1620" t="s">
        <v>3538</v>
      </c>
    </row>
    <row r="2" spans="1:12" ht="21.75" customHeight="1" thickBot="1">
      <c r="A2" s="3298" t="str">
        <f>项目基本情况!S2</f>
        <v>北京市顺义新顺南大街8号院1幢房地产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2" t="s">
        <v>1265</v>
      </c>
      <c r="B4" s="1623" t="s">
        <v>1266</v>
      </c>
      <c r="C4" s="1624" t="s">
        <v>3482</v>
      </c>
      <c r="D4" s="1624" t="s">
        <v>3483</v>
      </c>
      <c r="E4" s="3304" t="s">
        <v>1267</v>
      </c>
      <c r="F4" s="3305"/>
      <c r="G4" s="3305"/>
      <c r="H4" s="3305"/>
      <c r="I4" s="330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8" t="s">
        <v>1268</v>
      </c>
      <c r="B5" s="3265">
        <v>25</v>
      </c>
      <c r="C5" s="3281"/>
      <c r="D5" s="3301"/>
      <c r="E5" s="122" t="s">
        <v>1269</v>
      </c>
      <c r="F5" s="1625"/>
      <c r="G5" s="1625"/>
      <c r="H5" s="1625"/>
      <c r="I5" s="1279"/>
    </row>
    <row r="6" spans="1:12" ht="13.2">
      <c r="A6" s="3278"/>
      <c r="B6" s="3265"/>
      <c r="C6" s="3282"/>
      <c r="D6" s="3301"/>
      <c r="E6" s="122" t="s">
        <v>1270</v>
      </c>
      <c r="F6" s="1625"/>
      <c r="G6" s="1625"/>
      <c r="H6" s="1625"/>
      <c r="I6" s="1279"/>
    </row>
    <row r="7" spans="1:12" ht="13.2">
      <c r="A7" s="3278"/>
      <c r="B7" s="3265"/>
      <c r="C7" s="3283"/>
      <c r="D7" s="3301"/>
      <c r="E7" s="122" t="s">
        <v>1271</v>
      </c>
      <c r="F7" s="1625"/>
      <c r="G7" s="1625"/>
      <c r="H7" s="1625"/>
      <c r="I7" s="1279"/>
    </row>
    <row r="8" spans="1:12" ht="13.2">
      <c r="A8" s="3278" t="s">
        <v>1272</v>
      </c>
      <c r="B8" s="3265">
        <v>15</v>
      </c>
      <c r="C8" s="3281"/>
      <c r="D8" s="3301"/>
      <c r="E8" s="122" t="s">
        <v>1273</v>
      </c>
      <c r="F8" s="1625"/>
      <c r="G8" s="1625"/>
      <c r="H8" s="1625"/>
      <c r="I8" s="1279"/>
    </row>
    <row r="9" spans="1:12" ht="13.2">
      <c r="A9" s="3278"/>
      <c r="B9" s="3265"/>
      <c r="C9" s="3283"/>
      <c r="D9" s="3301"/>
      <c r="E9" s="122" t="s">
        <v>1274</v>
      </c>
      <c r="F9" s="1625"/>
      <c r="G9" s="1625"/>
      <c r="H9" s="1625"/>
      <c r="I9" s="1279"/>
    </row>
    <row r="10" spans="1:12" ht="13.2">
      <c r="A10" s="3278" t="s">
        <v>1275</v>
      </c>
      <c r="B10" s="3265">
        <v>15</v>
      </c>
      <c r="C10" s="3281"/>
      <c r="D10" s="3301"/>
      <c r="E10" s="122" t="s">
        <v>1276</v>
      </c>
      <c r="F10" s="1625"/>
      <c r="G10" s="1625"/>
      <c r="H10" s="1625"/>
      <c r="I10" s="1279"/>
    </row>
    <row r="11" spans="1:12" ht="13.2">
      <c r="A11" s="3278"/>
      <c r="B11" s="3265"/>
      <c r="C11" s="3283"/>
      <c r="D11" s="3301"/>
      <c r="E11" s="122" t="s">
        <v>1277</v>
      </c>
      <c r="F11" s="1625"/>
      <c r="G11" s="1625"/>
      <c r="H11" s="1625"/>
      <c r="I11" s="1279"/>
    </row>
    <row r="12" spans="1:12" ht="13.2">
      <c r="A12" s="3278" t="s">
        <v>1278</v>
      </c>
      <c r="B12" s="3265">
        <v>15</v>
      </c>
      <c r="C12" s="3281"/>
      <c r="D12" s="3301"/>
      <c r="E12" s="122" t="s">
        <v>1279</v>
      </c>
      <c r="F12" s="1625"/>
      <c r="G12" s="1625"/>
      <c r="H12" s="1625"/>
      <c r="I12" s="1279"/>
    </row>
    <row r="13" spans="1:12" ht="13.2">
      <c r="A13" s="3278"/>
      <c r="B13" s="3265"/>
      <c r="C13" s="3283"/>
      <c r="D13" s="3301"/>
      <c r="E13" s="122" t="s">
        <v>1280</v>
      </c>
      <c r="F13" s="1625"/>
      <c r="G13" s="1625"/>
      <c r="H13" s="1625"/>
      <c r="I13" s="1279"/>
    </row>
    <row r="14" spans="1:12" ht="13.2">
      <c r="A14" s="3278" t="s">
        <v>1281</v>
      </c>
      <c r="B14" s="3265">
        <v>30</v>
      </c>
      <c r="C14" s="3281">
        <v>7</v>
      </c>
      <c r="D14" s="3301">
        <v>3</v>
      </c>
      <c r="E14" s="122" t="s">
        <v>1282</v>
      </c>
      <c r="F14" s="1625"/>
      <c r="G14" s="1625"/>
      <c r="H14" s="1625"/>
      <c r="I14" s="1279"/>
    </row>
    <row r="15" spans="1:12" ht="13.2">
      <c r="A15" s="3278"/>
      <c r="B15" s="3265"/>
      <c r="C15" s="3282"/>
      <c r="D15" s="3301"/>
      <c r="E15" s="122" t="s">
        <v>1283</v>
      </c>
      <c r="F15" s="1625"/>
      <c r="G15" s="1625"/>
      <c r="H15" s="1625"/>
      <c r="I15" s="1279"/>
    </row>
    <row r="16" spans="1:12" ht="13.2">
      <c r="A16" s="3278"/>
      <c r="B16" s="3265"/>
      <c r="C16" s="3283"/>
      <c r="D16" s="3301"/>
      <c r="E16" s="122" t="s">
        <v>1284</v>
      </c>
      <c r="F16" s="1625"/>
      <c r="G16" s="1625"/>
      <c r="H16" s="1625"/>
      <c r="I16" s="1279"/>
    </row>
    <row r="17" spans="1:36" ht="14.4">
      <c r="A17" s="1626" t="s">
        <v>1285</v>
      </c>
      <c r="B17" s="53"/>
      <c r="C17" s="123">
        <f>SUM(C5:C16)</f>
        <v>7</v>
      </c>
      <c r="D17" s="123">
        <f>SUM(D5:D16)</f>
        <v>3</v>
      </c>
      <c r="E17" s="120"/>
      <c r="F17" s="120"/>
      <c r="G17" s="120"/>
      <c r="H17" s="120"/>
      <c r="I17" s="120"/>
      <c r="K17" s="293"/>
      <c r="L17" s="293" t="s">
        <v>1286</v>
      </c>
      <c r="M17" s="293" t="s">
        <v>1287</v>
      </c>
    </row>
    <row r="18" spans="1:36" ht="31.95" customHeight="1" thickBot="1">
      <c r="A18" s="1627" t="s">
        <v>1288</v>
      </c>
      <c r="B18" s="1540"/>
      <c r="C18" s="124">
        <f>ROUND(C17/SUM(C17:D17),2)</f>
        <v>0.7</v>
      </c>
      <c r="D18" s="124">
        <f>1-C18</f>
        <v>0.30000000000000004</v>
      </c>
      <c r="E18" s="3288" t="s">
        <v>2131</v>
      </c>
      <c r="F18" s="3289"/>
      <c r="G18" s="3289"/>
      <c r="H18" s="3289"/>
      <c r="I18" s="3289"/>
      <c r="K18" s="293" t="s">
        <v>1289</v>
      </c>
      <c r="L18" s="293">
        <f>IF(C1="",'数据-汇总表'!E3,SUMIF(项目类型,C1,'数据-汇总表'!E17:E26)+SUMIF(项目类型,C1,'数据-汇总表'!I17:I26))</f>
        <v>135843.08000000002</v>
      </c>
      <c r="M18" s="293">
        <f>IF(C1="",'数据-汇总表'!E3,SUMIF(项目类型,C1,'数据-汇总表'!E17:E26))</f>
        <v>135843.08000000002</v>
      </c>
    </row>
    <row r="19" spans="1:36" ht="14.4">
      <c r="A19" s="1628" t="s">
        <v>1290</v>
      </c>
      <c r="B19" s="1629" t="s">
        <v>1291</v>
      </c>
      <c r="C19" s="125">
        <f ca="1">SUMIF(INDIRECT("'"&amp;C4&amp;"'"&amp;"!A:A"),结果表!B19,INDIRECT("'"&amp;C4&amp;"'"&amp;"!B:B"))</f>
        <v>242461</v>
      </c>
      <c r="D19" s="126">
        <f ca="1">SUMIF(INDIRECT("'"&amp;D4&amp;"'"&amp;"!A:A"),结果表!B19,INDIRECT("'"&amp;D4&amp;"'"&amp;"!B:B"))</f>
        <v>161526</v>
      </c>
      <c r="E19" s="1628" t="s">
        <v>1292</v>
      </c>
      <c r="F19" s="1629" t="s">
        <v>1291</v>
      </c>
      <c r="G19" s="127">
        <f ca="1">ROUND(C19*$C$18+D19*$D$18,0)</f>
        <v>218181</v>
      </c>
      <c r="H19" s="1630" t="s">
        <v>1293</v>
      </c>
      <c r="I19" s="120"/>
      <c r="K19" s="293" t="s">
        <v>1294</v>
      </c>
      <c r="L19" s="293">
        <f>IF(C1="",'数据-汇总表'!D3,SUMIF(项目类型,C1,'数据-汇总表'!D17:D26)+SUMIF(项目类型,C1,'数据-汇总表'!H17:H27))</f>
        <v>37387.29</v>
      </c>
      <c r="M19" s="293">
        <f>IF(C1="",'数据-汇总表'!D3,SUMIF(项目类型,C1,'数据-汇总表'!D17:D26))</f>
        <v>37387.29</v>
      </c>
    </row>
    <row r="20" spans="1:36" ht="14.4">
      <c r="A20" s="1631"/>
      <c r="B20" s="42" t="s">
        <v>1295</v>
      </c>
      <c r="C20" s="128">
        <f ca="1">SUMIF(INDIRECT("'"&amp;C4&amp;"'"&amp;"!A:A"),结果表!B20,INDIRECT("'"&amp;C4&amp;"'"&amp;"!B:B"))</f>
        <v>17849</v>
      </c>
      <c r="D20" s="129">
        <f ca="1">SUMIF(INDIRECT("'"&amp;D4&amp;"'"&amp;"!A:A"),结果表!B20,INDIRECT("'"&amp;D4&amp;"'"&amp;"!B:B"))</f>
        <v>11891</v>
      </c>
      <c r="E20" s="1631"/>
      <c r="F20" s="42" t="s">
        <v>1295</v>
      </c>
      <c r="G20" s="130">
        <f ca="1">ROUND(C20*$C$18+D20*$D$18,0)</f>
        <v>16062</v>
      </c>
      <c r="H20" s="759" t="s">
        <v>1296</v>
      </c>
      <c r="I20" s="120"/>
    </row>
    <row r="21" spans="1:36" ht="15" customHeight="1" thickBot="1">
      <c r="A21" s="448"/>
      <c r="B21" s="92" t="s">
        <v>1297</v>
      </c>
      <c r="C21" s="677">
        <f ca="1">ROUND(C19*10000/L19,0)</f>
        <v>64851</v>
      </c>
      <c r="D21" s="678">
        <f ca="1">ROUND(D19*10000/L19,0)</f>
        <v>43203</v>
      </c>
      <c r="E21" s="448"/>
      <c r="F21" s="92" t="s">
        <v>1297</v>
      </c>
      <c r="G21" s="131">
        <f ca="1">ROUND(G19*10000/L19,0)</f>
        <v>58357</v>
      </c>
      <c r="H21" s="1632" t="s">
        <v>1296</v>
      </c>
      <c r="I21" s="120"/>
    </row>
    <row r="22" spans="1:36" ht="15" thickBot="1">
      <c r="A22" s="1562" t="s">
        <v>1298</v>
      </c>
      <c r="B22" s="1633"/>
      <c r="C22" s="1634"/>
      <c r="D22" s="679">
        <f ca="1">IF(C19&lt;D19,D19/C19-1,C19/D19-1)</f>
        <v>0.50106484404987439</v>
      </c>
      <c r="E22" s="120"/>
      <c r="F22" s="120"/>
      <c r="G22" s="120"/>
      <c r="H22" s="120"/>
      <c r="I22" s="120"/>
    </row>
    <row r="23" spans="1:36" ht="13.8" thickBot="1">
      <c r="A23" s="645"/>
      <c r="B23" s="645"/>
      <c r="C23" s="645"/>
      <c r="D23" s="645"/>
      <c r="E23" s="120"/>
      <c r="F23" s="120"/>
      <c r="G23" s="120"/>
      <c r="H23" s="120"/>
      <c r="I23" s="120"/>
    </row>
    <row r="24" spans="1:36" ht="14.4">
      <c r="A24" s="3272" t="s">
        <v>1299</v>
      </c>
      <c r="B24" s="1629" t="s">
        <v>1291</v>
      </c>
      <c r="C24" s="127">
        <f>IF(B30=0,0,D30)</f>
        <v>0</v>
      </c>
      <c r="D24" s="1635"/>
      <c r="E24" s="120"/>
      <c r="F24" s="120"/>
      <c r="G24" s="3158"/>
      <c r="H24" s="120"/>
      <c r="I24" s="120"/>
    </row>
    <row r="25" spans="1:36" ht="14.4">
      <c r="A25" s="3273"/>
      <c r="B25" s="42"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5">
        <f ca="1">IF(D32="总价",G19-C24,G20-C25)</f>
        <v>218181</v>
      </c>
      <c r="D32" s="1639" t="s">
        <v>3484</v>
      </c>
      <c r="E32" s="120"/>
      <c r="F32" s="120"/>
      <c r="G32" s="120"/>
      <c r="H32" s="120"/>
      <c r="I32" s="120"/>
    </row>
    <row r="33" spans="1:15" ht="14.4">
      <c r="A33" s="739" t="s">
        <v>1306</v>
      </c>
      <c r="B33" s="122"/>
      <c r="C33" s="1640" t="s">
        <v>3485</v>
      </c>
      <c r="D33" s="1641" t="s">
        <v>3482</v>
      </c>
      <c r="E33" s="1642" t="s">
        <v>1307</v>
      </c>
      <c r="F33" s="1643" t="str">
        <f>IF(D32="楼面单价","取值（单价）","取值（总价）")</f>
        <v>取值（总价）</v>
      </c>
      <c r="G33" s="120"/>
      <c r="H33" s="120"/>
      <c r="I33" s="120"/>
    </row>
    <row r="34" spans="1:15" ht="14.4">
      <c r="A34" s="1644"/>
      <c r="B34" s="1645" t="s">
        <v>1308</v>
      </c>
      <c r="C34" s="139">
        <f ca="1">IF(C33="自定义",F34,C32-C35)</f>
        <v>128509</v>
      </c>
      <c r="D34" s="807">
        <f ca="1">IF(C33="自定义",ROUND(C34/C32,3),IF(C33="收益比率",SUMIF(INDIRECT("'"&amp;D33&amp;"'"&amp;"!b:b"),"土地收益比率",INDIRECT("'"&amp;D33&amp;"'"&amp;"!c:c")),SUMIF(INDIRECT("'"&amp;D33&amp;"'"&amp;"!b:b"),"土地成本比率",INDIRECT("'"&amp;D33&amp;"'"&amp;"!c:c"))))</f>
        <v>0.58899999999999997</v>
      </c>
      <c r="E34" s="1646" t="s">
        <v>1309</v>
      </c>
      <c r="F34" s="1241"/>
      <c r="G34" s="120"/>
      <c r="H34" s="120"/>
      <c r="I34" s="120"/>
    </row>
    <row r="35" spans="1:15" ht="15" thickBot="1">
      <c r="A35" s="1647"/>
      <c r="B35" s="1648" t="s">
        <v>1310</v>
      </c>
      <c r="C35" s="1088">
        <f ca="1">IF(C33="自定义",F35,ROUND(C32*D35,0))</f>
        <v>89672</v>
      </c>
      <c r="D35" s="1089">
        <f ca="1">IF(C33="自定义",ROUND(C35/C32,3),IF(C33="收益比率",SUMIF(INDIRECT("'"&amp;D33&amp;"'"&amp;"!b:b"),"建筑物收益比率",INDIRECT("'"&amp;D33&amp;"'"&amp;"!c:c")),SUMIF(INDIRECT("'"&amp;D33&amp;"'"&amp;"!b:b"),"建筑物成本比率",INDIRECT("'"&amp;D33&amp;"'"&amp;"!c:c"))))</f>
        <v>0.41099999999999998</v>
      </c>
      <c r="E35" s="1649" t="s">
        <v>1311</v>
      </c>
      <c r="F35" s="145"/>
      <c r="G35" s="120"/>
      <c r="H35" s="120"/>
      <c r="I35" s="120"/>
    </row>
    <row r="36" spans="1:15" ht="15" thickBot="1">
      <c r="A36" s="3292" t="s">
        <v>1312</v>
      </c>
      <c r="B36" s="1650" t="s">
        <v>1313</v>
      </c>
      <c r="C36" s="136"/>
      <c r="D36" s="1651"/>
      <c r="E36" s="1565"/>
      <c r="F36" s="1652"/>
      <c r="G36" s="120"/>
      <c r="H36" s="120"/>
      <c r="I36" s="120"/>
    </row>
    <row r="37" spans="1:15" ht="15" thickBot="1">
      <c r="A37" s="3293"/>
      <c r="B37" s="1553" t="s">
        <v>1314</v>
      </c>
      <c r="C37" s="138"/>
      <c r="D37" s="1069"/>
      <c r="E37" s="1069"/>
      <c r="F37" s="1652"/>
      <c r="G37" s="120"/>
      <c r="H37" s="120"/>
      <c r="I37" s="120"/>
    </row>
    <row r="38" spans="1:15" ht="15" thickBot="1">
      <c r="A38" s="3294"/>
      <c r="B38" s="1653" t="s">
        <v>1315</v>
      </c>
      <c r="C38" s="640"/>
      <c r="D38" s="1654" t="s">
        <v>1316</v>
      </c>
      <c r="E38" s="1069"/>
      <c r="F38" s="1652"/>
      <c r="G38" s="120"/>
      <c r="H38" s="120"/>
      <c r="I38" s="120"/>
    </row>
    <row r="39" spans="1:15" ht="14.4">
      <c r="A39" s="1631" t="s">
        <v>1317</v>
      </c>
      <c r="B39" s="1655" t="s">
        <v>1318</v>
      </c>
      <c r="C39" s="1656" t="s">
        <v>1319</v>
      </c>
      <c r="D39" s="1656" t="s">
        <v>1320</v>
      </c>
      <c r="E39" s="1657" t="s">
        <v>1321</v>
      </c>
      <c r="F39" s="1652"/>
      <c r="G39" s="120"/>
      <c r="H39" s="120"/>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69" t="s">
        <v>1326</v>
      </c>
      <c r="B45" s="3270"/>
      <c r="C45" s="3271"/>
      <c r="D45" s="146">
        <f ca="1">ROUND(H101*F45,0)</f>
        <v>218181</v>
      </c>
      <c r="E45" s="147" t="s">
        <v>1327</v>
      </c>
      <c r="F45" s="148">
        <v>1</v>
      </c>
      <c r="G45" s="149" t="s">
        <v>1328</v>
      </c>
      <c r="H45" s="120"/>
      <c r="I45" s="120"/>
      <c r="J45" s="3347" t="s">
        <v>1329</v>
      </c>
      <c r="K45" s="3347"/>
      <c r="L45" s="3347"/>
      <c r="M45" s="3347"/>
      <c r="N45" s="3347"/>
      <c r="O45" s="3347"/>
    </row>
    <row r="46" spans="1:15" ht="14.25" customHeight="1">
      <c r="A46" s="3266" t="s">
        <v>1330</v>
      </c>
      <c r="B46" s="3267"/>
      <c r="C46" s="3267"/>
      <c r="D46" s="3267"/>
      <c r="E46" s="3267"/>
      <c r="F46" s="3267"/>
      <c r="G46" s="3268"/>
      <c r="H46" s="1666"/>
      <c r="I46" s="150"/>
      <c r="J46" s="2305">
        <v>1</v>
      </c>
      <c r="K46" s="3328" t="s">
        <v>1331</v>
      </c>
      <c r="L46" s="3328"/>
      <c r="M46" s="3348"/>
      <c r="N46" s="3348"/>
      <c r="O46" s="3348"/>
    </row>
    <row r="47" spans="1:15" ht="12" customHeight="1">
      <c r="A47" s="151" t="s">
        <v>1332</v>
      </c>
      <c r="B47" s="152"/>
      <c r="C47" s="153"/>
      <c r="D47" s="1022" t="s">
        <v>1333</v>
      </c>
      <c r="E47" s="293" t="s">
        <v>1334</v>
      </c>
      <c r="F47" s="154" t="s">
        <v>1335</v>
      </c>
      <c r="G47" s="2328" t="s">
        <v>1336</v>
      </c>
      <c r="H47" s="2329"/>
      <c r="I47" s="150"/>
      <c r="J47" s="2305">
        <v>2</v>
      </c>
      <c r="K47" s="3328" t="s">
        <v>1337</v>
      </c>
      <c r="L47" s="3328"/>
      <c r="M47" s="3349">
        <f>'数据-取费表'!B2</f>
        <v>45715</v>
      </c>
      <c r="N47" s="3349"/>
      <c r="O47" s="3349"/>
    </row>
    <row r="48" spans="1:15" ht="26.4">
      <c r="A48" s="3297" t="s">
        <v>1338</v>
      </c>
      <c r="B48" s="3280"/>
      <c r="C48" s="3280"/>
      <c r="D48" s="11">
        <f ca="1">IF(H48="情况1",0,IF(H48="情况2",D52,IF(H48="情况3",D53,IF(H48="情况4",D54))))</f>
        <v>11636</v>
      </c>
      <c r="E48" s="1254" t="str">
        <f>IF(H48="情况4","(销售额-原购置价)×税（费）率","销售额×税（费）率")</f>
        <v>销售额×税（费）率</v>
      </c>
      <c r="F48" s="2330">
        <f>IF(H48="情况1","免征",'数据-取费表'!B41)</f>
        <v>5.6000000000000001E-2</v>
      </c>
      <c r="G48" s="2331" t="s">
        <v>1339</v>
      </c>
      <c r="H48" s="2332" t="s">
        <v>3477</v>
      </c>
      <c r="I48" s="1666"/>
      <c r="J48" s="2305">
        <v>3</v>
      </c>
      <c r="K48" s="3328" t="s">
        <v>1340</v>
      </c>
      <c r="L48" s="3328"/>
      <c r="M48" s="3350">
        <f ca="1">ROUND(H101,0)</f>
        <v>218181</v>
      </c>
      <c r="N48" s="3350"/>
      <c r="O48" s="3350"/>
    </row>
    <row r="49" spans="1:35" ht="25.5" customHeight="1">
      <c r="A49" s="2150" t="s">
        <v>1341</v>
      </c>
      <c r="B49" s="3264" t="s">
        <v>1342</v>
      </c>
      <c r="C49" s="3264"/>
      <c r="D49" s="1476">
        <v>0</v>
      </c>
      <c r="E49" s="315" t="s">
        <v>1343</v>
      </c>
      <c r="F49" s="2230" t="s">
        <v>28</v>
      </c>
      <c r="G49" s="3334"/>
      <c r="H49" s="2132" t="s">
        <v>2134</v>
      </c>
      <c r="I49" s="2133"/>
      <c r="J49" s="2305">
        <v>4</v>
      </c>
      <c r="K49" s="3328" t="str">
        <f>IF(项目基本情况!E8="房地产抵押价值","房地产抵押价值","抵押担保权已注销时的房地产抵押价值")</f>
        <v>房地产抵押价值</v>
      </c>
      <c r="L49" s="3328"/>
      <c r="M49" s="3350">
        <f ca="1">ROUND(IF(项目基本情况!E8="房地产抵押价值",H107,H109),0)</f>
        <v>218181</v>
      </c>
      <c r="N49" s="3350"/>
      <c r="O49" s="3350"/>
    </row>
    <row r="50" spans="1:35" ht="25.5" customHeight="1">
      <c r="A50" s="2333"/>
      <c r="B50" s="3264" t="s">
        <v>1344</v>
      </c>
      <c r="C50" s="3264"/>
      <c r="D50" s="2187"/>
      <c r="E50" s="322"/>
      <c r="F50" s="2230"/>
      <c r="G50" s="3335"/>
      <c r="H50" s="2134" t="s">
        <v>2135</v>
      </c>
      <c r="I50" s="2133"/>
      <c r="J50" s="3347" t="s">
        <v>1345</v>
      </c>
      <c r="K50" s="3347"/>
      <c r="L50" s="3347"/>
      <c r="M50" s="3347"/>
      <c r="N50" s="3347"/>
      <c r="O50" s="3347"/>
    </row>
    <row r="51" spans="1:35" ht="20.399999999999999" customHeight="1">
      <c r="A51" s="2334"/>
      <c r="B51" s="3264" t="s">
        <v>1346</v>
      </c>
      <c r="C51" s="3264"/>
      <c r="D51" s="1022"/>
      <c r="E51" s="318"/>
      <c r="F51" s="2230"/>
      <c r="G51" s="3336"/>
      <c r="H51" s="2134" t="s">
        <v>2136</v>
      </c>
      <c r="I51" s="2133"/>
      <c r="J51" s="2306" t="s">
        <v>1347</v>
      </c>
      <c r="K51" s="3328" t="s">
        <v>1348</v>
      </c>
      <c r="L51" s="3328"/>
      <c r="M51" s="2306" t="s">
        <v>1349</v>
      </c>
      <c r="N51" s="2306" t="s">
        <v>1350</v>
      </c>
      <c r="O51" s="2306" t="s">
        <v>1351</v>
      </c>
    </row>
    <row r="52" spans="1:35" ht="24" customHeight="1">
      <c r="A52" s="2151" t="s">
        <v>1352</v>
      </c>
      <c r="B52" s="3264" t="s">
        <v>1353</v>
      </c>
      <c r="C52" s="3264"/>
      <c r="D52" s="1022">
        <f ca="1">ROUND(D45*'数据-取费表'!B41/(1+'数据-取费表'!C42),0)</f>
        <v>11636</v>
      </c>
      <c r="E52" s="1254" t="s">
        <v>1354</v>
      </c>
      <c r="F52" s="2335">
        <f>'数据-取费表'!B41</f>
        <v>5.6000000000000001E-2</v>
      </c>
      <c r="G52" s="2336"/>
      <c r="H52" s="2326"/>
      <c r="I52" s="1667"/>
      <c r="J52" s="2305">
        <v>1</v>
      </c>
      <c r="K52" s="3329" t="s">
        <v>1355</v>
      </c>
      <c r="L52" s="3329"/>
      <c r="M52" s="2307">
        <f ca="1">D48</f>
        <v>11636</v>
      </c>
      <c r="N52" s="2305" t="str">
        <f>E48</f>
        <v>销售额×税（费）率</v>
      </c>
      <c r="O52" s="2308">
        <f>F48</f>
        <v>5.6000000000000001E-2</v>
      </c>
    </row>
    <row r="53" spans="1:35" ht="12" customHeight="1">
      <c r="A53" s="2151" t="s">
        <v>1356</v>
      </c>
      <c r="B53" s="3290" t="s">
        <v>2287</v>
      </c>
      <c r="C53" s="3291"/>
      <c r="D53" s="1022">
        <f ca="1">ROUND(D45*'数据-取费表'!B41/(1+'数据-取费表'!C42),0)</f>
        <v>11636</v>
      </c>
      <c r="E53" s="1254" t="s">
        <v>1354</v>
      </c>
      <c r="F53" s="2335">
        <f>'数据-取费表'!B41</f>
        <v>5.6000000000000001E-2</v>
      </c>
      <c r="G53" s="2336"/>
      <c r="H53" s="2326"/>
      <c r="I53" s="1667"/>
      <c r="J53" s="2305">
        <v>2</v>
      </c>
      <c r="K53" s="3329" t="s">
        <v>1357</v>
      </c>
      <c r="L53" s="3329"/>
      <c r="M53" s="2307">
        <f t="shared" ref="M53:O54" ca="1" si="0">D55</f>
        <v>109</v>
      </c>
      <c r="N53" s="2305" t="str">
        <f t="shared" si="0"/>
        <v>销售额×税（费）率</v>
      </c>
      <c r="O53" s="2308">
        <f t="shared" si="0"/>
        <v>5.0000000000000001E-4</v>
      </c>
    </row>
    <row r="54" spans="1:35" ht="12" customHeight="1">
      <c r="A54" s="2151" t="s">
        <v>1358</v>
      </c>
      <c r="B54" s="3290" t="s">
        <v>2288</v>
      </c>
      <c r="C54" s="3291"/>
      <c r="D54" s="1022">
        <f ca="1">C68</f>
        <v>11636</v>
      </c>
      <c r="E54" s="318" t="s">
        <v>1359</v>
      </c>
      <c r="F54" s="2335">
        <f>'数据-取费表'!B41</f>
        <v>5.6000000000000001E-2</v>
      </c>
      <c r="G54" s="2336"/>
      <c r="H54" s="2337"/>
      <c r="I54" s="1667"/>
      <c r="J54" s="2305">
        <v>3</v>
      </c>
      <c r="K54" s="3329" t="s">
        <v>1360</v>
      </c>
      <c r="L54" s="3329"/>
      <c r="M54" s="2307">
        <f t="shared" ca="1" si="0"/>
        <v>21189</v>
      </c>
      <c r="N54" s="2305" t="str">
        <f t="shared" si="0"/>
        <v>增值额×税（费）率</v>
      </c>
      <c r="O54" s="2309" t="str">
        <f t="shared" si="0"/>
        <v>——</v>
      </c>
    </row>
    <row r="55" spans="1:35" ht="24" customHeight="1">
      <c r="A55" s="3279" t="s">
        <v>1361</v>
      </c>
      <c r="B55" s="3280"/>
      <c r="C55" s="3280"/>
      <c r="D55" s="11">
        <f ca="1">IF(H55="个人住宅",0,ROUND(D45*I55,0))</f>
        <v>109</v>
      </c>
      <c r="E55" s="1254" t="s">
        <v>1362</v>
      </c>
      <c r="F55" s="2335">
        <f>IF(H55="正常",I55,"免征")</f>
        <v>5.0000000000000001E-4</v>
      </c>
      <c r="G55" s="2336"/>
      <c r="H55" s="2332" t="s">
        <v>3421</v>
      </c>
      <c r="I55" s="156">
        <f>'数据-取费表'!B49</f>
        <v>5.0000000000000001E-4</v>
      </c>
      <c r="J55" s="2305" t="str">
        <f>IF(H59="非个人房产","",4)</f>
        <v/>
      </c>
      <c r="K55" s="3329" t="str">
        <f>IF(H59="非个人房产","——","个人所得税")</f>
        <v>——</v>
      </c>
      <c r="L55" s="3329"/>
      <c r="M55" s="2310" t="str">
        <f>D59</f>
        <v>——</v>
      </c>
      <c r="N55" s="1881" t="str">
        <f>E59</f>
        <v>——</v>
      </c>
      <c r="O55" s="2311" t="str">
        <f>F59</f>
        <v>——</v>
      </c>
    </row>
    <row r="56" spans="1:35" ht="25.2">
      <c r="A56" s="3279" t="s">
        <v>1363</v>
      </c>
      <c r="B56" s="3280"/>
      <c r="C56" s="3280"/>
      <c r="D56" s="11">
        <f ca="1">IF(H56="个人住宅",D57,D58)</f>
        <v>21189</v>
      </c>
      <c r="E56" s="1254" t="s">
        <v>1364</v>
      </c>
      <c r="F56" s="2335" t="str">
        <f>IF(H56="正常",F58,"免征")</f>
        <v>——</v>
      </c>
      <c r="G56" s="2338" t="s">
        <v>1365</v>
      </c>
      <c r="H56" s="2339" t="s">
        <v>3421</v>
      </c>
      <c r="I56" s="1668"/>
      <c r="J56" s="2305" t="str">
        <f>IF(项目基本情况!K6="上海银行",IF(J55="",4,J55+1),"")</f>
        <v/>
      </c>
      <c r="K56" s="3352" t="str">
        <f>IF(项目基本情况!K6="上海银行","其他处置费用","")</f>
        <v/>
      </c>
      <c r="L56" s="3353"/>
      <c r="M56" s="2307" t="str">
        <f>IF(项目基本情况!K6="上海银行",M69,"")</f>
        <v/>
      </c>
      <c r="N56" s="3352" t="str">
        <f>IF(项目基本情况!K6="上海银行","包含处置中涉及的律师、诉讼、拍卖、评估等费用","")</f>
        <v/>
      </c>
      <c r="O56" s="3355"/>
    </row>
    <row r="57" spans="1:35" ht="13.2">
      <c r="A57" s="2151" t="s">
        <v>1341</v>
      </c>
      <c r="B57" s="3290" t="s">
        <v>1366</v>
      </c>
      <c r="C57" s="3291"/>
      <c r="D57" s="1476">
        <v>0</v>
      </c>
      <c r="E57" s="315" t="s">
        <v>1343</v>
      </c>
      <c r="F57" s="293"/>
      <c r="G57" s="2336"/>
      <c r="H57" s="2340"/>
      <c r="I57" s="1668"/>
      <c r="J57" s="3329">
        <f>IF(AND(J55="",J56=""),4,IF(项目基本情况!K6="上海银行",结果表!J56+1,结果表!J55+1))</f>
        <v>4</v>
      </c>
      <c r="K57" s="3329" t="s">
        <v>1367</v>
      </c>
      <c r="L57" s="2312" t="s">
        <v>1368</v>
      </c>
      <c r="M57" s="2313"/>
      <c r="N57" s="2314">
        <f ca="1">SUMIF(M52:M56,"&lt;9e307")</f>
        <v>32934</v>
      </c>
      <c r="O57" s="2315"/>
      <c r="P57" s="2459">
        <f ca="1">N57/M49</f>
        <v>0.15094806605524771</v>
      </c>
    </row>
    <row r="58" spans="1:35" ht="25.2">
      <c r="A58" s="2151" t="s">
        <v>1352</v>
      </c>
      <c r="B58" s="3290" t="s">
        <v>1369</v>
      </c>
      <c r="C58" s="3264"/>
      <c r="D58" s="11">
        <f ca="1">IF(H58="转让取得",C81,C97)</f>
        <v>21189</v>
      </c>
      <c r="E58" s="1254" t="s">
        <v>1364</v>
      </c>
      <c r="F58" s="293" t="s">
        <v>28</v>
      </c>
      <c r="G58" s="2336"/>
      <c r="H58" s="2339" t="s">
        <v>3478</v>
      </c>
      <c r="I58" s="1668"/>
      <c r="J58" s="3329"/>
      <c r="K58" s="3329"/>
      <c r="L58" s="2312" t="s">
        <v>1370</v>
      </c>
      <c r="M58" s="2316"/>
      <c r="N58" s="2317" t="str">
        <f ca="1">NUMBERSTRING(INT(N57*10000),2)&amp;"元整"</f>
        <v>叁亿贰仟玖佰叁拾肆万元整</v>
      </c>
      <c r="O58" s="2318"/>
    </row>
    <row r="59" spans="1:35" ht="24.6" thickBot="1">
      <c r="A59" s="3332" t="s">
        <v>1371</v>
      </c>
      <c r="B59" s="3333"/>
      <c r="C59" s="3333"/>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6" t="s">
        <v>3472</v>
      </c>
      <c r="I59" s="2135" t="s">
        <v>2137</v>
      </c>
      <c r="J59" s="3330">
        <f>J57+1</f>
        <v>5</v>
      </c>
      <c r="K59" s="3329" t="s">
        <v>1372</v>
      </c>
      <c r="L59" s="2305" t="s">
        <v>1368</v>
      </c>
      <c r="M59" s="2319"/>
      <c r="N59" s="2320">
        <f ca="1">M49-N57</f>
        <v>185247</v>
      </c>
      <c r="O59" s="2321"/>
      <c r="P59" s="683">
        <v>9095</v>
      </c>
    </row>
    <row r="60" spans="1:35" ht="12" customHeight="1">
      <c r="A60" s="1669"/>
      <c r="B60" s="645"/>
      <c r="C60" s="645"/>
      <c r="D60" s="645"/>
      <c r="E60" s="1464"/>
      <c r="F60" s="1668"/>
      <c r="G60" s="1668"/>
      <c r="H60" s="150"/>
      <c r="I60" s="120"/>
      <c r="J60" s="3331"/>
      <c r="K60" s="3329"/>
      <c r="L60" s="2312" t="s">
        <v>1370</v>
      </c>
      <c r="M60" s="2316"/>
      <c r="N60" s="2317" t="str">
        <f ca="1">NUMBERSTRING(INT(N59*10000),2)&amp;"元整"</f>
        <v>壹拾捌亿伍仟贰佰肆拾柒万元整</v>
      </c>
      <c r="O60" s="2318"/>
    </row>
    <row r="61" spans="1:35" ht="13.8" thickBot="1">
      <c r="A61" s="3277" t="s">
        <v>1373</v>
      </c>
      <c r="B61" s="3277"/>
      <c r="C61" s="3277"/>
      <c r="D61" s="3277"/>
      <c r="E61" s="3277"/>
      <c r="F61" s="1668"/>
      <c r="G61" s="1668"/>
      <c r="H61" s="150"/>
      <c r="I61" s="120"/>
      <c r="J61" s="2305">
        <f>J59+1</f>
        <v>6</v>
      </c>
      <c r="K61" s="3329" t="s">
        <v>1374</v>
      </c>
      <c r="L61" s="3329"/>
      <c r="M61" s="2322"/>
      <c r="N61" s="2323">
        <f ca="1">ROUND(N59*10000/'数据-汇总表'!E3,0)</f>
        <v>13637</v>
      </c>
      <c r="O61" s="2324"/>
    </row>
    <row r="62" spans="1:35" ht="13.2">
      <c r="A62" s="3295" t="s">
        <v>1375</v>
      </c>
      <c r="B62" s="3296"/>
      <c r="C62" s="1863"/>
      <c r="D62" s="1863" t="s">
        <v>1376</v>
      </c>
      <c r="E62" s="157" t="s">
        <v>1377</v>
      </c>
      <c r="F62" s="1668"/>
      <c r="G62" s="1668"/>
      <c r="H62" s="150"/>
      <c r="I62" s="120"/>
    </row>
    <row r="63" spans="1:35" ht="13.2">
      <c r="A63" s="164" t="s">
        <v>330</v>
      </c>
      <c r="B63" s="158" t="s">
        <v>1378</v>
      </c>
      <c r="C63" s="2345">
        <f ca="1">ROUND((C64+C65)/(1+'数据-取费表'!C42),0)</f>
        <v>207791</v>
      </c>
      <c r="D63" s="158"/>
      <c r="E63" s="159"/>
      <c r="F63" s="1668"/>
      <c r="G63" s="1668"/>
      <c r="H63" s="150"/>
      <c r="I63" s="120"/>
      <c r="J63" s="3354" t="s">
        <v>1379</v>
      </c>
      <c r="K63" s="1243" t="s">
        <v>1380</v>
      </c>
      <c r="L63" s="1243">
        <f ca="1">IF(M49&gt;10000,M49*0.5%,IF(AND(M49&gt;1000,M49&lt;=10000),M49*1%,IF(AND(M49&gt;100,M49&lt;=1000),M49*3%,IF(AND(M49&gt;10,M49&lt;=100),M49*5%,M49*8%))))</f>
        <v>1090.905</v>
      </c>
      <c r="M63" s="293">
        <f ca="1">ROUND(L63,1)</f>
        <v>1090.9000000000001</v>
      </c>
      <c r="N63" s="2325"/>
      <c r="Z63" s="1621"/>
      <c r="AI63" s="1559"/>
    </row>
    <row r="64" spans="1:35" ht="14.25" customHeight="1">
      <c r="A64" s="160" t="s">
        <v>325</v>
      </c>
      <c r="B64" s="161" t="s">
        <v>1381</v>
      </c>
      <c r="C64" s="2346">
        <f ca="1">D45</f>
        <v>218181</v>
      </c>
      <c r="D64" s="161" t="s">
        <v>26</v>
      </c>
      <c r="E64" s="163"/>
      <c r="F64" s="1668"/>
      <c r="G64" s="1668"/>
      <c r="H64" s="150"/>
      <c r="I64" s="120"/>
      <c r="J64" s="3354"/>
      <c r="K64" s="1243" t="s">
        <v>1382</v>
      </c>
      <c r="L64" s="1243">
        <f ca="1">IF(M49&gt;2000,M49*0.5%,IF(AND(M49&gt;1000,M49&lt;=2000),M49*0.6%,IF(AND(M49&gt;500,M49&lt;=1000),M49*0.7%,IF(AND(M49&gt;200,M49&lt;=500),M49*0.8%,IF(AND(M49&gt;100,M49&lt;=200),M49*0.9%,IF(AND(M49&gt;50,M49&lt;=100),M49*1%,IF(AND(M49&gt;20,M49&lt;=50),M49*1.5%,IF(AND(M49&gt;10,M49&lt;=20),M49*2%,IF(AND(M49&gt;1,M49&lt;=10),M49*2.5%)))))))))</f>
        <v>1090.905</v>
      </c>
      <c r="M64" s="293">
        <f t="shared" ref="M64:M65" ca="1" si="1">ROUND(L64,1)</f>
        <v>1090.9000000000001</v>
      </c>
      <c r="N64" s="2326" t="s">
        <v>1383</v>
      </c>
      <c r="Z64" s="1621"/>
      <c r="AI64" s="1559"/>
    </row>
    <row r="65" spans="1:35" ht="14.25" customHeight="1">
      <c r="A65" s="160" t="s">
        <v>326</v>
      </c>
      <c r="B65" s="161" t="s">
        <v>1384</v>
      </c>
      <c r="C65" s="2347"/>
      <c r="D65" s="161"/>
      <c r="E65" s="163"/>
      <c r="F65" s="1668"/>
      <c r="G65" s="1668"/>
      <c r="H65" s="150"/>
      <c r="I65" s="120"/>
      <c r="J65" s="3354"/>
      <c r="K65" s="1243" t="s">
        <v>1385</v>
      </c>
      <c r="L65" s="1243">
        <f ca="1">IF(M49&gt;1000,M49*0.1%,IF(AND(M49&gt;500,M49&lt;=1000),M49*0.5%,IF(AND(M49&gt;50,M49&lt;=500),M49*1%,IF(AND(M49&gt;1,M49&lt;=50),M49*1.5%))))</f>
        <v>218.18100000000001</v>
      </c>
      <c r="M65" s="293">
        <f t="shared" ca="1" si="1"/>
        <v>218.2</v>
      </c>
      <c r="N65" s="2326" t="s">
        <v>1383</v>
      </c>
      <c r="Z65" s="1621"/>
      <c r="AI65" s="1559"/>
    </row>
    <row r="66" spans="1:35" ht="14.25" customHeight="1">
      <c r="A66" s="164" t="s">
        <v>327</v>
      </c>
      <c r="B66" s="165" t="s">
        <v>1386</v>
      </c>
      <c r="C66" s="2348"/>
      <c r="D66" s="165" t="s">
        <v>26</v>
      </c>
      <c r="E66" s="1249" t="s">
        <v>671</v>
      </c>
      <c r="F66" s="1668"/>
      <c r="G66" s="1668"/>
      <c r="H66" s="150"/>
      <c r="I66" s="120"/>
      <c r="J66" s="3354"/>
      <c r="K66" s="1243" t="s">
        <v>1387</v>
      </c>
      <c r="L66" s="1243">
        <f ca="1">M49*0.5%</f>
        <v>1090.905</v>
      </c>
      <c r="M66" s="293">
        <f ca="1">IF(L66&gt;0.5,0.5,ROUND(L66,0))</f>
        <v>0.5</v>
      </c>
      <c r="N66" s="2326" t="s">
        <v>1388</v>
      </c>
      <c r="Z66" s="1621"/>
      <c r="AI66" s="1559"/>
    </row>
    <row r="67" spans="1:35" ht="14.25" customHeight="1">
      <c r="A67" s="164" t="s">
        <v>328</v>
      </c>
      <c r="B67" s="165" t="s">
        <v>1389</v>
      </c>
      <c r="C67" s="2349">
        <f ca="1">C63-C66</f>
        <v>207791</v>
      </c>
      <c r="D67" s="161" t="s">
        <v>26</v>
      </c>
      <c r="E67" s="163"/>
      <c r="F67" s="1668"/>
      <c r="G67" s="1668"/>
      <c r="H67" s="150"/>
      <c r="I67" s="120"/>
      <c r="J67" s="3354"/>
      <c r="K67" s="1243" t="s">
        <v>1390</v>
      </c>
      <c r="L67" s="1243">
        <f ca="1">IF(M49&gt;=10000,(8.25+(M49-10000)*0.01%),IF(AND(M49&gt;=8000,M49&lt;10000),(7.85+(M49-8000)*0.02%),IF(AND(M49&gt;=5000,M49&lt;8000),(6.65+(M49-5000)*0.04%),IF(AND(M49&gt;=2000,M49&lt;5000),(4.25+(PM49-2000)*0.08%),IF(AND(M49&gt;=1000,M49&lt;2000),(2.75+(M49-1000)*0.15%),IF(AND(M49&gt;=100,M49&lt;1000),(0.5+(M49-100)*0.25%),IF(AND(M49&gt;0,M49&lt;100),M49*0.5%)))))))</f>
        <v>29.068100000000001</v>
      </c>
      <c r="M67" s="293">
        <f ca="1">ROUND(L67*0.9,1)</f>
        <v>26.2</v>
      </c>
      <c r="N67" s="2325"/>
      <c r="Z67" s="1621"/>
      <c r="AI67" s="1559"/>
    </row>
    <row r="68" spans="1:35" ht="14.25" customHeight="1" thickBot="1">
      <c r="A68" s="167" t="s">
        <v>329</v>
      </c>
      <c r="B68" s="168" t="s">
        <v>1391</v>
      </c>
      <c r="C68" s="2350">
        <f ca="1">IF(C67&lt;=0,0,ROUND(C67*D68,0))</f>
        <v>11636</v>
      </c>
      <c r="D68" s="2351">
        <f>'数据-取费表'!B41</f>
        <v>5.6000000000000001E-2</v>
      </c>
      <c r="E68" s="169"/>
      <c r="F68" s="1668"/>
      <c r="G68" s="1668"/>
      <c r="H68" s="150"/>
      <c r="I68" s="120"/>
      <c r="J68" s="3354"/>
      <c r="K68" s="1243" t="s">
        <v>1392</v>
      </c>
      <c r="L68" s="1243">
        <f ca="1">IF(M49&gt;10000,M49*0.5%,IF(AND(M49&gt;5000,M49&lt;=10000),M49*1%,IF(AND(M49&gt;1000,M49&lt;=5000),M49*2%,IF(AND(M49&gt;200,M49&lt;=1000),M49*3%,M49*5%))))</f>
        <v>1090.905</v>
      </c>
      <c r="M68" s="293">
        <f ca="1">ROUND(L68,1)</f>
        <v>1090.9000000000001</v>
      </c>
      <c r="N68" s="2325"/>
      <c r="Z68" s="1621"/>
      <c r="AI68" s="1559"/>
    </row>
    <row r="69" spans="1:35" ht="16.5" customHeight="1">
      <c r="A69" s="1670"/>
      <c r="B69" s="1671"/>
      <c r="C69" s="1672"/>
      <c r="D69" s="1673"/>
      <c r="E69" s="1674"/>
      <c r="F69" s="1464"/>
      <c r="G69" s="1464"/>
      <c r="H69" s="1465"/>
      <c r="I69" s="645"/>
      <c r="J69" s="3354"/>
      <c r="K69" s="1243" t="s">
        <v>1393</v>
      </c>
      <c r="L69" s="1243"/>
      <c r="M69" s="293">
        <f ca="1">ROUND(SUM(M63:M68),0)</f>
        <v>3518</v>
      </c>
      <c r="N69" s="2327">
        <f ca="1">M69/M49</f>
        <v>1.6124227132518414E-2</v>
      </c>
      <c r="Z69" s="1621"/>
      <c r="AI69" s="1559"/>
    </row>
    <row r="70" spans="1:35" s="641" customFormat="1" ht="14.4" thickBot="1">
      <c r="A70" s="3316" t="s">
        <v>1394</v>
      </c>
      <c r="B70" s="3317"/>
      <c r="C70" s="3317"/>
      <c r="D70" s="3317"/>
      <c r="E70" s="3317"/>
      <c r="F70" s="3317"/>
      <c r="G70" s="3317"/>
      <c r="H70" s="3317"/>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295" t="s">
        <v>1375</v>
      </c>
      <c r="B71" s="3296"/>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49">
        <f ca="1">ROUND(D45/(1+'数据-取费表'!C42),0)</f>
        <v>207791</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49">
        <f ca="1">C74+C78</f>
        <v>1247</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2"/>
      <c r="D75" s="161" t="s">
        <v>26</v>
      </c>
      <c r="E75" s="175" t="s">
        <v>1399</v>
      </c>
      <c r="F75" s="2353" t="s">
        <v>3473</v>
      </c>
      <c r="G75" s="175" t="s">
        <v>1400</v>
      </c>
      <c r="H75" s="2354">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5">
        <v>0.05</v>
      </c>
      <c r="E76" s="3290" t="s">
        <v>1402</v>
      </c>
      <c r="F76" s="3264"/>
      <c r="G76" s="3264"/>
      <c r="H76" s="331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6">
        <f>'数据-取费表'!B48+'数据-取费表'!B49</f>
        <v>3.0499999999999999E-2</v>
      </c>
      <c r="E77" s="11"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7">
        <f ca="1">ROUND(D45*D78/(1+'数据-取费表'!C42),0)</f>
        <v>1247</v>
      </c>
      <c r="D78" s="2358">
        <f>'数据-取费表'!B43</f>
        <v>6.000000000000001E-3</v>
      </c>
      <c r="E78" s="3274" t="s">
        <v>1406</v>
      </c>
      <c r="F78" s="3275"/>
      <c r="G78" s="3275"/>
      <c r="H78" s="328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49">
        <f ca="1">C72-C73</f>
        <v>206544</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9">
        <f ca="1">IF(C79&lt;=0,0,C79/C73)</f>
        <v>165.63271852445871</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60">
        <f ca="1">ROUND(IF(C79&lt;=0,0,IF(C80&gt;=200%,C79*60%-C73*35%,IF(C80&gt;=100%,C79*50%-C73*15%,IF(C80&gt;=50%,C79*40%-C73*5%,IF(C80&lt;50%,C79*30%,0))))),0)</f>
        <v>123490</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16" t="s">
        <v>1410</v>
      </c>
      <c r="B83" s="3317"/>
      <c r="C83" s="3317"/>
      <c r="D83" s="3317"/>
      <c r="E83" s="3317"/>
      <c r="F83" s="3317"/>
      <c r="G83" s="3317"/>
      <c r="H83" s="331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295" t="s">
        <v>1375</v>
      </c>
      <c r="B84" s="3296"/>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1395</v>
      </c>
      <c r="C85" s="2349">
        <f ca="1">ROUND(D45/(1+'数据-取费表'!C42),0)</f>
        <v>207791</v>
      </c>
      <c r="D85" s="161" t="s">
        <v>26</v>
      </c>
      <c r="E85" s="1255"/>
      <c r="F85" s="1253"/>
      <c r="G85" s="1253"/>
      <c r="H85" s="183"/>
      <c r="I85" s="1679"/>
      <c r="J85" s="1676"/>
      <c r="K85" s="1676"/>
      <c r="L85" s="3160"/>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49">
        <f ca="1">IF(H88="仅含出让金",C87+C90+C91+C92+C93+C94,C87+C91+C92+C93+C94)</f>
        <v>137616</v>
      </c>
      <c r="D86" s="2362"/>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57">
        <f>C88+C89</f>
        <v>12339</v>
      </c>
      <c r="D87" s="2358"/>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26.4">
      <c r="A88" s="160" t="s">
        <v>331</v>
      </c>
      <c r="B88" s="161" t="s">
        <v>1412</v>
      </c>
      <c r="C88" s="2363">
        <f>ROUND(面积!E35*结果表!C118/10000,0)</f>
        <v>11974</v>
      </c>
      <c r="D88" s="2358"/>
      <c r="E88" s="184" t="s">
        <v>1413</v>
      </c>
      <c r="F88" s="2146"/>
      <c r="G88" s="185" t="s">
        <v>1414</v>
      </c>
      <c r="H88" s="1682" t="s">
        <v>3479</v>
      </c>
      <c r="I88" s="1679"/>
      <c r="J88" s="2303"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57">
        <f>ROUND(C88*D89,0)</f>
        <v>365</v>
      </c>
      <c r="D89" s="2358">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3"/>
      <c r="D90" s="2358"/>
      <c r="E90" s="184" t="str">
        <f>IF(H88="-","土地取得成本中已包含该笔费用"," ")</f>
        <v xml:space="preserve"> </v>
      </c>
      <c r="F90" s="2146"/>
      <c r="G90" s="3356" t="s">
        <v>2129</v>
      </c>
      <c r="H90" s="3357"/>
      <c r="I90" s="1679"/>
      <c r="J90" s="2303"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7">
        <f>IF(H91="——",成本法!C33,I91)</f>
        <v>92560</v>
      </c>
      <c r="D91" s="2358"/>
      <c r="E91" s="3274" t="s">
        <v>1419</v>
      </c>
      <c r="F91" s="3275"/>
      <c r="G91" s="3275"/>
      <c r="H91" s="1683" t="s">
        <v>3480</v>
      </c>
      <c r="I91" s="1684">
        <f>ROUND(面积!E43*结果表!B118/10000,0)</f>
        <v>92560</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7">
        <f>ROUND((C87+C90+C91)*D92,0)</f>
        <v>10490</v>
      </c>
      <c r="D92" s="2364">
        <v>0.1</v>
      </c>
      <c r="E92" s="3274" t="s">
        <v>1422</v>
      </c>
      <c r="F92" s="3275"/>
      <c r="G92" s="3275"/>
      <c r="H92" s="3284"/>
      <c r="I92" s="1679"/>
      <c r="J92" s="2304"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7">
        <f ca="1">ROUND(D45*D93/(1+'数据-取费表'!C42),0)</f>
        <v>1247</v>
      </c>
      <c r="D93" s="2358">
        <f>'数据-取费表'!B43</f>
        <v>6.000000000000001E-3</v>
      </c>
      <c r="E93" s="3274" t="s">
        <v>1406</v>
      </c>
      <c r="F93" s="3275"/>
      <c r="G93" s="3275"/>
      <c r="H93" s="328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3">
        <f>ROUND((C87+C90+C91)*D94,0)</f>
        <v>20980</v>
      </c>
      <c r="D94" s="2358">
        <v>0.2</v>
      </c>
      <c r="E94" s="3285" t="s">
        <v>1426</v>
      </c>
      <c r="F94" s="3286"/>
      <c r="G94" s="3286"/>
      <c r="H94" s="328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49">
        <f ca="1">ROUND(C85-C86,0)</f>
        <v>70175</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9">
        <f ca="1">IF(C95&lt;=0,0,C95/C86)</f>
        <v>0.50993343797232882</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60">
        <f ca="1">ROUND(IF(C95&lt;=0,0,IF(C96&gt;=200%,C95*60%-C86*35%,IF(C96&gt;=100%,C95*50%-C86*15%,IF(C96&gt;=50%,C95*40%-C86*5%,IF(C96&lt;50%,C95*30%,0))))),0)</f>
        <v>21189</v>
      </c>
      <c r="D97" s="2361"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58" t="s">
        <v>1428</v>
      </c>
      <c r="B100" s="3259"/>
      <c r="C100" s="3259"/>
      <c r="D100" s="3276"/>
      <c r="E100" s="3259" t="s">
        <v>1429</v>
      </c>
      <c r="F100" s="3259"/>
      <c r="G100" s="3259"/>
      <c r="H100" s="3276"/>
      <c r="I100" s="120"/>
    </row>
    <row r="101" spans="1:35" ht="18.75" customHeight="1">
      <c r="A101" s="3337" t="s">
        <v>1430</v>
      </c>
      <c r="B101" s="3338"/>
      <c r="C101" s="2366" t="str">
        <f>C4</f>
        <v>成本法</v>
      </c>
      <c r="D101" s="2367" t="str">
        <f>D4</f>
        <v>收益法</v>
      </c>
      <c r="E101" s="3351" t="s">
        <v>1431</v>
      </c>
      <c r="F101" s="3308"/>
      <c r="G101" s="1685" t="s">
        <v>1432</v>
      </c>
      <c r="H101" s="2376">
        <f ca="1">H118</f>
        <v>218181</v>
      </c>
      <c r="I101" s="120"/>
    </row>
    <row r="102" spans="1:35" ht="18.75" customHeight="1">
      <c r="A102" s="3310" t="s">
        <v>1433</v>
      </c>
      <c r="B102" s="2365" t="s">
        <v>1432</v>
      </c>
      <c r="C102" s="2366">
        <f ca="1">IF(D32="楼面单价",ROUND(C19,0),C19)</f>
        <v>242461</v>
      </c>
      <c r="D102" s="2367">
        <f ca="1">IF(D32="楼面单价",ROUND(D19,0),D19)</f>
        <v>161526</v>
      </c>
      <c r="E102" s="3351"/>
      <c r="F102" s="3308"/>
      <c r="G102" s="1685" t="s">
        <v>1434</v>
      </c>
      <c r="H102" s="2336">
        <f ca="1">I118</f>
        <v>16061</v>
      </c>
      <c r="I102" s="120"/>
    </row>
    <row r="103" spans="1:35" ht="42.75" customHeight="1">
      <c r="A103" s="3310"/>
      <c r="B103" s="2365" t="s">
        <v>1434</v>
      </c>
      <c r="C103" s="2368">
        <f ca="1">C20</f>
        <v>17849</v>
      </c>
      <c r="D103" s="2369">
        <f ca="1">D20</f>
        <v>11891</v>
      </c>
      <c r="E103" s="3345" t="s">
        <v>1435</v>
      </c>
      <c r="F103" s="3346"/>
      <c r="G103" s="1686" t="s">
        <v>1436</v>
      </c>
      <c r="H103" s="2376">
        <f>IF(D36="正常操作",H104+H105+H106,H105+H106)</f>
        <v>0</v>
      </c>
      <c r="I103" s="120"/>
    </row>
    <row r="104" spans="1:35" ht="18.75" customHeight="1">
      <c r="A104" s="3310" t="s">
        <v>1437</v>
      </c>
      <c r="B104" s="2370" t="s">
        <v>1432</v>
      </c>
      <c r="C104" s="2371">
        <f ca="1">H118</f>
        <v>218181</v>
      </c>
      <c r="D104" s="2372"/>
      <c r="E104" s="1553" t="s">
        <v>1438</v>
      </c>
      <c r="F104" s="1546"/>
      <c r="G104" s="1686" t="s">
        <v>1436</v>
      </c>
      <c r="H104" s="2377">
        <f>IF(D36="同一抵押权人同一抵押物续贷",C36&amp;"（续贷，未扣减，详见特别提示）",C36)</f>
        <v>0</v>
      </c>
      <c r="I104" s="120"/>
    </row>
    <row r="105" spans="1:35" ht="18.75" customHeight="1" thickBot="1">
      <c r="A105" s="3311"/>
      <c r="B105" s="2373" t="s">
        <v>1434</v>
      </c>
      <c r="C105" s="2374">
        <f ca="1">I118</f>
        <v>16061</v>
      </c>
      <c r="D105" s="2375"/>
      <c r="E105" s="1553" t="s">
        <v>1439</v>
      </c>
      <c r="F105" s="1546"/>
      <c r="G105" s="1686" t="s">
        <v>1436</v>
      </c>
      <c r="H105" s="2378">
        <f>C37</f>
        <v>0</v>
      </c>
      <c r="I105" s="120"/>
    </row>
    <row r="106" spans="1:35" ht="18.75" customHeight="1">
      <c r="A106" s="645" t="s">
        <v>1440</v>
      </c>
      <c r="B106" s="645"/>
      <c r="C106" s="645"/>
      <c r="D106" s="645"/>
      <c r="E106" s="1687" t="s">
        <v>1441</v>
      </c>
      <c r="F106" s="1546"/>
      <c r="G106" s="1686" t="s">
        <v>1436</v>
      </c>
      <c r="H106" s="2378">
        <f>C38</f>
        <v>0</v>
      </c>
      <c r="I106" s="120"/>
    </row>
    <row r="107" spans="1:35" ht="18.75" customHeight="1">
      <c r="A107" s="120"/>
      <c r="B107" s="120"/>
      <c r="C107" s="120"/>
      <c r="D107" s="120"/>
      <c r="E107" s="3307" t="str">
        <f>IF(项目基本情况!E8="已注销","——","3.房地产抵押价值")</f>
        <v>3.房地产抵押价值</v>
      </c>
      <c r="F107" s="3308"/>
      <c r="G107" s="1685" t="s">
        <v>1432</v>
      </c>
      <c r="H107" s="2376">
        <f ca="1">IF(E107="——","——",H101-H103)</f>
        <v>218181</v>
      </c>
      <c r="I107" s="120"/>
    </row>
    <row r="108" spans="1:35" ht="18.75" customHeight="1">
      <c r="A108" s="120"/>
      <c r="B108" s="120"/>
      <c r="C108" s="120"/>
      <c r="D108" s="120"/>
      <c r="E108" s="3307"/>
      <c r="F108" s="3308"/>
      <c r="G108" s="1685" t="s">
        <v>1434</v>
      </c>
      <c r="H108" s="2336">
        <f ca="1">IF(H107=H101,H102,ROUND(H107*10000/'数据-汇总表'!E3,0))</f>
        <v>16061</v>
      </c>
      <c r="I108" s="120"/>
    </row>
    <row r="109" spans="1:35" ht="18.75" customHeight="1">
      <c r="A109" s="120"/>
      <c r="B109" s="120"/>
      <c r="C109" s="120"/>
      <c r="D109" s="120"/>
      <c r="E109" s="3307" t="str">
        <f>IF(项目基本情况!E8="已注销及未注销","4.抵押担保权已注销时的房地产抵押价值",IF(项目基本情况!E8="已注销","3.抵押担保权已注销时的房地产抵押价值","——"))</f>
        <v>——</v>
      </c>
      <c r="F109" s="3308"/>
      <c r="G109" s="1685" t="s">
        <v>1432</v>
      </c>
      <c r="H109" s="2379" t="str">
        <f>IF(E109="——","——",H101-H105-H106)</f>
        <v>——</v>
      </c>
      <c r="I109" s="120"/>
    </row>
    <row r="110" spans="1:35" ht="18.75" customHeight="1">
      <c r="A110" s="120"/>
      <c r="B110" s="120"/>
      <c r="C110" s="120"/>
      <c r="D110" s="120"/>
      <c r="E110" s="3307"/>
      <c r="F110" s="3308"/>
      <c r="G110" s="1685" t="s">
        <v>1434</v>
      </c>
      <c r="H110" s="2336" t="str">
        <f>IF(H109="——","——",ROUND(H109*10000/'数据-汇总表'!E3,0))</f>
        <v>——</v>
      </c>
      <c r="I110" s="120"/>
    </row>
    <row r="111" spans="1:35" ht="18.75" customHeight="1">
      <c r="A111" s="120"/>
      <c r="B111" s="120"/>
      <c r="C111" s="120"/>
      <c r="D111" s="120"/>
      <c r="E111" s="3339" t="str">
        <f>IF(项目基本情况!E9="抵押净值",IF(OR(项目基本情况!E8="已注销",项目基本情况!E8="房地产抵押价值"),"4.抵押净值","5.抵押净值"),"——")</f>
        <v>4.抵押净值</v>
      </c>
      <c r="F111" s="3309"/>
      <c r="G111" s="1685" t="s">
        <v>1432</v>
      </c>
      <c r="H111" s="2376">
        <f ca="1">IF(E111="——","——",N59)</f>
        <v>185247</v>
      </c>
      <c r="I111" s="120"/>
    </row>
    <row r="112" spans="1:35" ht="18.75" customHeight="1" thickBot="1">
      <c r="A112" s="120"/>
      <c r="B112" s="120"/>
      <c r="C112" s="120"/>
      <c r="D112" s="120"/>
      <c r="E112" s="3340"/>
      <c r="F112" s="3341"/>
      <c r="G112" s="1688" t="s">
        <v>1434</v>
      </c>
      <c r="H112" s="2380">
        <f ca="1">IF(E111="——","——",N61)</f>
        <v>13637</v>
      </c>
      <c r="I112" s="120"/>
    </row>
    <row r="113" spans="1:27" ht="18.75" customHeight="1">
      <c r="A113" s="120"/>
      <c r="B113" s="120"/>
      <c r="C113" s="120"/>
      <c r="D113" s="120"/>
      <c r="E113" s="3312" t="s">
        <v>1440</v>
      </c>
      <c r="F113" s="3312"/>
      <c r="G113" s="3312"/>
      <c r="H113" s="3312"/>
      <c r="I113" s="120"/>
    </row>
    <row r="114" spans="1:27" ht="3.75" customHeight="1">
      <c r="A114" s="645"/>
      <c r="B114" s="645"/>
      <c r="C114" s="645"/>
      <c r="D114" s="645"/>
      <c r="E114" s="1669"/>
      <c r="F114" s="1669"/>
      <c r="G114" s="1669"/>
      <c r="H114" s="1669"/>
      <c r="I114" s="645"/>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8" t="s">
        <v>1449</v>
      </c>
      <c r="E117" s="2148" t="s">
        <v>1450</v>
      </c>
      <c r="F117" s="2148" t="s">
        <v>1449</v>
      </c>
      <c r="G117" s="2148" t="s">
        <v>1451</v>
      </c>
      <c r="H117" s="2148" t="s">
        <v>1449</v>
      </c>
      <c r="I117" s="2148" t="s">
        <v>1451</v>
      </c>
    </row>
    <row r="118" spans="1:27" ht="24.75" customHeight="1">
      <c r="A118" s="2381" t="str">
        <f>项目基本情况!S2</f>
        <v>北京市顺义新顺南大街8号院1幢房地产</v>
      </c>
      <c r="B118" s="2148">
        <f>M18</f>
        <v>135843.08000000002</v>
      </c>
      <c r="C118" s="2148">
        <f>M19</f>
        <v>37387.29</v>
      </c>
      <c r="D118" s="2148">
        <f ca="1">ROUND(IF(D32="总价",C34,E118*B118/10000),0)</f>
        <v>128509</v>
      </c>
      <c r="E118" s="2148">
        <f ca="1">ROUND(IF(C33="自定义",IF(D32="楼面单价",C34,D118*10000/B118),I118-G118),0)</f>
        <v>9460</v>
      </c>
      <c r="F118" s="2148">
        <f ca="1">ROUND(IF(D32="总价",C35,G118*B118/10000),0)</f>
        <v>89672</v>
      </c>
      <c r="G118" s="2148">
        <f ca="1">ROUND(IF(D32="楼面单价",C35,F118*10000/B118),0)</f>
        <v>6601</v>
      </c>
      <c r="H118" s="2148">
        <f ca="1">ROUND(IF(D32="总价",C32,I118*B118/10000),4)</f>
        <v>218181</v>
      </c>
      <c r="I118" s="2148">
        <f ca="1">ROUND(IF(D32="楼面单价",C32,H118*10000/B118),0)</f>
        <v>16061</v>
      </c>
    </row>
    <row r="119" spans="1:27" ht="18.75" customHeight="1">
      <c r="A119" s="3278" t="s">
        <v>1452</v>
      </c>
      <c r="B119" s="3278"/>
      <c r="C119" s="3278"/>
      <c r="D119" s="3318" t="str">
        <f ca="1">NUMBERSTRING(INT(D118*10000),2)&amp;"元整"</f>
        <v>壹拾贰亿捌仟伍佰零玖万元整</v>
      </c>
      <c r="E119" s="3320"/>
      <c r="F119" s="3318" t="str">
        <f ca="1">NUMBERSTRING(INT(F118*10000),2)&amp;"元整"</f>
        <v>捌亿玖仟陆佰柒拾贰万元整</v>
      </c>
      <c r="G119" s="3320"/>
      <c r="H119" s="3318" t="str">
        <f ca="1">NUMBERSTRING(INT(H118*10000),2)&amp;"元整"</f>
        <v>贰拾壹亿捌仟壹佰捌拾壹万元整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8" t="s">
        <v>1452</v>
      </c>
      <c r="B121" s="3319"/>
      <c r="C121" s="3320"/>
      <c r="D121" s="3318" t="str">
        <f>IF(D120=0,"零元整",NUMBERSTRING(INT(D120*10000),2)&amp;"元整")</f>
        <v>零元整</v>
      </c>
      <c r="E121" s="3319"/>
      <c r="F121" s="3319"/>
      <c r="G121" s="3319"/>
      <c r="H121" s="3319"/>
      <c r="I121" s="3320"/>
      <c r="AA121" s="683"/>
    </row>
    <row r="122" spans="1:27" ht="18.75" customHeight="1">
      <c r="A122" s="3309" t="str">
        <f>IF(项目基本情况!B9="房地产市场价值","",MID(E107,3,LEN(E107)-2))</f>
        <v>房地产抵押价值</v>
      </c>
      <c r="B122" s="3309"/>
      <c r="C122" s="3309"/>
      <c r="D122" s="3342">
        <f ca="1">H107</f>
        <v>218181</v>
      </c>
      <c r="E122" s="3343"/>
      <c r="F122" s="3343"/>
      <c r="G122" s="3343"/>
      <c r="H122" s="3343"/>
      <c r="I122" s="3344"/>
      <c r="AA122" s="683"/>
    </row>
    <row r="123" spans="1:27" ht="18.75" customHeight="1">
      <c r="A123" s="3278" t="s">
        <v>1452</v>
      </c>
      <c r="B123" s="3278"/>
      <c r="C123" s="3278"/>
      <c r="D123" s="3318" t="str">
        <f ca="1">NUMBERSTRING(INT(D122*10000),2)&amp;"元整"</f>
        <v>贰拾壹亿捌仟壹佰捌拾壹万元整</v>
      </c>
      <c r="E123" s="3319"/>
      <c r="F123" s="3319"/>
      <c r="G123" s="3319"/>
      <c r="H123" s="3319"/>
      <c r="I123" s="3320"/>
      <c r="AA123" s="683"/>
    </row>
    <row r="124" spans="1:27" ht="18.75" customHeight="1">
      <c r="A124" s="3309" t="str">
        <f>IF(项目基本情况!B9="房地产市场价值","",MID(E109,3,LEN(E109)-2))</f>
        <v/>
      </c>
      <c r="B124" s="3309"/>
      <c r="C124" s="3309"/>
      <c r="D124" s="3342" t="str">
        <f>H109</f>
        <v>——</v>
      </c>
      <c r="E124" s="3343"/>
      <c r="F124" s="3343"/>
      <c r="G124" s="3343"/>
      <c r="H124" s="3343"/>
      <c r="I124" s="3344"/>
      <c r="AA124" s="683"/>
    </row>
    <row r="125" spans="1:27" ht="18.75" customHeight="1">
      <c r="A125" s="3278" t="s">
        <v>1452</v>
      </c>
      <c r="B125" s="3278"/>
      <c r="C125" s="3278"/>
      <c r="D125" s="3318" t="e">
        <f>NUMBERSTRING(INT(D124*10000),2)&amp;"元整"</f>
        <v>#VALUE!</v>
      </c>
      <c r="E125" s="3319"/>
      <c r="F125" s="3319"/>
      <c r="G125" s="3319"/>
      <c r="H125" s="3319"/>
      <c r="I125" s="3320"/>
      <c r="AA125" s="683"/>
    </row>
    <row r="126" spans="1:27" ht="18.75" customHeight="1">
      <c r="A126" s="3309" t="str">
        <f>IF(项目基本情况!B9="房地产市场价值","",MID(E111,3,LEN(E111)-2))</f>
        <v>抵押净值</v>
      </c>
      <c r="B126" s="3309"/>
      <c r="C126" s="3309"/>
      <c r="D126" s="3342">
        <f ca="1">H111</f>
        <v>185247</v>
      </c>
      <c r="E126" s="3343"/>
      <c r="F126" s="3343"/>
      <c r="G126" s="3343"/>
      <c r="H126" s="3343"/>
      <c r="I126" s="3344"/>
      <c r="AA126" s="683"/>
    </row>
    <row r="127" spans="1:27" ht="18.75" customHeight="1">
      <c r="A127" s="3278" t="s">
        <v>1452</v>
      </c>
      <c r="B127" s="3278"/>
      <c r="C127" s="3278"/>
      <c r="D127" s="3318" t="str">
        <f ca="1">NUMBERSTRING(INT(D126*10000),2)&amp;"元整"</f>
        <v>壹拾捌亿伍仟贰佰肆拾柒万元整</v>
      </c>
      <c r="E127" s="3319"/>
      <c r="F127" s="3319"/>
      <c r="G127" s="3319"/>
      <c r="H127" s="3319"/>
      <c r="I127" s="3320"/>
      <c r="AA127" s="683"/>
    </row>
    <row r="128" spans="1:27" ht="21.75" customHeight="1">
      <c r="A128" s="3325" t="s">
        <v>1453</v>
      </c>
      <c r="B128" s="3325"/>
      <c r="C128" s="3325"/>
      <c r="D128" s="3325"/>
      <c r="E128" s="3325"/>
      <c r="F128" s="3325"/>
      <c r="G128" s="3325"/>
      <c r="H128" s="3325"/>
      <c r="I128" s="3325"/>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6" t="str">
        <f>项目基本情况!B1</f>
        <v>北京市顺义新顺南大街8号院1幢房地产抵押价值预评估</v>
      </c>
      <c r="C37" s="3176"/>
      <c r="D37" s="3176"/>
      <c r="E37" s="3176"/>
      <c r="F37" s="3176"/>
      <c r="G37" s="3176"/>
      <c r="H37" s="3176"/>
      <c r="I37" s="317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郑燚（注册号：1120070131)、（注册号：0)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2" zoomScaleNormal="80" zoomScaleSheetLayoutView="100" workbookViewId="0">
      <selection activeCell="U23" sqref="U23"/>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0" width="12" style="1843"/>
    <col min="21" max="21" width="12.21875" style="1843" bestFit="1" customWidth="1"/>
    <col min="22"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7" t="s">
        <v>1926</v>
      </c>
      <c r="B1" s="188"/>
      <c r="C1" s="192" t="s">
        <v>1927</v>
      </c>
      <c r="D1" s="332">
        <f>SUM(D33:D34,D37:D42)</f>
        <v>56595.915999999997</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2" t="s">
        <v>1934</v>
      </c>
      <c r="B2" s="195">
        <f>C30</f>
        <v>93300</v>
      </c>
      <c r="C2" s="1844" t="s">
        <v>1935</v>
      </c>
      <c r="D2" s="161" t="s">
        <v>1936</v>
      </c>
      <c r="E2" s="3115"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Ⅶ-顺1</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58">
        <f>ROUND(SUMPRODUCT((B106:B110=R2)*(C105:N105=G2)*(C106:N110)),4)</f>
        <v>1.5019</v>
      </c>
      <c r="T2" s="3058">
        <f t="shared" ref="T2:T16" si="0">ROUND($C$5*$C$22*$C$23*$C$24*S2*$C$28,0)</f>
        <v>13260</v>
      </c>
      <c r="U2" s="1128">
        <f>面积!E6</f>
        <v>17974.404999999999</v>
      </c>
      <c r="V2" s="3058">
        <f>ROUND(T2*U2/10000,0)</f>
        <v>23834</v>
      </c>
      <c r="W2" s="1131"/>
      <c r="X2" s="1131"/>
      <c r="Y2" s="1131"/>
      <c r="Z2" s="1131"/>
      <c r="AA2" s="1131"/>
      <c r="AB2" s="1131"/>
      <c r="AC2" s="1132"/>
      <c r="AD2" s="1133"/>
      <c r="AE2" s="1133"/>
      <c r="AF2" s="1133"/>
      <c r="AG2" s="1133"/>
      <c r="AH2" s="1133"/>
      <c r="AI2" s="1133"/>
      <c r="AJ2" s="1134"/>
    </row>
    <row r="3" spans="1:36" ht="15.6">
      <c r="A3" s="194" t="s">
        <v>1940</v>
      </c>
      <c r="B3" s="195">
        <f>ROUND(B2*10000/D1,0)</f>
        <v>16485</v>
      </c>
      <c r="C3" s="1844" t="s">
        <v>1941</v>
      </c>
      <c r="D3" s="161" t="s">
        <v>1942</v>
      </c>
      <c r="E3" s="3113" t="s">
        <v>2435</v>
      </c>
      <c r="F3" s="1846" t="s">
        <v>3476</v>
      </c>
      <c r="G3" s="707">
        <f>IF(F3="宗地容积率",'数据-汇总表'!I4,IF(F3="估价对象容积率",'数据-汇总表'!I6,'数据-汇总表'!I7))</f>
        <v>1.72</v>
      </c>
      <c r="H3" s="161" t="s">
        <v>1943</v>
      </c>
      <c r="I3" s="728">
        <v>1</v>
      </c>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58">
        <f>ROUND(SUMPRODUCT((B106:B110=R3)*(C105:N105=G2)*(C106:N110)),4)</f>
        <v>1.1838</v>
      </c>
      <c r="T3" s="3058">
        <f t="shared" si="0"/>
        <v>10452</v>
      </c>
      <c r="U3" s="1128">
        <f>面积!E7</f>
        <v>15871.165000000001</v>
      </c>
      <c r="V3" s="3058">
        <f t="shared" ref="V3:V16" si="1">ROUND(T3*U3/10000,0)</f>
        <v>16589</v>
      </c>
      <c r="W3" s="1131"/>
      <c r="X3" s="1131"/>
      <c r="Y3" s="1131"/>
      <c r="Z3" s="1131"/>
      <c r="AA3" s="1131"/>
      <c r="AB3" s="1131"/>
      <c r="AC3" s="1132"/>
      <c r="AD3" s="1133"/>
      <c r="AE3" s="1133"/>
      <c r="AF3" s="1133"/>
      <c r="AG3" s="1133"/>
      <c r="AH3" s="1133"/>
      <c r="AI3" s="1133"/>
      <c r="AJ3" s="1134"/>
    </row>
    <row r="4" spans="1:36" ht="15.6">
      <c r="A4" s="3365"/>
      <c r="B4" s="3366"/>
      <c r="C4" s="3366"/>
      <c r="D4" s="3367"/>
      <c r="E4" s="3367"/>
      <c r="F4" s="3367"/>
      <c r="G4" s="3367"/>
      <c r="H4" s="3367"/>
      <c r="I4" s="3367"/>
      <c r="J4" s="3368"/>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58">
        <f>ROUND(SUMPRODUCT((B106:B110=R4)*(C105:N105=G2)*(C106:N110)),4)</f>
        <v>1.0004999999999999</v>
      </c>
      <c r="T4" s="3058">
        <f t="shared" si="0"/>
        <v>8833</v>
      </c>
      <c r="U4" s="1128">
        <f>面积!E8</f>
        <v>15786.74</v>
      </c>
      <c r="V4" s="3058">
        <f t="shared" si="1"/>
        <v>13944</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8">
        <f>ROUND(IF(E2="商业",C6*C7*C17+C20,(IF(E2="住宅",C6*C13*C17+C20,IF(E2="办公",C6*C12*C17+C20,C6+C20)))),0)</f>
        <v>9531</v>
      </c>
      <c r="D5" s="1250">
        <f>ROUND(C6*C17+C20,0)</f>
        <v>9450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58">
        <f>ROUND(SUMPRODUCT((B106:B110=R5)*(C105:N105=G2)*(C106:N110)),4)</f>
        <v>0.88239999999999996</v>
      </c>
      <c r="T5" s="3058">
        <f t="shared" si="0"/>
        <v>7791</v>
      </c>
      <c r="U5" s="1128">
        <f>面积!E9</f>
        <v>16007.384</v>
      </c>
      <c r="V5" s="3058">
        <f t="shared" si="1"/>
        <v>12471</v>
      </c>
      <c r="W5" s="1131"/>
      <c r="X5" s="1131"/>
      <c r="Y5" s="1131"/>
      <c r="Z5" s="1131"/>
      <c r="AA5" s="1131"/>
      <c r="AB5" s="1131"/>
      <c r="AC5" s="1853"/>
      <c r="AD5" s="1854"/>
      <c r="AE5" s="1854"/>
      <c r="AF5" s="1854"/>
      <c r="AG5" s="1854"/>
      <c r="AH5" s="1854"/>
      <c r="AI5" s="1854"/>
      <c r="AJ5" s="1855"/>
    </row>
    <row r="6" spans="1:36" ht="15.6" thickBot="1">
      <c r="A6" s="1857" t="s">
        <v>1949</v>
      </c>
      <c r="B6" s="1858" t="s">
        <v>1950</v>
      </c>
      <c r="C6" s="709">
        <f>SUMIF(L1:L12,G2,M1:M12)</f>
        <v>9470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58">
        <f>ROUND(SUMPRODUCT((B106:B110=R6)*(C105:N105=G2)*(C106:N110)),4)</f>
        <v>0.84799999999999998</v>
      </c>
      <c r="T6" s="3058">
        <f t="shared" si="0"/>
        <v>7487</v>
      </c>
      <c r="U6" s="1128">
        <f>面积!E10</f>
        <v>11843.62</v>
      </c>
      <c r="V6" s="3058">
        <f t="shared" si="1"/>
        <v>8867</v>
      </c>
      <c r="W6" s="1131"/>
      <c r="X6" s="1131"/>
      <c r="Y6" s="1131"/>
      <c r="Z6" s="1131"/>
      <c r="AA6" s="1131"/>
      <c r="AB6" s="1131"/>
      <c r="AC6" s="1853"/>
      <c r="AD6" s="1854"/>
      <c r="AE6" s="1854"/>
      <c r="AF6" s="1854"/>
      <c r="AG6" s="1854"/>
      <c r="AH6" s="1854"/>
      <c r="AI6" s="1854"/>
      <c r="AJ6" s="1855"/>
    </row>
    <row r="7" spans="1:36" ht="24.6" thickBot="1">
      <c r="A7" s="3007" t="s">
        <v>3233</v>
      </c>
      <c r="B7" s="1863" t="s">
        <v>1952</v>
      </c>
      <c r="C7" s="710">
        <f>IF(C8="不临65条商业街",1,ROUND(1+(1.6*E8+1.2*E9+0.8*E10+0.4*E11)*C9,4))</f>
        <v>1.0085999999999999</v>
      </c>
      <c r="D7" s="1864" t="s">
        <v>1953</v>
      </c>
      <c r="E7" s="729">
        <v>175</v>
      </c>
      <c r="F7" s="1865"/>
      <c r="G7" s="1866"/>
      <c r="H7" s="1866"/>
      <c r="I7" s="1866"/>
      <c r="J7" s="1867"/>
      <c r="K7" s="1290"/>
      <c r="L7" s="1845" t="s">
        <v>1954</v>
      </c>
      <c r="M7" s="810">
        <f>SUMPRODUCT((区片价!B190:B233=I2)*(区片价!C3:G3=E2)*(区片价!C190:G233))</f>
        <v>9470</v>
      </c>
      <c r="N7" s="812">
        <f>SUMPRODUCT((因素修正幅度!B190:B233=I2)*(因素修正幅度!C3:G3=E2)*(因素修正幅度!C190:G233))</f>
        <v>0.13</v>
      </c>
      <c r="O7" s="1054"/>
      <c r="P7" s="1054"/>
      <c r="Q7" s="1054"/>
      <c r="R7" s="1127">
        <v>6</v>
      </c>
      <c r="S7" s="3112">
        <f>AD10</f>
        <v>0.83850000000000002</v>
      </c>
      <c r="T7" s="3058">
        <f t="shared" si="0"/>
        <v>7403</v>
      </c>
      <c r="U7" s="1128">
        <f>面积!E11</f>
        <v>1763.85</v>
      </c>
      <c r="V7" s="3058">
        <f t="shared" si="1"/>
        <v>1306</v>
      </c>
      <c r="W7" s="1265" t="s">
        <v>1955</v>
      </c>
      <c r="X7" s="1129" t="str">
        <f>G2</f>
        <v>七级</v>
      </c>
      <c r="Y7" s="1129" t="s">
        <v>1956</v>
      </c>
      <c r="Z7" s="1130">
        <f>G3</f>
        <v>1.72</v>
      </c>
      <c r="AA7" s="1131"/>
      <c r="AB7" s="1131"/>
      <c r="AC7" s="1132"/>
      <c r="AD7" s="1133"/>
      <c r="AE7" s="1133"/>
      <c r="AF7" s="1133"/>
      <c r="AG7" s="1133"/>
      <c r="AH7" s="1133"/>
      <c r="AI7" s="1133"/>
      <c r="AJ7" s="1134"/>
    </row>
    <row r="8" spans="1:36" ht="15">
      <c r="A8" s="3004"/>
      <c r="B8" s="161" t="s">
        <v>1957</v>
      </c>
      <c r="C8" s="1868" t="s">
        <v>3513</v>
      </c>
      <c r="D8" s="711" t="s">
        <v>112</v>
      </c>
      <c r="E8" s="712">
        <f>ROUND(C11/E7,4)</f>
        <v>2.1399999999999999E-2</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58">
        <f t="shared" si="0"/>
        <v>0</v>
      </c>
      <c r="U8" s="1128"/>
      <c r="V8" s="3058">
        <f t="shared" si="1"/>
        <v>0</v>
      </c>
      <c r="W8" s="3362" t="s">
        <v>1960</v>
      </c>
      <c r="X8" s="336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1" t="s">
        <v>1973</v>
      </c>
      <c r="C9" s="713">
        <f>SUMIF(修正!C71:C138,C8,修正!E71:E138)</f>
        <v>0.1</v>
      </c>
      <c r="D9" s="162" t="s">
        <v>113</v>
      </c>
      <c r="E9" s="162">
        <f>ROUND(C11/E7,4)</f>
        <v>2.1399999999999999E-2</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58">
        <f t="shared" si="0"/>
        <v>0</v>
      </c>
      <c r="U9" s="1128"/>
      <c r="V9" s="3058">
        <f t="shared" si="1"/>
        <v>0</v>
      </c>
      <c r="W9" s="3364"/>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1976</v>
      </c>
      <c r="C10" s="162">
        <f>SUMIF(修正!C71:C138,C8,修正!F71:F138)</f>
        <v>15</v>
      </c>
      <c r="D10" s="162" t="s">
        <v>114</v>
      </c>
      <c r="E10" s="162">
        <f>ROUND(C11/E7,4)</f>
        <v>2.1399999999999999E-2</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58">
        <f t="shared" si="0"/>
        <v>0</v>
      </c>
      <c r="U10" s="1128"/>
      <c r="V10" s="3058">
        <f t="shared" si="1"/>
        <v>0</v>
      </c>
      <c r="W10" s="336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2" t="s">
        <v>1979</v>
      </c>
      <c r="C11" s="714">
        <f>C10/4</f>
        <v>3.75</v>
      </c>
      <c r="D11" s="714" t="s">
        <v>115</v>
      </c>
      <c r="E11" s="714">
        <f>ROUND(C11/E7,4)</f>
        <v>2.1399999999999999E-2</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8" thickBot="1">
      <c r="A12" s="3007" t="s">
        <v>3234</v>
      </c>
      <c r="B12" s="3008" t="s">
        <v>3235</v>
      </c>
      <c r="C12" s="3009"/>
      <c r="D12" s="3010" t="s">
        <v>3236</v>
      </c>
      <c r="E12" s="3011" t="s">
        <v>3237</v>
      </c>
      <c r="F12" s="3012"/>
      <c r="G12" s="3013"/>
      <c r="H12" s="3013"/>
      <c r="I12" s="3013"/>
      <c r="J12" s="3014"/>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24.6" thickBot="1">
      <c r="A13" s="3007" t="s">
        <v>3238</v>
      </c>
      <c r="B13" s="1876" t="s">
        <v>1982</v>
      </c>
      <c r="C13" s="710">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24">
      <c r="A14" s="3003"/>
      <c r="B14" s="1881" t="s">
        <v>1985</v>
      </c>
      <c r="C14" s="1882" t="s">
        <v>1986</v>
      </c>
      <c r="D14" s="1259" t="s">
        <v>1987</v>
      </c>
      <c r="E14" s="26"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3"/>
      <c r="B18" s="2305"/>
      <c r="C18" s="3029"/>
      <c r="D18" s="3024" t="s">
        <v>3244</v>
      </c>
      <c r="E18" s="2352"/>
      <c r="F18" s="3025" t="s">
        <v>3247</v>
      </c>
      <c r="G18" s="3029">
        <f>ROUND(1-(1/(POWER(1+G24,E18))),4)</f>
        <v>0</v>
      </c>
      <c r="H18" s="3025" t="s">
        <v>3249</v>
      </c>
      <c r="I18" s="3029">
        <f>ROUND(1-(1/(POWER(1+G24,J24))),4)</f>
        <v>0.88249999999999995</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4.4"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60"/>
      <c r="AJ19" s="560"/>
      <c r="AK19" s="1897"/>
    </row>
    <row r="20" spans="1:37" s="1856" customFormat="1" ht="13.8">
      <c r="A20" s="3369" t="s">
        <v>3250</v>
      </c>
      <c r="B20" s="158" t="s">
        <v>1994</v>
      </c>
      <c r="C20" s="3026">
        <f>ROUND(IF(F21="与级别开发程度一致",0,(G21-E21)/C21),0)</f>
        <v>-20</v>
      </c>
      <c r="D20" s="3041" t="s">
        <v>1998</v>
      </c>
      <c r="E20" s="3042"/>
      <c r="F20" s="3375" t="s">
        <v>1995</v>
      </c>
      <c r="G20" s="3376"/>
      <c r="H20" s="3027" t="s">
        <v>3462</v>
      </c>
      <c r="I20" s="3027" t="s">
        <v>3463</v>
      </c>
      <c r="J20" s="3028" t="s">
        <v>3464</v>
      </c>
      <c r="K20" s="1887" t="s">
        <v>3465</v>
      </c>
      <c r="L20" s="1887" t="s">
        <v>3466</v>
      </c>
      <c r="M20" s="1887" t="s">
        <v>3467</v>
      </c>
      <c r="N20" s="1887" t="s">
        <v>3514</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7" thickBot="1">
      <c r="A21" s="3370"/>
      <c r="B21" s="2000" t="s">
        <v>1997</v>
      </c>
      <c r="C21" s="2001">
        <f>IF(E3="M4科研用地",SUMPRODUCT((修正!A2:A7=E3)*(修正!B1:M1=G2)*(修正!B2:M7)),SUMPRODUCT((修正!A2:A7=E2)*(修正!B1:M1=G2)*(修正!B2:M7)))</f>
        <v>2.5</v>
      </c>
      <c r="D21" s="178" t="str">
        <f>IF(OR(G2="八级",G2="九级",G2="十级",G2="十一级",G2="十二级"),"五通一平","七通一平")</f>
        <v>七通一平</v>
      </c>
      <c r="E21" s="1991">
        <f>SUMPRODUCT((修正!B1:M1=G2)*(修正!B17:M17))</f>
        <v>315</v>
      </c>
      <c r="F21" s="1992" t="s">
        <v>3461</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15</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7"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4" t="s">
        <v>2002</v>
      </c>
      <c r="E23" s="716">
        <v>44197</v>
      </c>
      <c r="F23" s="1894" t="s">
        <v>2003</v>
      </c>
      <c r="G23" s="717">
        <f>'数据-取费表'!B2</f>
        <v>45715</v>
      </c>
      <c r="H23" s="3043" t="s">
        <v>3251</v>
      </c>
      <c r="I23" s="3044" t="str">
        <f>IF(H23="季度增幅（自定义）",SUMIF(N25:N28,E2,O25:O28),"")</f>
        <v/>
      </c>
      <c r="J23" s="3136" t="s">
        <v>3515</v>
      </c>
      <c r="K23" s="1059"/>
      <c r="L23" s="1895" t="s">
        <v>2004</v>
      </c>
      <c r="M23" s="1239">
        <f>ROUND(SUMIF(地价!B2:G2,E2,地价!B16:G16),0)</f>
        <v>350</v>
      </c>
      <c r="N23" s="1896" t="s">
        <v>2005</v>
      </c>
      <c r="O23" s="718">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9">
        <f>ROUND(POWER(1+G24,J24-I24)*(POWER(1+G24,I24)-1)/(POWER(1+G24,J24)-1),4)</f>
        <v>0.82540000000000002</v>
      </c>
      <c r="D24" s="1900" t="s">
        <v>2007</v>
      </c>
      <c r="E24" s="1246">
        <f>存贷款利率!E27/100</f>
        <v>4.3499999999999997E-2</v>
      </c>
      <c r="F24" s="1900" t="s">
        <v>1999</v>
      </c>
      <c r="G24" s="723">
        <f>SUMIF(M30:Q30,E2,M33:Q33)</f>
        <v>5.5E-2</v>
      </c>
      <c r="H24" s="1900" t="s">
        <v>2008</v>
      </c>
      <c r="I24" s="724">
        <f>SUMIF('数据-取费表'!C6:C15,E2,'数据-取费表'!F6:F15)/COUNTIF('数据-取费表'!C6:C15,E2)</f>
        <v>24.35</v>
      </c>
      <c r="J24" s="725">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4.4">
      <c r="A25" s="1905" t="s">
        <v>366</v>
      </c>
      <c r="B25" s="1906" t="s">
        <v>3516</v>
      </c>
      <c r="C25" s="460">
        <f>IF(B25="容积率修正",IF(G3&lt;10,D26,J26),C27)</f>
        <v>1.5019</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1.0757000000000001</v>
      </c>
      <c r="E26" s="707">
        <f>ROUNDDOWN(G3,1)</f>
        <v>1.7</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707">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1910" t="s">
        <v>3253</v>
      </c>
      <c r="J26" s="373"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0">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5">
        <f>SUMIF(A47:A101,E2,B47:B101)</f>
        <v>1.0894999999999999</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0"/>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93300</v>
      </c>
      <c r="D30" s="1923"/>
      <c r="E30" s="1840"/>
      <c r="F30" s="1924"/>
      <c r="G30" s="1840"/>
      <c r="H30" s="1840"/>
      <c r="I30" s="1840"/>
      <c r="J30" s="1925"/>
      <c r="K30" s="1054"/>
      <c r="L30" s="3050" t="s">
        <v>1936</v>
      </c>
      <c r="M30" s="3051" t="s">
        <v>1990</v>
      </c>
      <c r="N30" s="3051" t="s">
        <v>1991</v>
      </c>
      <c r="O30" s="3051" t="s">
        <v>1992</v>
      </c>
      <c r="P30" s="3051" t="s">
        <v>1993</v>
      </c>
      <c r="Q30" s="3054"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1">
        <f>E34+SUM(I37:I42)</f>
        <v>4071</v>
      </c>
      <c r="D31" s="1927"/>
      <c r="E31" s="1928"/>
      <c r="F31" s="1929"/>
      <c r="G31" s="1928"/>
      <c r="H31" s="1928"/>
      <c r="I31" s="1928"/>
      <c r="J31" s="1930"/>
      <c r="K31" s="1054"/>
      <c r="L31" s="3052" t="s">
        <v>1996</v>
      </c>
      <c r="M31" s="161">
        <v>0.25</v>
      </c>
      <c r="N31" s="161">
        <v>0.2</v>
      </c>
      <c r="O31" s="161">
        <v>0.15</v>
      </c>
      <c r="P31" s="161">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3" t="s">
        <v>1999</v>
      </c>
      <c r="M32" s="2351">
        <f>ROUND($E$24*(1+M31),3)</f>
        <v>5.3999999999999999E-2</v>
      </c>
      <c r="N32" s="2351">
        <f>ROUND($E$24*(1+N31),3)</f>
        <v>5.1999999999999998E-2</v>
      </c>
      <c r="O32" s="2351">
        <f>ROUND($E$24*(1+O31),3)</f>
        <v>0.05</v>
      </c>
      <c r="P32" s="2351">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6">
        <f>ROUND(C5*C22*C23*C24*C25*C28,0)</f>
        <v>13260</v>
      </c>
      <c r="D33" s="1938"/>
      <c r="E33" s="726">
        <f>ROUND(C33*D33/10000,0)</f>
        <v>0</v>
      </c>
      <c r="F33" s="3045" t="s">
        <v>3255</v>
      </c>
      <c r="G33" s="1939"/>
      <c r="H33" s="1939"/>
      <c r="I33" s="1939"/>
      <c r="J33" s="1940"/>
      <c r="K33" s="1054"/>
      <c r="L33" s="3048" t="s">
        <v>3258</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8" t="e">
        <f>ROUND(IF(E2="工业",C33*M42,IF(B25="楼层修正",SUM(V2:V16)*M41*10000/D34,C33*M41)),0)</f>
        <v>#DIV/0!</v>
      </c>
      <c r="D34" s="1943"/>
      <c r="E34" s="726">
        <f>ROUND(IF(B25="楼层修正",SUM(V2:V16)*M40,C34*D34/10000),0)</f>
        <v>0</v>
      </c>
      <c r="F34" s="1944" t="s">
        <v>2032</v>
      </c>
      <c r="G34" s="1945"/>
      <c r="H34" s="1945"/>
      <c r="I34" s="1945"/>
      <c r="J34" s="1946"/>
      <c r="K34" s="1054"/>
      <c r="L34" s="3048" t="s">
        <v>3259</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5" t="s">
        <v>2027</v>
      </c>
      <c r="D36" s="432" t="s">
        <v>2028</v>
      </c>
      <c r="E36" s="432" t="s">
        <v>2029</v>
      </c>
      <c r="F36" s="332" t="s">
        <v>2035</v>
      </c>
      <c r="G36" s="1952" t="s">
        <v>2027</v>
      </c>
      <c r="H36" s="1952" t="s">
        <v>2028</v>
      </c>
      <c r="I36" s="1952" t="s">
        <v>2029</v>
      </c>
      <c r="J36" s="234"/>
      <c r="K36" s="1962"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73"/>
      <c r="B37" s="1953" t="s">
        <v>2036</v>
      </c>
      <c r="C37" s="166">
        <f>ROUND(D5*C22*C23*C24*C28*F37,0)</f>
        <v>5252</v>
      </c>
      <c r="D37" s="1938">
        <f>面积!E5</f>
        <v>21379.405999999999</v>
      </c>
      <c r="E37" s="162">
        <f>ROUND(C37*D37/10000,0)</f>
        <v>11228</v>
      </c>
      <c r="F37" s="162">
        <f>SUMIF(修正!A57:A68,G2,修正!B57:B68)</f>
        <v>0.6</v>
      </c>
      <c r="G37" s="162">
        <f>ROUND(IF(E2="工业",C37*$M$42,C37*$M$41),0)</f>
        <v>1313</v>
      </c>
      <c r="H37" s="162">
        <f>D37</f>
        <v>21379.405999999999</v>
      </c>
      <c r="I37" s="162">
        <f>ROUND(G37*H37/10000,0)</f>
        <v>2807</v>
      </c>
      <c r="J37" s="2749"/>
      <c r="K37" s="3056" t="s">
        <v>3261</v>
      </c>
      <c r="L37" s="1962">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4"/>
      <c r="B38" s="1882" t="s">
        <v>2037</v>
      </c>
      <c r="C38" s="166">
        <f>ROUND(D5*C22*C23*C24*C28*F38,0)</f>
        <v>2626</v>
      </c>
      <c r="D38" s="1938"/>
      <c r="E38" s="162">
        <f t="shared" ref="E38:E42" si="4">ROUND(C38*D38/10000,0)</f>
        <v>0</v>
      </c>
      <c r="F38" s="162">
        <f>SUMIF(修正!A57:A68,G2,修正!C57:C68)</f>
        <v>0.3</v>
      </c>
      <c r="G38" s="162">
        <f>ROUND(IF(E2="工业",C38*$M$42,C38*$M$41),0)</f>
        <v>657</v>
      </c>
      <c r="H38" s="162">
        <f t="shared" ref="H38:H42" si="5">D38</f>
        <v>0</v>
      </c>
      <c r="I38" s="162">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74"/>
      <c r="B39" s="1882" t="s">
        <v>3254</v>
      </c>
      <c r="C39" s="166">
        <f>ROUND(D5*C22*C23*C24*C28*F39,0)</f>
        <v>2188</v>
      </c>
      <c r="D39" s="1938"/>
      <c r="E39" s="162">
        <f t="shared" si="4"/>
        <v>0</v>
      </c>
      <c r="F39" s="162">
        <f>SUMIF(修正!A57:A68,G2,修正!D57:D68)</f>
        <v>0.25</v>
      </c>
      <c r="G39" s="162">
        <f>ROUND(IF(E2="工业",C39*$M$42,C39*$M$41),0)</f>
        <v>547</v>
      </c>
      <c r="H39" s="162">
        <f t="shared" si="5"/>
        <v>0</v>
      </c>
      <c r="I39" s="162">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2">
        <f>ROUND(D5*C22*C23*C24*C28*F40,0)</f>
        <v>2188</v>
      </c>
      <c r="D40" s="1938"/>
      <c r="E40" s="162">
        <f t="shared" si="4"/>
        <v>0</v>
      </c>
      <c r="F40" s="166">
        <f>SUMIF(修正!A57:A68,G2,修正!E57:E68)</f>
        <v>0.25</v>
      </c>
      <c r="G40" s="162">
        <f>ROUND(IF(E2="工业",C40*$M$42,C40*$M$41),0)</f>
        <v>547</v>
      </c>
      <c r="H40" s="162">
        <f t="shared" si="5"/>
        <v>0</v>
      </c>
      <c r="I40" s="162">
        <f t="shared" si="6"/>
        <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2">
        <f>ROUND(D5*C22*C23*C44*C28*F41,0)</f>
        <v>2395</v>
      </c>
      <c r="D41" s="1938"/>
      <c r="E41" s="162">
        <f t="shared" si="4"/>
        <v>0</v>
      </c>
      <c r="F41" s="166">
        <f>SUMIF(修正!A57:A68,G2,修正!F57:F68)</f>
        <v>0.25</v>
      </c>
      <c r="G41" s="162">
        <f>ROUND(IF(E2="工业",C41*$M$42,C41*$M$41),0)</f>
        <v>599</v>
      </c>
      <c r="H41" s="162">
        <f t="shared" si="5"/>
        <v>0</v>
      </c>
      <c r="I41" s="162">
        <f t="shared" si="6"/>
        <v>0</v>
      </c>
      <c r="J41" s="938"/>
      <c r="L41" s="3057"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8">
        <f>ROUND(D5*C22*C23*C44*C28*F42,0)</f>
        <v>1437</v>
      </c>
      <c r="D42" s="1943">
        <f>'数据-基础表'!K13+'数据-基础表'!K14</f>
        <v>35216.51</v>
      </c>
      <c r="E42" s="178">
        <f t="shared" si="4"/>
        <v>5061</v>
      </c>
      <c r="F42" s="722">
        <f>SUMIF(修正!A57:A68,G2,修正!G57:G68)</f>
        <v>0.15</v>
      </c>
      <c r="G42" s="178">
        <f>ROUND(IF(E2="工业",C42*$M$42,C42*$M$41),0)</f>
        <v>359</v>
      </c>
      <c r="H42" s="178">
        <f t="shared" si="5"/>
        <v>35216.51</v>
      </c>
      <c r="I42" s="178">
        <f t="shared" si="6"/>
        <v>1264</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2">
        <f>ROUND(POWER(1+E44,H44-G44)*(POWER(1+E44,G44)-1)/(POWER(1+E44,H44)-1),4)</f>
        <v>0.9032</v>
      </c>
      <c r="D44" s="162" t="s">
        <v>1999</v>
      </c>
      <c r="E44" s="1989">
        <f>G24</f>
        <v>5.5E-2</v>
      </c>
      <c r="F44" s="162" t="s">
        <v>2008</v>
      </c>
      <c r="G44" s="174">
        <f>项目基本情况!F15</f>
        <v>34.35</v>
      </c>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1.0894999999999999</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52.8">
      <c r="A50" s="1968" t="s">
        <v>2052</v>
      </c>
      <c r="B50" s="1971" t="str">
        <f>估价对象房地状况!C4</f>
        <v>位于顺义中心区域，周边有国泰商业大厦、新世界百货、龙华购物中心，商业繁华度好</v>
      </c>
      <c r="C50" s="1885" t="s">
        <v>3413</v>
      </c>
      <c r="D50" s="1000">
        <f t="shared" ref="D50:D58" si="7">SUMIF($J$49:$N$49,C50,J50:N50)</f>
        <v>3.9E-2</v>
      </c>
      <c r="E50" s="701">
        <f>ROUND(SUM(D50:D58),4)</f>
        <v>8.9499999999999996E-2</v>
      </c>
      <c r="F50" s="1673">
        <f>IF(E2="商业",SUMIF(L1:L12,G2,N1:N12),"——")</f>
        <v>0.13</v>
      </c>
      <c r="G50" s="998">
        <v>1.95E-2</v>
      </c>
      <c r="H50" s="1001">
        <f t="shared" ref="H50:H58" si="8">IFERROR(ROUNDDOWN($F$50*I50/2,4),"——")</f>
        <v>1.95E-2</v>
      </c>
      <c r="I50" s="3063">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66">
      <c r="A51" s="1968" t="s">
        <v>2053</v>
      </c>
      <c r="B51" s="1260" t="str">
        <f>估价对象房地状况!C18</f>
        <v>周边有顺12、顺13、顺16路等多条及地铁15号线，周边道路密集，停车便捷程度，综合评价交通便捷度较好</v>
      </c>
      <c r="C51" s="1885" t="s">
        <v>3412</v>
      </c>
      <c r="D51" s="1000">
        <f t="shared" si="7"/>
        <v>1.43E-2</v>
      </c>
      <c r="E51" s="702"/>
      <c r="F51" s="1673"/>
      <c r="G51" s="998">
        <v>1.43E-2</v>
      </c>
      <c r="H51" s="1001">
        <f t="shared" si="8"/>
        <v>1.43E-2</v>
      </c>
      <c r="I51" s="3063">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48">
      <c r="A52" s="3065" t="s">
        <v>3264</v>
      </c>
      <c r="B52" s="1260">
        <f>估价对象房地状况!C19</f>
        <v>0</v>
      </c>
      <c r="C52" s="1885" t="s">
        <v>3412</v>
      </c>
      <c r="D52" s="1000">
        <f t="shared" si="7"/>
        <v>7.7999999999999996E-3</v>
      </c>
      <c r="E52" s="702"/>
      <c r="F52" s="1673"/>
      <c r="G52" s="998">
        <v>7.7999999999999996E-3</v>
      </c>
      <c r="H52" s="1001">
        <f t="shared" si="8"/>
        <v>7.7999999999999996E-3</v>
      </c>
      <c r="I52" s="3063">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3412</v>
      </c>
      <c r="D53" s="1000">
        <f t="shared" si="7"/>
        <v>3.2000000000000002E-3</v>
      </c>
      <c r="E53" s="702"/>
      <c r="F53" s="1673"/>
      <c r="G53" s="998">
        <v>3.2000000000000002E-3</v>
      </c>
      <c r="H53" s="1001">
        <f t="shared" si="8"/>
        <v>3.2000000000000002E-3</v>
      </c>
      <c r="I53" s="3063">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6.4">
      <c r="A54" s="1968" t="s">
        <v>2056</v>
      </c>
      <c r="B54" s="1260" t="str">
        <f>估价对象房地状况!C24</f>
        <v>城市主干道——新顺南大街</v>
      </c>
      <c r="C54" s="3173" t="s">
        <v>3412</v>
      </c>
      <c r="D54" s="1000">
        <f t="shared" si="7"/>
        <v>5.1999999999999998E-3</v>
      </c>
      <c r="E54" s="702"/>
      <c r="F54" s="1673"/>
      <c r="G54" s="998">
        <v>5.1999999999999998E-3</v>
      </c>
      <c r="H54" s="1001">
        <f t="shared" si="8"/>
        <v>5.1999999999999998E-3</v>
      </c>
      <c r="I54" s="3063">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36">
      <c r="A55" s="1968" t="s">
        <v>2057</v>
      </c>
      <c r="B55" s="1973" t="s">
        <v>2058</v>
      </c>
      <c r="C55" s="1885" t="s">
        <v>3412</v>
      </c>
      <c r="D55" s="1000">
        <f t="shared" si="7"/>
        <v>3.2000000000000002E-3</v>
      </c>
      <c r="E55" s="702"/>
      <c r="F55" s="1673"/>
      <c r="G55" s="998">
        <v>3.2000000000000002E-3</v>
      </c>
      <c r="H55" s="1001">
        <f t="shared" si="8"/>
        <v>3.2000000000000002E-3</v>
      </c>
      <c r="I55" s="3063">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52.8">
      <c r="A56" s="1974" t="s">
        <v>2059</v>
      </c>
      <c r="B56" s="1238" t="str">
        <f>估价对象房地状况!C21</f>
        <v>估价对象所在区域银行、购物场所、学校等公共配套设施齐备，综合评价公共配套设施水平较好</v>
      </c>
      <c r="C56" s="1885" t="s">
        <v>3412</v>
      </c>
      <c r="D56" s="1000">
        <f t="shared" si="7"/>
        <v>3.2000000000000002E-3</v>
      </c>
      <c r="E56" s="702"/>
      <c r="F56" s="1673"/>
      <c r="G56" s="998">
        <v>3.2000000000000002E-3</v>
      </c>
      <c r="H56" s="1001">
        <f t="shared" si="8"/>
        <v>3.2000000000000002E-3</v>
      </c>
      <c r="I56" s="3063">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估价对象所在区域基础设施水平“七通一平</v>
      </c>
      <c r="C57" s="1885" t="s">
        <v>3413</v>
      </c>
      <c r="D57" s="1000">
        <f t="shared" si="7"/>
        <v>1.04E-2</v>
      </c>
      <c r="E57" s="702"/>
      <c r="F57" s="1673"/>
      <c r="G57" s="998">
        <v>5.1999999999999998E-3</v>
      </c>
      <c r="H57" s="1001">
        <f t="shared" si="8"/>
        <v>5.1999999999999998E-3</v>
      </c>
      <c r="I57" s="3063">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53.4" thickBot="1">
      <c r="A58" s="1975" t="s">
        <v>2061</v>
      </c>
      <c r="B58" s="1976" t="str">
        <f>估价对象房地状况!C20</f>
        <v>区域内有顺义公园、怡园公园、潮白河等自然及人文环境，综合评价自然及人文环境状况较好。</v>
      </c>
      <c r="C58" s="1885" t="s">
        <v>3412</v>
      </c>
      <c r="D58" s="1000">
        <f t="shared" si="7"/>
        <v>3.2000000000000002E-3</v>
      </c>
      <c r="E58" s="703"/>
      <c r="F58" s="1673"/>
      <c r="G58" s="998">
        <v>3.2000000000000002E-3</v>
      </c>
      <c r="H58" s="1001">
        <f t="shared" si="8"/>
        <v>3.2000000000000002E-3</v>
      </c>
      <c r="I58" s="3064">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4.4" hidden="1">
      <c r="A59" s="1965" t="s">
        <v>2062</v>
      </c>
      <c r="B59" s="1966">
        <f>1+E61</f>
        <v>1.0439000000000001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70.2" hidden="1" customHeight="1">
      <c r="A61" s="1968" t="s">
        <v>2064</v>
      </c>
      <c r="B61" s="1971" t="str">
        <f>估价对象房地状况!C17</f>
        <v>估价对象位于朝阳门商圈，周边办公楼项目较多，有顺鑫国际商务中心、正华国贸财富中心等写字楼，入驻率较高，办公集聚程度较好</v>
      </c>
      <c r="C61" s="1885" t="s">
        <v>3412</v>
      </c>
      <c r="D61" s="1000">
        <f t="shared" ref="D61:D69" si="12">SUMIF($J$60:$N$60,C61,J61:N61)</f>
        <v>1.0200000000000001E-2</v>
      </c>
      <c r="E61" s="701">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66" hidden="1">
      <c r="A62" s="1968" t="s">
        <v>2053</v>
      </c>
      <c r="B62" s="1260" t="str">
        <f>估价对象房地状况!C18</f>
        <v>周边有顺12、顺13、顺16路等多条及地铁15号线，周边道路密集，停车便捷程度，综合评价交通便捷度较好</v>
      </c>
      <c r="C62" s="1885" t="s">
        <v>3412</v>
      </c>
      <c r="D62" s="1000">
        <f t="shared" si="12"/>
        <v>1.06E-2</v>
      </c>
      <c r="E62" s="702"/>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48" hidden="1">
      <c r="A63" s="3065" t="s">
        <v>3264</v>
      </c>
      <c r="B63" s="1260">
        <f>估价对象房地状况!C19</f>
        <v>0</v>
      </c>
      <c r="C63" s="1885" t="s">
        <v>3412</v>
      </c>
      <c r="D63" s="1000">
        <f t="shared" si="12"/>
        <v>4.4999999999999997E-3</v>
      </c>
      <c r="E63" s="702"/>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t="s">
        <v>3412</v>
      </c>
      <c r="D64" s="1000">
        <f t="shared" si="12"/>
        <v>2E-3</v>
      </c>
      <c r="E64" s="702"/>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6.4" hidden="1">
      <c r="A65" s="1968" t="s">
        <v>2056</v>
      </c>
      <c r="B65" s="1260" t="str">
        <f>估价对象房地状况!C24</f>
        <v>城市主干道——新顺南大街</v>
      </c>
      <c r="C65" s="1885" t="s">
        <v>3412</v>
      </c>
      <c r="D65" s="1000">
        <f t="shared" si="12"/>
        <v>2E-3</v>
      </c>
      <c r="E65" s="702"/>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36" hidden="1">
      <c r="A66" s="1968" t="s">
        <v>2057</v>
      </c>
      <c r="B66" s="1973" t="s">
        <v>2058</v>
      </c>
      <c r="C66" s="1885" t="s">
        <v>3412</v>
      </c>
      <c r="D66" s="1000">
        <f t="shared" si="12"/>
        <v>2.3999999999999998E-3</v>
      </c>
      <c r="E66" s="702"/>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95" hidden="1" customHeight="1">
      <c r="A67" s="1968" t="s">
        <v>2059</v>
      </c>
      <c r="B67" s="1238" t="str">
        <f>估价对象房地状况!C21</f>
        <v>估价对象所在区域银行、购物场所、学校等公共配套设施齐备，综合评价公共配套设施水平较好</v>
      </c>
      <c r="C67" s="1885" t="s">
        <v>3412</v>
      </c>
      <c r="D67" s="1000">
        <f t="shared" si="12"/>
        <v>2.3999999999999998E-3</v>
      </c>
      <c r="E67" s="702"/>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6.4" hidden="1">
      <c r="A68" s="1968" t="s">
        <v>2060</v>
      </c>
      <c r="B68" s="1238" t="str">
        <f>估价对象房地状况!C22</f>
        <v>估价对象所在区域基础设施水平“七通一平</v>
      </c>
      <c r="C68" s="1885" t="s">
        <v>3413</v>
      </c>
      <c r="D68" s="1000">
        <f t="shared" si="12"/>
        <v>7.1999999999999998E-3</v>
      </c>
      <c r="E68" s="702"/>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2" hidden="1" customHeight="1" thickBot="1">
      <c r="A69" s="1975" t="s">
        <v>2061</v>
      </c>
      <c r="B69" s="1977" t="str">
        <f>估价对象房地状况!C20</f>
        <v>区域内有顺义公园、怡园公园、潮白河等自然及人文环境，综合评价自然及人文环境状况较好。</v>
      </c>
      <c r="C69" s="1885" t="s">
        <v>3412</v>
      </c>
      <c r="D69" s="1000">
        <f t="shared" si="12"/>
        <v>2.5999999999999999E-3</v>
      </c>
      <c r="E69" s="703"/>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4.4" hidden="1">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1">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66" hidden="1">
      <c r="A73" s="1968" t="s">
        <v>2053</v>
      </c>
      <c r="B73" s="1260" t="str">
        <f>估价对象房地状况!C18</f>
        <v>周边有顺12、顺13、顺16路等多条及地铁15号线，周边道路密集，停车便捷程度，综合评价交通便捷度较好</v>
      </c>
      <c r="C73" s="1885"/>
      <c r="D73" s="1000">
        <f t="shared" si="17"/>
        <v>0</v>
      </c>
      <c r="E73" s="704"/>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5" t="s">
        <v>3264</v>
      </c>
      <c r="B74" s="1260">
        <f>估价对象房地状况!C19</f>
        <v>0</v>
      </c>
      <c r="C74" s="1885"/>
      <c r="D74" s="1000">
        <f t="shared" si="17"/>
        <v>0</v>
      </c>
      <c r="E74" s="704"/>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26.4" hidden="1">
      <c r="A75" s="1968" t="s">
        <v>2067</v>
      </c>
      <c r="B75" s="1260" t="str">
        <f>估价对象房地状况!C24</f>
        <v>城市主干道——新顺南大街</v>
      </c>
      <c r="C75" s="1885"/>
      <c r="D75" s="1000">
        <f t="shared" si="17"/>
        <v>0</v>
      </c>
      <c r="E75" s="704"/>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2.8" hidden="1">
      <c r="A76" s="1968" t="s">
        <v>2059</v>
      </c>
      <c r="B76" s="1238" t="str">
        <f>估价对象房地状况!C21</f>
        <v>估价对象所在区域银行、购物场所、学校等公共配套设施齐备，综合评价公共配套设施水平较好</v>
      </c>
      <c r="C76" s="1885"/>
      <c r="D76" s="1000">
        <f t="shared" si="17"/>
        <v>0</v>
      </c>
      <c r="E76" s="704"/>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6.4" hidden="1">
      <c r="A77" s="1968" t="s">
        <v>2060</v>
      </c>
      <c r="B77" s="1238" t="str">
        <f>估价对象房地状况!C22</f>
        <v>估价对象所在区域基础设施水平“七通一平</v>
      </c>
      <c r="C77" s="1885"/>
      <c r="D77" s="1000">
        <f t="shared" si="17"/>
        <v>0</v>
      </c>
      <c r="E77" s="704"/>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4"/>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52.8" hidden="1">
      <c r="A79" s="1968" t="s">
        <v>2061</v>
      </c>
      <c r="B79" s="1971" t="str">
        <f>估价对象房地状况!C20</f>
        <v>区域内有顺义公园、怡园公园、潮白河等自然及人文环境，综合评价自然及人文环境状况较好。</v>
      </c>
      <c r="C79" s="1885"/>
      <c r="D79" s="1000">
        <f t="shared" si="17"/>
        <v>0</v>
      </c>
      <c r="E79" s="704"/>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5"/>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4.4" hidden="1">
      <c r="A81" s="1965" t="s">
        <v>2069</v>
      </c>
      <c r="B81" s="1966">
        <f>1+E83</f>
        <v>1</v>
      </c>
      <c r="C81" s="698"/>
      <c r="D81" s="698"/>
      <c r="E81" s="699"/>
      <c r="F81" s="1967"/>
      <c r="G81" s="3"/>
      <c r="H81" s="3"/>
      <c r="I81" s="3"/>
      <c r="J81" s="4"/>
      <c r="K81" s="4"/>
      <c r="L81" s="4"/>
      <c r="M81" s="4"/>
      <c r="N81" s="4"/>
      <c r="Z81" s="1843"/>
      <c r="AA81" s="1893"/>
      <c r="AG81" s="1056"/>
      <c r="AK81" s="1893"/>
    </row>
    <row r="82" spans="1:37" ht="25.2" hidden="1">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6"/>
      <c r="AK82" s="1893"/>
    </row>
    <row r="83" spans="1:37" ht="39.6" hidden="1">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3">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hidden="1">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3">
        <v>0.3</v>
      </c>
      <c r="J84" s="999">
        <f t="shared" si="24"/>
        <v>0</v>
      </c>
      <c r="K84" s="999">
        <f t="shared" si="25"/>
        <v>0</v>
      </c>
      <c r="L84" s="999">
        <v>0</v>
      </c>
      <c r="M84" s="999">
        <f t="shared" si="26"/>
        <v>0</v>
      </c>
      <c r="N84" s="999">
        <f t="shared" si="26"/>
        <v>0</v>
      </c>
      <c r="Z84" s="1843"/>
      <c r="AA84" s="1893"/>
      <c r="AG84" s="1056"/>
      <c r="AK84" s="1893"/>
    </row>
    <row r="85" spans="1:37" ht="48" hidden="1">
      <c r="A85" s="3065" t="s">
        <v>3265</v>
      </c>
      <c r="B85" s="1260">
        <f>估价对象房地状况!G17</f>
        <v>0</v>
      </c>
      <c r="C85" s="1885"/>
      <c r="D85" s="1000">
        <f t="shared" si="22"/>
        <v>0</v>
      </c>
      <c r="E85" s="704"/>
      <c r="F85" s="1673"/>
      <c r="G85" s="998"/>
      <c r="H85" s="1001" t="str">
        <f t="shared" si="23"/>
        <v>——</v>
      </c>
      <c r="I85" s="3063">
        <v>0.1</v>
      </c>
      <c r="J85" s="999">
        <f t="shared" si="24"/>
        <v>0</v>
      </c>
      <c r="K85" s="999">
        <f t="shared" si="25"/>
        <v>0</v>
      </c>
      <c r="L85" s="999">
        <v>0</v>
      </c>
      <c r="M85" s="999">
        <f t="shared" si="26"/>
        <v>0</v>
      </c>
      <c r="N85" s="999">
        <f t="shared" si="26"/>
        <v>0</v>
      </c>
      <c r="Z85" s="1843"/>
      <c r="AA85" s="1893"/>
      <c r="AG85" s="1056"/>
      <c r="AK85" s="1893"/>
    </row>
    <row r="86" spans="1:37" ht="13.8" hidden="1">
      <c r="A86" s="1968" t="s">
        <v>2067</v>
      </c>
      <c r="B86" s="1260">
        <f>估价对象房地状况!G22</f>
        <v>0</v>
      </c>
      <c r="C86" s="1885"/>
      <c r="D86" s="1000">
        <f t="shared" si="22"/>
        <v>0</v>
      </c>
      <c r="E86" s="704"/>
      <c r="F86" s="1673"/>
      <c r="G86" s="998"/>
      <c r="H86" s="1001" t="str">
        <f t="shared" si="23"/>
        <v>——</v>
      </c>
      <c r="I86" s="3063">
        <v>0.05</v>
      </c>
      <c r="J86" s="999">
        <f t="shared" si="24"/>
        <v>0</v>
      </c>
      <c r="K86" s="999">
        <f t="shared" si="25"/>
        <v>0</v>
      </c>
      <c r="L86" s="999">
        <v>0</v>
      </c>
      <c r="M86" s="999">
        <f t="shared" si="26"/>
        <v>0</v>
      </c>
      <c r="N86" s="999">
        <f t="shared" si="26"/>
        <v>0</v>
      </c>
      <c r="Z86" s="1843"/>
      <c r="AA86" s="1893"/>
      <c r="AG86" s="1056"/>
      <c r="AK86" s="1893"/>
    </row>
    <row r="87" spans="1:37" ht="26.4" hidden="1">
      <c r="A87" s="1968" t="s">
        <v>2059</v>
      </c>
      <c r="B87" s="1238" t="str">
        <f>估价对象房地状况!G19</f>
        <v>估价对象所在区域公共配套设施齐备情况</v>
      </c>
      <c r="C87" s="1885"/>
      <c r="D87" s="1000">
        <f t="shared" si="22"/>
        <v>0</v>
      </c>
      <c r="E87" s="704"/>
      <c r="F87" s="1673"/>
      <c r="G87" s="998"/>
      <c r="H87" s="1001" t="str">
        <f t="shared" si="23"/>
        <v>——</v>
      </c>
      <c r="I87" s="3063">
        <v>0.06</v>
      </c>
      <c r="J87" s="999">
        <f t="shared" si="24"/>
        <v>0</v>
      </c>
      <c r="K87" s="999">
        <f t="shared" si="25"/>
        <v>0</v>
      </c>
      <c r="L87" s="999">
        <v>0</v>
      </c>
      <c r="M87" s="999">
        <f t="shared" si="26"/>
        <v>0</v>
      </c>
      <c r="N87" s="999">
        <f t="shared" si="26"/>
        <v>0</v>
      </c>
    </row>
    <row r="88" spans="1:37" ht="26.4" hidden="1">
      <c r="A88" s="1968" t="s">
        <v>2060</v>
      </c>
      <c r="B88" s="1238" t="str">
        <f>估价对象房地状况!G20</f>
        <v>估价对象所在区域基础设施水平</v>
      </c>
      <c r="C88" s="1885"/>
      <c r="D88" s="1000">
        <f t="shared" si="22"/>
        <v>0</v>
      </c>
      <c r="E88" s="704"/>
      <c r="F88" s="1673"/>
      <c r="G88" s="998"/>
      <c r="H88" s="1001" t="str">
        <f t="shared" si="23"/>
        <v>——</v>
      </c>
      <c r="I88" s="3063">
        <v>0.12</v>
      </c>
      <c r="J88" s="999">
        <f t="shared" si="24"/>
        <v>0</v>
      </c>
      <c r="K88" s="999">
        <f t="shared" si="25"/>
        <v>0</v>
      </c>
      <c r="L88" s="999">
        <v>0</v>
      </c>
      <c r="M88" s="999">
        <f t="shared" si="26"/>
        <v>0</v>
      </c>
      <c r="N88" s="999">
        <f t="shared" si="26"/>
        <v>0</v>
      </c>
    </row>
    <row r="89" spans="1:37" ht="36" hidden="1">
      <c r="A89" s="1968" t="s">
        <v>2057</v>
      </c>
      <c r="B89" s="1973" t="s">
        <v>2071</v>
      </c>
      <c r="C89" s="1885"/>
      <c r="D89" s="1000">
        <f t="shared" si="22"/>
        <v>0</v>
      </c>
      <c r="E89" s="704"/>
      <c r="F89" s="1673"/>
      <c r="G89" s="998"/>
      <c r="H89" s="1001" t="str">
        <f t="shared" si="23"/>
        <v>——</v>
      </c>
      <c r="I89" s="3063">
        <v>0.06</v>
      </c>
      <c r="J89" s="999">
        <f t="shared" si="24"/>
        <v>0</v>
      </c>
      <c r="K89" s="999">
        <f t="shared" si="25"/>
        <v>0</v>
      </c>
      <c r="L89" s="999">
        <v>0</v>
      </c>
      <c r="M89" s="999">
        <f t="shared" si="26"/>
        <v>0</v>
      </c>
      <c r="N89" s="999">
        <f t="shared" si="26"/>
        <v>0</v>
      </c>
    </row>
    <row r="90" spans="1:37" ht="40.200000000000003" hidden="1"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4">
        <v>0.05</v>
      </c>
      <c r="J90" s="999">
        <f t="shared" si="24"/>
        <v>0</v>
      </c>
      <c r="K90" s="999">
        <f t="shared" si="25"/>
        <v>0</v>
      </c>
      <c r="L90" s="999">
        <v>0</v>
      </c>
      <c r="M90" s="999">
        <f t="shared" si="26"/>
        <v>0</v>
      </c>
      <c r="N90" s="999">
        <f t="shared" si="26"/>
        <v>0</v>
      </c>
    </row>
    <row r="91" spans="1:37" ht="13.8" hidden="1">
      <c r="A91" s="3073" t="s">
        <v>2608</v>
      </c>
      <c r="B91" s="3074">
        <f>1+E93</f>
        <v>1</v>
      </c>
      <c r="C91" s="3067"/>
      <c r="D91" s="3068"/>
      <c r="E91" s="1673"/>
      <c r="F91" s="1673"/>
      <c r="G91" s="3069"/>
      <c r="H91" s="3070"/>
      <c r="I91" s="3071"/>
      <c r="J91" s="3072"/>
      <c r="K91" s="3072"/>
      <c r="L91" s="3072"/>
      <c r="M91" s="3072"/>
      <c r="N91" s="3072"/>
    </row>
    <row r="92" spans="1:37" ht="25.2" hidden="1">
      <c r="A92" s="3075" t="s">
        <v>3266</v>
      </c>
      <c r="B92" s="2305"/>
      <c r="C92" s="2305" t="s">
        <v>3275</v>
      </c>
      <c r="D92" s="2305" t="s">
        <v>3276</v>
      </c>
      <c r="E92" s="3047" t="s">
        <v>3277</v>
      </c>
      <c r="F92" s="3077" t="s">
        <v>3278</v>
      </c>
      <c r="G92" s="2305" t="s">
        <v>3279</v>
      </c>
      <c r="H92" s="3084" t="s">
        <v>3282</v>
      </c>
      <c r="I92" s="2305" t="s">
        <v>3283</v>
      </c>
      <c r="J92" s="2148" t="s">
        <v>3284</v>
      </c>
      <c r="K92" s="2148" t="s">
        <v>3285</v>
      </c>
      <c r="L92" s="2148" t="s">
        <v>3286</v>
      </c>
      <c r="M92" s="2148" t="s">
        <v>3287</v>
      </c>
      <c r="N92" s="2148" t="s">
        <v>3288</v>
      </c>
    </row>
    <row r="93" spans="1:37" ht="24" hidden="1">
      <c r="A93" s="3065" t="s">
        <v>3267</v>
      </c>
      <c r="B93" s="1219"/>
      <c r="C93" s="1885"/>
      <c r="D93" s="2305">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66" hidden="1">
      <c r="A94" s="3075" t="s">
        <v>3268</v>
      </c>
      <c r="B94" s="3066" t="str">
        <f>估价对象房地状况!C18</f>
        <v>周边有顺12、顺13、顺16路等多条及地铁15号线，周边道路密集，停车便捷程度，综合评价交通便捷度较好</v>
      </c>
      <c r="C94" s="1885"/>
      <c r="D94" s="2305">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48" hidden="1">
      <c r="A95" s="3065" t="s">
        <v>3264</v>
      </c>
      <c r="B95" s="3066">
        <f>估价对象房地状况!C19</f>
        <v>0</v>
      </c>
      <c r="C95" s="1885"/>
      <c r="D95" s="2305">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7.200000000000003" hidden="1">
      <c r="A96" s="3075" t="s">
        <v>3269</v>
      </c>
      <c r="B96" s="3081" t="s">
        <v>3280</v>
      </c>
      <c r="C96" s="1885"/>
      <c r="D96" s="2305">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6.4" hidden="1">
      <c r="A97" s="3075" t="s">
        <v>3270</v>
      </c>
      <c r="B97" s="3066" t="str">
        <f>估价对象房地状况!C24</f>
        <v>城市主干道——新顺南大街</v>
      </c>
      <c r="C97" s="1885"/>
      <c r="D97" s="2305">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36" hidden="1">
      <c r="A98" s="3075" t="s">
        <v>3271</v>
      </c>
      <c r="B98" s="3082" t="s">
        <v>3281</v>
      </c>
      <c r="C98" s="1885"/>
      <c r="D98" s="2305">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2.8" hidden="1">
      <c r="A99" s="3075" t="s">
        <v>3272</v>
      </c>
      <c r="B99" s="3066" t="str">
        <f>估价对象房地状况!C21</f>
        <v>估价对象所在区域银行、购物场所、学校等公共配套设施齐备，综合评价公共配套设施水平较好</v>
      </c>
      <c r="C99" s="1885"/>
      <c r="D99" s="2305">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6.4" hidden="1">
      <c r="A100" s="3075" t="s">
        <v>3273</v>
      </c>
      <c r="B100" s="3066" t="str">
        <f>估价对象房地状况!C22</f>
        <v>估价对象所在区域基础设施水平“七通一平</v>
      </c>
      <c r="C100" s="1885"/>
      <c r="D100" s="2305">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53.4" hidden="1" thickBot="1">
      <c r="A101" s="3076" t="s">
        <v>3274</v>
      </c>
      <c r="B101" s="3083" t="str">
        <f>估价对象房地状况!C20</f>
        <v>区域内有顺义公园、怡园公园、潮白河等自然及人文环境，综合评价自然及人文环境状况较好。</v>
      </c>
      <c r="C101" s="1885"/>
      <c r="D101" s="2305">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371" t="s">
        <v>3289</v>
      </c>
      <c r="B103" s="3371"/>
      <c r="C103" s="3371"/>
      <c r="D103" s="3371"/>
      <c r="E103" s="3371"/>
      <c r="F103" s="3371"/>
      <c r="G103" s="3371"/>
      <c r="H103" s="3371"/>
      <c r="I103" s="3371"/>
      <c r="J103" s="3371"/>
      <c r="K103" s="1665"/>
      <c r="L103" s="1665"/>
      <c r="M103" s="1665"/>
      <c r="N103" s="1665"/>
    </row>
    <row r="104" spans="1:14">
      <c r="A104" s="3372" t="s">
        <v>3290</v>
      </c>
      <c r="B104" s="3372" t="s">
        <v>3291</v>
      </c>
      <c r="C104" s="3085" t="s">
        <v>3292</v>
      </c>
      <c r="D104" s="3086"/>
      <c r="E104" s="3086"/>
      <c r="F104" s="3086"/>
      <c r="G104" s="3086"/>
      <c r="H104" s="3086"/>
      <c r="I104" s="3086"/>
      <c r="J104" s="3087"/>
      <c r="K104" s="3088"/>
      <c r="L104" s="3088"/>
      <c r="M104" s="3088"/>
      <c r="N104" s="3088"/>
    </row>
    <row r="105" spans="1:14">
      <c r="A105" s="3372"/>
      <c r="B105" s="3372"/>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58"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5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5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5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5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59"/>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0"/>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1" t="s">
        <v>3306</v>
      </c>
      <c r="B113" s="3361"/>
      <c r="C113" s="3361"/>
      <c r="D113" s="3361"/>
      <c r="E113" s="3361"/>
      <c r="F113" s="3361"/>
      <c r="G113" s="3361"/>
      <c r="H113" s="3361"/>
      <c r="I113" s="3361"/>
      <c r="J113" s="3361"/>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8" thickBot="1">
      <c r="A115" s="3092"/>
      <c r="B115" s="3092"/>
      <c r="C115" s="3092"/>
      <c r="D115" s="3092"/>
      <c r="E115" s="3092"/>
      <c r="F115" s="3092"/>
      <c r="G115" s="3092"/>
      <c r="H115" s="3092"/>
      <c r="I115" s="3092"/>
      <c r="J115" s="3092"/>
      <c r="K115" s="1962"/>
      <c r="L115" s="3092"/>
      <c r="M115" s="3092"/>
      <c r="N115" s="3092"/>
    </row>
    <row r="116" spans="1:14" ht="25.8" thickBot="1">
      <c r="A116" s="3093" t="s">
        <v>3307</v>
      </c>
      <c r="B116" s="3109">
        <f>G3</f>
        <v>1.72</v>
      </c>
      <c r="C116" s="3094" t="s">
        <v>3308</v>
      </c>
      <c r="D116" s="3095">
        <f>SUMPRODUCT((A118:A122=F116)*(B117:M117=H116)*B118:M122)</f>
        <v>0.92490000000000006</v>
      </c>
      <c r="E116" s="161" t="s">
        <v>3309</v>
      </c>
      <c r="F116" s="3096" t="str">
        <f>E2</f>
        <v>商业</v>
      </c>
      <c r="G116" s="161" t="s">
        <v>3310</v>
      </c>
      <c r="H116" s="3096" t="str">
        <f>G2</f>
        <v>七级</v>
      </c>
      <c r="I116" s="161"/>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0.97789999999999999</v>
      </c>
      <c r="C118" s="3084">
        <f>B118</f>
        <v>0.97789999999999999</v>
      </c>
      <c r="D118" s="3084">
        <f>ROUND(0.949-0.014*B116,4)</f>
        <v>0.92490000000000006</v>
      </c>
      <c r="E118" s="3084">
        <f>D118</f>
        <v>0.92490000000000006</v>
      </c>
      <c r="F118" s="3084">
        <f>E118</f>
        <v>0.92490000000000006</v>
      </c>
      <c r="G118" s="3084">
        <f>F118</f>
        <v>0.92490000000000006</v>
      </c>
      <c r="H118" s="3084">
        <f>G118</f>
        <v>0.92490000000000006</v>
      </c>
      <c r="I118" s="3084">
        <f>ROUND(0.8486-0.018*B116,4)</f>
        <v>0.81759999999999999</v>
      </c>
      <c r="J118" s="3084">
        <f t="shared" ref="J118:M122" si="35">I118</f>
        <v>0.81759999999999999</v>
      </c>
      <c r="K118" s="3084">
        <f t="shared" si="35"/>
        <v>0.81759999999999999</v>
      </c>
      <c r="L118" s="3084">
        <f t="shared" si="35"/>
        <v>0.81759999999999999</v>
      </c>
      <c r="M118" s="3104">
        <f t="shared" si="35"/>
        <v>0.81759999999999999</v>
      </c>
      <c r="N118" s="3092"/>
    </row>
    <row r="119" spans="1:14">
      <c r="A119" s="3052" t="s">
        <v>3324</v>
      </c>
      <c r="B119" s="3084">
        <f>ROUND(0.993-0.0112*B116,4)</f>
        <v>0.97370000000000001</v>
      </c>
      <c r="C119" s="3084">
        <f>B119</f>
        <v>0.97370000000000001</v>
      </c>
      <c r="D119" s="3084">
        <f>ROUND(0.9415-0.0142*B116,4)</f>
        <v>0.91710000000000003</v>
      </c>
      <c r="E119" s="3084">
        <f t="shared" ref="E119:H120" si="36">D119</f>
        <v>0.91710000000000003</v>
      </c>
      <c r="F119" s="3084">
        <f t="shared" si="36"/>
        <v>0.91710000000000003</v>
      </c>
      <c r="G119" s="3084">
        <f t="shared" si="36"/>
        <v>0.91710000000000003</v>
      </c>
      <c r="H119" s="3084">
        <f t="shared" si="36"/>
        <v>0.91710000000000003</v>
      </c>
      <c r="I119" s="3084">
        <f>ROUND(0.838-0.0182*B116,4)</f>
        <v>0.80669999999999997</v>
      </c>
      <c r="J119" s="3084">
        <f t="shared" si="35"/>
        <v>0.80669999999999997</v>
      </c>
      <c r="K119" s="3084">
        <f t="shared" si="35"/>
        <v>0.80669999999999997</v>
      </c>
      <c r="L119" s="3084">
        <f t="shared" si="35"/>
        <v>0.80669999999999997</v>
      </c>
      <c r="M119" s="3104">
        <f t="shared" si="35"/>
        <v>0.80669999999999997</v>
      </c>
      <c r="N119" s="3092"/>
    </row>
    <row r="120" spans="1:14">
      <c r="A120" s="3052" t="s">
        <v>3325</v>
      </c>
      <c r="B120" s="3084">
        <f>ROUND(0.9448-0.0115*B116,4)</f>
        <v>0.92500000000000004</v>
      </c>
      <c r="C120" s="3084">
        <f>B120</f>
        <v>0.92500000000000004</v>
      </c>
      <c r="D120" s="3084">
        <f>ROUND(0.937-0.0145*B116,4)</f>
        <v>0.91210000000000002</v>
      </c>
      <c r="E120" s="3084">
        <f t="shared" si="36"/>
        <v>0.91210000000000002</v>
      </c>
      <c r="F120" s="3084">
        <f t="shared" si="36"/>
        <v>0.91210000000000002</v>
      </c>
      <c r="G120" s="3084">
        <f t="shared" si="36"/>
        <v>0.91210000000000002</v>
      </c>
      <c r="H120" s="3084">
        <f t="shared" si="36"/>
        <v>0.91210000000000002</v>
      </c>
      <c r="I120" s="3084">
        <f>ROUND(0.7965-0.0185*B116,4)</f>
        <v>0.76470000000000005</v>
      </c>
      <c r="J120" s="3084">
        <f t="shared" si="35"/>
        <v>0.76470000000000005</v>
      </c>
      <c r="K120" s="3084">
        <f t="shared" si="35"/>
        <v>0.76470000000000005</v>
      </c>
      <c r="L120" s="3084">
        <f t="shared" si="35"/>
        <v>0.76470000000000005</v>
      </c>
      <c r="M120" s="3104">
        <f t="shared" si="35"/>
        <v>0.76470000000000005</v>
      </c>
      <c r="N120" s="3092"/>
    </row>
    <row r="121" spans="1:14" ht="13.8" thickBot="1">
      <c r="A121" s="3105" t="s">
        <v>3326</v>
      </c>
      <c r="B121" s="3106">
        <f>ROUND(0.7836-0.012*B116,4)</f>
        <v>0.76300000000000001</v>
      </c>
      <c r="C121" s="3106">
        <f>B121</f>
        <v>0.76300000000000001</v>
      </c>
      <c r="D121" s="3106">
        <f>ROUND(0.753-0.015*B116,4)</f>
        <v>0.72719999999999996</v>
      </c>
      <c r="E121" s="3106">
        <f>D121</f>
        <v>0.72719999999999996</v>
      </c>
      <c r="F121" s="3106">
        <f>E121</f>
        <v>0.72719999999999996</v>
      </c>
      <c r="G121" s="3106">
        <f>ROUND(0.6612-0.018*B116,4)</f>
        <v>0.63019999999999998</v>
      </c>
      <c r="H121" s="3106">
        <f>G121</f>
        <v>0.63019999999999998</v>
      </c>
      <c r="I121" s="3106">
        <f>ROUND(0.5905-0.019*B116,4)</f>
        <v>0.55779999999999996</v>
      </c>
      <c r="J121" s="3106">
        <f t="shared" si="35"/>
        <v>0.55779999999999996</v>
      </c>
      <c r="K121" s="3106">
        <f t="shared" si="35"/>
        <v>0.55779999999999996</v>
      </c>
      <c r="L121" s="3106">
        <f t="shared" si="35"/>
        <v>0.55779999999999996</v>
      </c>
      <c r="M121" s="3107">
        <f t="shared" si="35"/>
        <v>0.55779999999999996</v>
      </c>
      <c r="N121" s="3092"/>
    </row>
    <row r="122" spans="1:14">
      <c r="A122" s="3108" t="s">
        <v>2608</v>
      </c>
      <c r="B122" s="3084">
        <f>ROUND(0.9404-0.0106*B116,4)</f>
        <v>0.92220000000000002</v>
      </c>
      <c r="C122" s="3084">
        <f>B122</f>
        <v>0.92220000000000002</v>
      </c>
      <c r="D122" s="3084">
        <f>ROUND(0.8955-0.0135*B116,4)</f>
        <v>0.87229999999999996</v>
      </c>
      <c r="E122" s="3084">
        <f t="shared" ref="E122:H122" si="37">D122</f>
        <v>0.87229999999999996</v>
      </c>
      <c r="F122" s="3084">
        <f t="shared" si="37"/>
        <v>0.87229999999999996</v>
      </c>
      <c r="G122" s="3084">
        <f t="shared" si="37"/>
        <v>0.87229999999999996</v>
      </c>
      <c r="H122" s="3084">
        <f t="shared" si="37"/>
        <v>0.87229999999999996</v>
      </c>
      <c r="I122" s="3084">
        <f>ROUND(0.7632-0.0166*B116,4)</f>
        <v>0.73460000000000003</v>
      </c>
      <c r="J122" s="3084">
        <f t="shared" si="35"/>
        <v>0.73460000000000003</v>
      </c>
      <c r="K122" s="3084">
        <f t="shared" si="35"/>
        <v>0.73460000000000003</v>
      </c>
      <c r="L122" s="3084">
        <f t="shared" si="35"/>
        <v>0.73460000000000003</v>
      </c>
      <c r="M122" s="3104">
        <f t="shared" si="35"/>
        <v>0.73460000000000003</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M42" sqref="M42"/>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2"/>
      <c r="C1" s="189"/>
      <c r="D1" s="189"/>
      <c r="E1" s="189"/>
      <c r="F1" s="189"/>
      <c r="G1" s="1060">
        <f>MATCH(B1,'数据-取费表'!A6:A16,0)+5</f>
        <v>7</v>
      </c>
    </row>
    <row r="2" spans="1:9" s="191" customFormat="1" ht="18" customHeight="1">
      <c r="A2" s="192" t="s">
        <v>1462</v>
      </c>
      <c r="B2" s="193">
        <f ca="1">IF(D2="——",C52,C52-E2)</f>
        <v>242461</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17849</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98727</v>
      </c>
      <c r="D5" s="202" t="s">
        <v>1469</v>
      </c>
      <c r="E5" s="203" t="s">
        <v>1470</v>
      </c>
      <c r="F5" s="203" t="s">
        <v>1471</v>
      </c>
      <c r="G5" s="204"/>
    </row>
    <row r="6" spans="1:9" s="205" customFormat="1" ht="13.5" customHeight="1">
      <c r="A6" s="731" t="s">
        <v>1472</v>
      </c>
      <c r="B6" s="206" t="s">
        <v>1473</v>
      </c>
      <c r="C6" s="207">
        <f>基准地价修正!B2</f>
        <v>93300</v>
      </c>
      <c r="D6" s="208"/>
      <c r="E6" s="209"/>
      <c r="F6" s="209"/>
      <c r="G6" s="210"/>
    </row>
    <row r="7" spans="1:9" s="205" customFormat="1" ht="13.5" customHeight="1">
      <c r="A7" s="731" t="s">
        <v>1474</v>
      </c>
      <c r="B7" s="206" t="s">
        <v>1475</v>
      </c>
      <c r="C7" s="211">
        <f>ROUND(C6*F7,0)</f>
        <v>2846</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2581</v>
      </c>
      <c r="D8" s="213"/>
      <c r="E8" s="211"/>
      <c r="F8" s="212"/>
      <c r="G8" s="1712" t="s">
        <v>3414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3" t="s">
        <v>3481</v>
      </c>
      <c r="H9" s="1068"/>
      <c r="I9" s="1714" t="s">
        <v>1479</v>
      </c>
    </row>
    <row r="10" spans="1:9" s="205" customFormat="1" ht="13.5" customHeight="1">
      <c r="A10" s="732" t="s">
        <v>356</v>
      </c>
      <c r="B10" s="215" t="s">
        <v>1480</v>
      </c>
      <c r="C10" s="216">
        <f ca="1">ROUND(D10*E10/10000,0)</f>
        <v>2581</v>
      </c>
      <c r="D10" s="794">
        <f ca="1">IF(B1="",'数据-汇总表'!E6,IF(INDIRECT("'数据-取费表'!c"&amp;$G$1)="住宅",INDIRECT("'数据-取费表'!s"&amp;$G$1),INDIRECT("'数据-取费表'!k"&amp;$G$1)+INDIRECT("'数据-取费表'!s"&amp;$G$1)))</f>
        <v>135843.08000000002</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135843.08000000002</v>
      </c>
      <c r="E19" s="202">
        <f>'数据-取费表'!B31</f>
        <v>200</v>
      </c>
      <c r="F19" s="222"/>
      <c r="G19" s="1712" t="s">
        <v>3415</v>
      </c>
    </row>
    <row r="20" spans="1:7" s="205" customFormat="1" ht="13.5" customHeight="1">
      <c r="A20" s="246" t="s">
        <v>1493</v>
      </c>
      <c r="B20" s="201" t="s">
        <v>1494</v>
      </c>
      <c r="C20" s="223">
        <f>ROUND((C5+C19)*F20,0)</f>
        <v>2962</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f ca="1">ROUND(SUM(C23:C25),0)</f>
        <v>9608</v>
      </c>
      <c r="D22" s="226">
        <f ca="1">C26</f>
        <v>8.9999999999999998E-4</v>
      </c>
      <c r="E22" s="227" t="s">
        <v>1498</v>
      </c>
      <c r="F22" s="228">
        <f ca="1">'数据-取费表'!B40</f>
        <v>3.1E-2</v>
      </c>
      <c r="G22" s="225" t="str">
        <f>IF('数据-取费表'!B22&lt;=1,"单利计息","复利计息")</f>
        <v>复利计息</v>
      </c>
    </row>
    <row r="23" spans="1:7" s="205" customFormat="1" ht="13.5" customHeight="1">
      <c r="A23" s="733" t="s">
        <v>1502</v>
      </c>
      <c r="B23" s="206" t="s">
        <v>1503</v>
      </c>
      <c r="C23" s="1040">
        <f ca="1">ROUND(IF('数据-取费表'!B22&lt;=1,C5*F22*'数据-取费表'!B23,C5*(POWER((1+F22),'数据-取费表'!B23)-1)),0)</f>
        <v>9469</v>
      </c>
      <c r="D23" s="229"/>
      <c r="E23" s="229"/>
      <c r="F23" s="230"/>
      <c r="G23" s="231" t="s">
        <v>1504</v>
      </c>
    </row>
    <row r="24" spans="1:7" s="205" customFormat="1" ht="13.5" customHeight="1">
      <c r="A24" s="733"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0">
        <f ca="1">ROUND(IF('数据-取费表'!B22&lt;=1,C20*F22*'数据-取费表'!B23/2,C20*(POWER((1+F22),'数据-取费表'!B23/2)-1)),0)</f>
        <v>139</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20338</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20338</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142802</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84155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74714</v>
      </c>
      <c r="D34" s="208"/>
      <c r="E34" s="211"/>
      <c r="F34" s="248">
        <f ca="1">IF('数据-取费表'!B24=0,1,IF(B1="",'数据-取费表'!N16,INDIRECT("'数据-取费表'!n"&amp;$G$1)))</f>
        <v>1</v>
      </c>
      <c r="G34" s="210" t="s">
        <v>1526</v>
      </c>
    </row>
    <row r="35" spans="1:7" ht="13.5" customHeight="1">
      <c r="A35" s="733" t="s">
        <v>351</v>
      </c>
      <c r="B35" s="206" t="s">
        <v>1527</v>
      </c>
      <c r="C35" s="211">
        <f ca="1">ROUND(C34*F35,0)</f>
        <v>5230</v>
      </c>
      <c r="D35" s="211"/>
      <c r="E35" s="211"/>
      <c r="F35" s="250">
        <f>'数据-取费表'!B33</f>
        <v>7.0000000000000007E-2</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2717</v>
      </c>
      <c r="D37" s="208">
        <f ca="1">D19</f>
        <v>135843.08000000002</v>
      </c>
      <c r="E37" s="240">
        <f>'数据-取费表'!B35</f>
        <v>200</v>
      </c>
      <c r="F37" s="250"/>
      <c r="G37" s="252" t="s">
        <v>1532</v>
      </c>
    </row>
    <row r="38" spans="1:7" ht="13.5" customHeight="1">
      <c r="A38" s="733" t="s">
        <v>354</v>
      </c>
      <c r="B38" s="206" t="s">
        <v>1533</v>
      </c>
      <c r="C38" s="211">
        <f ca="1">ROUND(C34*F38,0)</f>
        <v>1494</v>
      </c>
      <c r="D38" s="211"/>
      <c r="E38" s="211"/>
      <c r="F38" s="250">
        <f>'数据-取费表'!B36</f>
        <v>0.02</v>
      </c>
      <c r="G38" s="210" t="s">
        <v>1528</v>
      </c>
    </row>
    <row r="39" spans="1:7" s="205" customFormat="1" ht="13.5" customHeight="1">
      <c r="A39" s="246" t="s">
        <v>1534</v>
      </c>
      <c r="B39" s="201" t="s">
        <v>1535</v>
      </c>
      <c r="C39" s="223">
        <f ca="1">ROUND(C33*F20,0)</f>
        <v>2525</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4061</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3943</v>
      </c>
      <c r="D42" s="229"/>
      <c r="E42" s="229"/>
      <c r="F42" s="230"/>
      <c r="G42" s="3377" t="s">
        <v>1544</v>
      </c>
    </row>
    <row r="43" spans="1:7" ht="13.5" customHeight="1">
      <c r="A43" s="733" t="s">
        <v>347</v>
      </c>
      <c r="B43" s="206" t="s">
        <v>1545</v>
      </c>
      <c r="C43" s="229">
        <f ca="1">ROUND(IF('数据-取费表'!B22&lt;=1,C39*F22*'数据-取费表'!B21/2,C39*(POWER((1+F22),'数据-取费表'!B21/2)-1)),0)</f>
        <v>118</v>
      </c>
      <c r="D43" s="229"/>
      <c r="E43" s="229"/>
      <c r="F43" s="230"/>
      <c r="G43" s="3378"/>
    </row>
    <row r="44" spans="1:7" ht="13.5" customHeight="1">
      <c r="A44" s="733" t="s">
        <v>348</v>
      </c>
      <c r="B44" s="206" t="s">
        <v>1546</v>
      </c>
      <c r="C44" s="229">
        <f ca="1">ROUND(IF('数据-取费表'!B22&lt;=1,C40*F22*'数据-取费表'!B21/2,C40*(POWER((1+F22),'数据-取费表'!B21/2)-1)),4)</f>
        <v>8.9999999999999998E-4</v>
      </c>
      <c r="D44" s="229"/>
      <c r="E44" s="229"/>
      <c r="F44" s="230"/>
      <c r="G44" s="3379"/>
    </row>
    <row r="45" spans="1:7" s="205" customFormat="1" ht="13.5" customHeight="1">
      <c r="A45" s="246" t="s">
        <v>1547</v>
      </c>
      <c r="B45" s="235" t="s">
        <v>1513</v>
      </c>
      <c r="C45" s="236">
        <f ca="1">C46</f>
        <v>17336</v>
      </c>
      <c r="D45" s="226">
        <f ca="1">C47</f>
        <v>4.0000000000000001E-3</v>
      </c>
      <c r="E45" s="227" t="s">
        <v>1539</v>
      </c>
      <c r="F45" s="237">
        <f ca="1">F27</f>
        <v>0.2</v>
      </c>
      <c r="G45" s="238" t="s">
        <v>1548</v>
      </c>
    </row>
    <row r="46" spans="1:7" s="205" customFormat="1" ht="13.5" customHeight="1">
      <c r="A46" s="733" t="s">
        <v>346</v>
      </c>
      <c r="B46" s="239" t="s">
        <v>1549</v>
      </c>
      <c r="C46" s="240">
        <f ca="1">ROUND((C33+C39)*F27,0)</f>
        <v>17336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117246</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99659</v>
      </c>
      <c r="D51" s="223"/>
      <c r="E51" s="223"/>
      <c r="F51" s="255"/>
      <c r="G51" s="225" t="s">
        <v>1560</v>
      </c>
    </row>
    <row r="52" spans="1:7" s="199" customFormat="1" ht="16.8" thickBot="1">
      <c r="A52" s="256" t="s">
        <v>1561</v>
      </c>
      <c r="B52" s="257"/>
      <c r="C52" s="258">
        <f ca="1">C31+C51</f>
        <v>242461</v>
      </c>
      <c r="D52" s="257"/>
      <c r="E52" s="257"/>
      <c r="F52" s="257"/>
      <c r="G52" s="259"/>
    </row>
    <row r="55" spans="1:7" ht="15">
      <c r="B55" s="261" t="s">
        <v>1562</v>
      </c>
      <c r="C55" s="262"/>
    </row>
    <row r="56" spans="1:7">
      <c r="B56" s="264" t="s">
        <v>802</v>
      </c>
      <c r="C56" s="266">
        <f ca="1">1-C57</f>
        <v>0.58899999999999997</v>
      </c>
    </row>
    <row r="57" spans="1:7">
      <c r="B57" s="264" t="s">
        <v>803</v>
      </c>
      <c r="C57" s="265">
        <f ca="1">ROUND(C51/C52,3)</f>
        <v>0.41099999999999998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8"/>
      <c r="D1" s="1107"/>
      <c r="E1" s="2562"/>
      <c r="F1" s="2562"/>
      <c r="G1" s="2443"/>
      <c r="H1" s="2562"/>
      <c r="I1" s="2562"/>
      <c r="J1" s="2562"/>
      <c r="K1" s="2563">
        <f>MATCH(C1,'数据-取费表'!A6:A16,0)+5</f>
        <v>7</v>
      </c>
    </row>
    <row r="2" spans="1:33" ht="18" customHeight="1">
      <c r="A2" s="192" t="s">
        <v>1462</v>
      </c>
      <c r="B2" s="195">
        <f ca="1">C32</f>
        <v>0</v>
      </c>
      <c r="C2" s="267" t="s">
        <v>1595</v>
      </c>
      <c r="D2" s="267"/>
      <c r="E2" s="2562"/>
      <c r="F2" s="2562"/>
      <c r="G2" s="2562"/>
      <c r="H2" s="2562"/>
      <c r="I2" s="2562"/>
      <c r="J2" s="2562"/>
      <c r="K2" s="2562"/>
    </row>
    <row r="3" spans="1:33" ht="18" customHeight="1" thickBot="1">
      <c r="A3" s="194" t="s">
        <v>1464</v>
      </c>
      <c r="B3" s="195">
        <f ca="1">ROUND(B2*10000/IF(C1="",'数据-汇总表'!E3,INDIRECT("'数据-取费表'!K"&amp;$K$1)),0)</f>
        <v>0</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7.0000000000000007E-2</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135843.08000000002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135843.08000000002</v>
      </c>
      <c r="E17" s="20">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8"/>
      <c r="H18" s="1104"/>
      <c r="I18" s="1719"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6"/>
      <c r="I19" s="760"/>
      <c r="J19" s="760"/>
      <c r="K19" s="761"/>
    </row>
    <row r="20" spans="1:33" s="754" customFormat="1" ht="13.5" customHeight="1">
      <c r="A20" s="751" t="s">
        <v>361</v>
      </c>
      <c r="B20" s="752" t="s">
        <v>1627</v>
      </c>
      <c r="C20" s="20">
        <f ca="1">ROUND(D20*E20/10000,0)</f>
        <v>2581</v>
      </c>
      <c r="D20" s="795">
        <f ca="1">IF(C1="",'数据-汇总表'!E6,IF(INDIRECT("'数据-取费表'!c"&amp;$K$1)="住宅",INDIRECT("'数据-取费表'!s"&amp;$K$1),INDIRECT("'数据-取费表'!k"&amp;$K$1)+INDIRECT("'数据-取费表'!s"&amp;$K$1)))</f>
        <v>135843.08000000002</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1">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2">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3">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1" t="s">
        <v>2311</v>
      </c>
      <c r="B2" s="2589" t="e">
        <f>IF(D2="——",C40,C40+E2)</f>
        <v>#DIV/0!</v>
      </c>
      <c r="C2" s="2590" t="s">
        <v>2312</v>
      </c>
      <c r="D2" s="3133" t="s">
        <v>3353</v>
      </c>
      <c r="E2" s="3134"/>
      <c r="F2" s="2592"/>
      <c r="G2" s="2593"/>
      <c r="H2" s="2594"/>
      <c r="I2" s="2595"/>
      <c r="J2" s="3386" t="s">
        <v>2313</v>
      </c>
      <c r="K2" s="3387"/>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88" t="s">
        <v>2323</v>
      </c>
      <c r="K3" s="3389"/>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88" t="s">
        <v>2325</v>
      </c>
      <c r="K4" s="3389"/>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394" t="s">
        <v>2329</v>
      </c>
      <c r="B6" s="3395"/>
      <c r="C6" s="3396"/>
      <c r="D6" s="2616"/>
      <c r="E6" s="2617"/>
      <c r="F6" s="2618"/>
      <c r="G6" s="2619"/>
      <c r="H6" s="2594"/>
      <c r="I6" s="2595"/>
      <c r="J6" s="3380">
        <v>1</v>
      </c>
      <c r="K6" s="3381"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80"/>
      <c r="K7" s="3382"/>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397" t="s">
        <v>2343</v>
      </c>
      <c r="C8" s="3398"/>
      <c r="D8" s="2635" t="s">
        <v>2344</v>
      </c>
      <c r="E8" s="2636" t="s">
        <v>2345</v>
      </c>
      <c r="F8" s="2637" t="s">
        <v>2346</v>
      </c>
      <c r="G8" s="2638"/>
      <c r="H8" s="2594"/>
      <c r="I8" s="2595"/>
      <c r="J8" s="3380"/>
      <c r="K8" s="3382"/>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397" t="s">
        <v>2349</v>
      </c>
      <c r="C9" s="3398"/>
      <c r="D9" s="2635">
        <f>ROUND(D6*E9,0)</f>
        <v>0</v>
      </c>
      <c r="E9" s="2639"/>
      <c r="F9" s="2640" t="s">
        <v>2350</v>
      </c>
      <c r="G9" s="2619"/>
      <c r="H9" s="2594"/>
      <c r="I9" s="2595"/>
      <c r="J9" s="3380"/>
      <c r="K9" s="3382"/>
      <c r="L9" s="2629" t="s">
        <v>2351</v>
      </c>
      <c r="M9" s="2630"/>
      <c r="N9" s="2606"/>
      <c r="O9" s="2631"/>
      <c r="P9" s="2631"/>
      <c r="Q9" s="2632">
        <v>365</v>
      </c>
      <c r="R9" s="2633">
        <f t="shared" si="0"/>
        <v>0</v>
      </c>
      <c r="S9" s="2587"/>
      <c r="T9" s="2587"/>
      <c r="U9" s="2587"/>
      <c r="V9" s="2595"/>
    </row>
    <row r="10" spans="1:22" s="2599" customFormat="1" ht="13.2" customHeight="1">
      <c r="A10" s="2634">
        <v>2</v>
      </c>
      <c r="B10" s="3397" t="s">
        <v>2352</v>
      </c>
      <c r="C10" s="3398"/>
      <c r="D10" s="2635">
        <f>ROUND(D6*E10,0)</f>
        <v>0</v>
      </c>
      <c r="E10" s="2639"/>
      <c r="F10" s="2640" t="s">
        <v>2353</v>
      </c>
      <c r="G10" s="2619"/>
      <c r="H10" s="2594"/>
      <c r="I10" s="2595"/>
      <c r="J10" s="3380"/>
      <c r="K10" s="3382"/>
      <c r="L10" s="2629" t="s">
        <v>2354</v>
      </c>
      <c r="M10" s="2630"/>
      <c r="N10" s="2606"/>
      <c r="O10" s="2631"/>
      <c r="P10" s="2631"/>
      <c r="Q10" s="2632">
        <v>365</v>
      </c>
      <c r="R10" s="2633">
        <f t="shared" si="0"/>
        <v>0</v>
      </c>
      <c r="S10" s="2587"/>
      <c r="T10" s="2587"/>
      <c r="U10" s="2587"/>
      <c r="V10" s="2595"/>
    </row>
    <row r="11" spans="1:22" s="2599" customFormat="1" ht="13.2" customHeight="1">
      <c r="A11" s="2634">
        <v>3</v>
      </c>
      <c r="B11" s="3397" t="s">
        <v>2355</v>
      </c>
      <c r="C11" s="3398"/>
      <c r="D11" s="2635">
        <f>D12+D14+D15+D16</f>
        <v>0</v>
      </c>
      <c r="E11" s="2641" t="e">
        <f>D11/D6</f>
        <v>#DIV/0!</v>
      </c>
      <c r="F11" s="2637"/>
      <c r="G11" s="2638"/>
      <c r="H11" s="2594"/>
      <c r="I11" s="2595"/>
      <c r="J11" s="3380"/>
      <c r="K11" s="3382"/>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90" t="s">
        <v>2358</v>
      </c>
      <c r="C12" s="3391"/>
      <c r="D12" s="2643">
        <f>ROUND(D13*1.2%*(1-30%),0)</f>
        <v>0</v>
      </c>
      <c r="E12" s="2644">
        <v>1.2E-2</v>
      </c>
      <c r="F12" s="2637" t="s">
        <v>2359</v>
      </c>
      <c r="G12" s="2638"/>
      <c r="H12" s="2594"/>
      <c r="I12" s="2595"/>
      <c r="J12" s="3380"/>
      <c r="K12" s="3382"/>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80"/>
      <c r="K13" s="3382"/>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90" t="s">
        <v>2364</v>
      </c>
      <c r="C14" s="3391"/>
      <c r="D14" s="2643">
        <f>ROUND(E14*B5/10000,0)</f>
        <v>0</v>
      </c>
      <c r="E14" s="2632"/>
      <c r="F14" s="2637" t="s">
        <v>2365</v>
      </c>
      <c r="G14" s="2638"/>
      <c r="H14" s="2594"/>
      <c r="I14" s="2595"/>
      <c r="J14" s="3380"/>
      <c r="K14" s="3383"/>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90" t="s">
        <v>2368</v>
      </c>
      <c r="C15" s="3391"/>
      <c r="D15" s="2643">
        <f>ROUND(D6*E15,0)</f>
        <v>0</v>
      </c>
      <c r="E15" s="2644">
        <v>5.5E-2</v>
      </c>
      <c r="F15" s="2637" t="s">
        <v>2369</v>
      </c>
      <c r="G15" s="2619"/>
      <c r="H15" s="2594"/>
      <c r="I15" s="2595"/>
      <c r="J15" s="3380">
        <v>2</v>
      </c>
      <c r="K15" s="3381"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90" t="s">
        <v>2377</v>
      </c>
      <c r="C16" s="3391"/>
      <c r="D16" s="2654">
        <f>D6*E16</f>
        <v>0</v>
      </c>
      <c r="E16" s="2655"/>
      <c r="F16" s="2640" t="s">
        <v>2378</v>
      </c>
      <c r="G16" s="2619"/>
      <c r="H16" s="2594"/>
      <c r="I16" s="2595"/>
      <c r="J16" s="3380"/>
      <c r="K16" s="3382"/>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392" t="s">
        <v>2380</v>
      </c>
      <c r="C17" s="3393"/>
      <c r="D17" s="2657">
        <f>ROUND(D6*E17,0)</f>
        <v>0</v>
      </c>
      <c r="E17" s="2658"/>
      <c r="F17" s="2659" t="s">
        <v>2381</v>
      </c>
      <c r="G17" s="2619"/>
      <c r="H17" s="2594"/>
      <c r="I17" s="2595"/>
      <c r="J17" s="3380"/>
      <c r="K17" s="3382"/>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80"/>
      <c r="K18" s="3382"/>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80"/>
      <c r="K19" s="3383"/>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80">
        <v>3</v>
      </c>
      <c r="K20" s="3381"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80"/>
      <c r="K21" s="3382"/>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80"/>
      <c r="K22" s="3382"/>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80"/>
      <c r="K23" s="3382"/>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80"/>
      <c r="K24" s="3383"/>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84">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85"/>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86" t="s">
        <v>2313</v>
      </c>
      <c r="K32" s="3387"/>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88" t="s">
        <v>2323</v>
      </c>
      <c r="K33" s="3389"/>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88" t="s">
        <v>2325</v>
      </c>
      <c r="K34" s="3389"/>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80">
        <v>1</v>
      </c>
      <c r="K36" s="3381"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80"/>
      <c r="K37" s="3382"/>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80"/>
      <c r="K38" s="3382"/>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80"/>
      <c r="K39" s="3382"/>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80"/>
      <c r="K40" s="3383"/>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84">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85"/>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1658</v>
      </c>
      <c r="B1" s="1724"/>
      <c r="C1" s="1724"/>
      <c r="D1" s="1724"/>
      <c r="E1" s="1725"/>
      <c r="F1" s="2474"/>
      <c r="G1" s="458"/>
      <c r="H1" s="458"/>
      <c r="I1" s="458"/>
      <c r="J1" s="458"/>
      <c r="K1" s="458"/>
      <c r="L1" s="458"/>
      <c r="M1" s="458"/>
      <c r="N1" s="458"/>
      <c r="O1" s="458"/>
      <c r="P1" s="458"/>
      <c r="Q1" s="458"/>
      <c r="R1" s="458"/>
      <c r="S1" s="458"/>
    </row>
    <row r="2" spans="1:22" ht="15.6">
      <c r="A2" s="1726" t="s">
        <v>1462</v>
      </c>
      <c r="B2" s="810">
        <f ca="1">SUMIF(B6:B13,"&lt;&gt;#ref!",B6:B13)</f>
        <v>161526</v>
      </c>
      <c r="C2" s="1727" t="s">
        <v>1651</v>
      </c>
      <c r="D2" s="1728" t="s">
        <v>1652</v>
      </c>
      <c r="E2" s="2388">
        <f>SUM(E6:E13)</f>
        <v>135843.08000000002</v>
      </c>
      <c r="F2" s="2474"/>
      <c r="G2" s="458"/>
      <c r="H2" s="458"/>
      <c r="I2" s="458"/>
      <c r="J2" s="458"/>
      <c r="K2" s="458"/>
      <c r="L2" s="458"/>
      <c r="M2" s="458"/>
      <c r="N2" s="458"/>
      <c r="O2" s="458"/>
      <c r="P2" s="458"/>
      <c r="Q2" s="458"/>
      <c r="R2" s="458"/>
      <c r="S2" s="458"/>
    </row>
    <row r="3" spans="1:22" ht="15.6">
      <c r="A3" s="1726" t="s">
        <v>686</v>
      </c>
      <c r="B3" s="2382">
        <f ca="1">ROUND(B2*10000/E2,0)</f>
        <v>11891</v>
      </c>
      <c r="C3" s="1727" t="s">
        <v>1659</v>
      </c>
      <c r="D3" s="2474"/>
      <c r="E3" s="2477"/>
      <c r="F3" s="2474"/>
      <c r="G3" s="458"/>
      <c r="H3" s="458"/>
      <c r="I3" s="458"/>
      <c r="J3" s="458"/>
      <c r="K3" s="458"/>
      <c r="L3" s="458"/>
      <c r="M3" s="458"/>
      <c r="N3" s="458"/>
      <c r="O3" s="458"/>
      <c r="P3" s="458"/>
      <c r="Q3" s="458"/>
      <c r="R3" s="458"/>
      <c r="S3" s="458"/>
    </row>
    <row r="4" spans="1:22" ht="15.6">
      <c r="A4" s="2478"/>
      <c r="B4" s="2474"/>
      <c r="C4" s="2474"/>
      <c r="D4" s="2474"/>
      <c r="E4" s="2477"/>
      <c r="F4" s="2474"/>
      <c r="G4" s="458"/>
      <c r="H4" s="458"/>
      <c r="I4" s="458"/>
      <c r="J4" s="458"/>
      <c r="K4" s="458"/>
      <c r="L4" s="458"/>
      <c r="M4" s="458"/>
      <c r="N4" s="458"/>
      <c r="O4" s="458"/>
      <c r="P4" s="458"/>
      <c r="Q4" s="458"/>
      <c r="R4" s="458"/>
      <c r="S4" s="458"/>
    </row>
    <row r="5" spans="1:22" ht="14.4">
      <c r="A5" s="2384" t="s">
        <v>1653</v>
      </c>
      <c r="B5" s="3399" t="s">
        <v>1654</v>
      </c>
      <c r="C5" s="3400"/>
      <c r="D5" s="2475"/>
      <c r="E5" s="1729" t="s">
        <v>1655</v>
      </c>
      <c r="F5" s="128" t="s">
        <v>1656</v>
      </c>
      <c r="G5" s="458"/>
      <c r="H5" s="458"/>
      <c r="I5" s="458"/>
      <c r="J5" s="458"/>
      <c r="K5" s="458"/>
      <c r="L5" s="458"/>
      <c r="M5" s="458"/>
      <c r="N5" s="458"/>
      <c r="O5" s="458"/>
      <c r="P5" s="458"/>
      <c r="Q5" s="458"/>
      <c r="R5" s="458"/>
      <c r="S5" s="458"/>
    </row>
    <row r="6" spans="1:22" ht="14.4">
      <c r="A6" s="2385" t="str">
        <f>'数据-取费表'!AN6</f>
        <v>收益法</v>
      </c>
      <c r="B6" s="2383">
        <f ca="1">IF(F6="是",'数据-取费表'!AO6,0)</f>
        <v>161526</v>
      </c>
      <c r="C6" s="1727" t="s">
        <v>1651</v>
      </c>
      <c r="D6" s="2474"/>
      <c r="E6" s="2387">
        <f>IF(OR(A6=0,F6="否"),0,'数据-取费表'!K6+'数据-取费表'!S6)</f>
        <v>135843.08000000002</v>
      </c>
      <c r="F6" s="1730"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7" t="s">
        <v>1651</v>
      </c>
      <c r="D7" s="2474"/>
      <c r="E7" s="2387">
        <f>IF(OR(A7=0,F7="否"),0,'数据-取费表'!K7+'数据-取费表'!S7)</f>
        <v>0</v>
      </c>
      <c r="F7" s="1730"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7" t="s">
        <v>1651</v>
      </c>
      <c r="D8" s="2474"/>
      <c r="E8" s="2387">
        <f>IF(OR(A8=0,F8="否"),0,'数据-取费表'!K8+'数据-取费表'!S8)</f>
        <v>0</v>
      </c>
      <c r="F8" s="1730"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7" t="s">
        <v>1651</v>
      </c>
      <c r="D9" s="2474"/>
      <c r="E9" s="2387">
        <f>IF(OR(A9=0,F9="否"),0,'数据-取费表'!K9+'数据-取费表'!S9)</f>
        <v>0</v>
      </c>
      <c r="F9" s="1730"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7" t="s">
        <v>1651</v>
      </c>
      <c r="D10" s="2474"/>
      <c r="E10" s="2387">
        <f>IF(OR(A10=0,F10="否"),0,'数据-取费表'!K10+'数据-取费表'!S10)</f>
        <v>0</v>
      </c>
      <c r="F10" s="1730"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7" t="s">
        <v>1651</v>
      </c>
      <c r="D11" s="2474"/>
      <c r="E11" s="2387">
        <f>IF(OR(A11=0,F11="否"),0,'数据-取费表'!K11+'数据-取费表'!S11)</f>
        <v>0</v>
      </c>
      <c r="F11" s="1730"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7" t="s">
        <v>1651</v>
      </c>
      <c r="D12" s="2474"/>
      <c r="E12" s="2387">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1" t="s">
        <v>1651</v>
      </c>
      <c r="D13" s="2476"/>
      <c r="E13" s="2387">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6"/>
    </row>
    <row r="3" spans="1:29" s="337" customFormat="1" ht="28.5" customHeight="1" thickBot="1">
      <c r="A3" s="194" t="s">
        <v>686</v>
      </c>
      <c r="B3" s="342">
        <f>IF(C2="——",C49,ROUND(B2*10000/D3,0))</f>
        <v>0</v>
      </c>
      <c r="C3" s="343" t="s">
        <v>1665</v>
      </c>
      <c r="D3" s="342">
        <f>IF(D1="",'数据-汇总表'!E3,SUMIF('数据-汇总表'!$C19:$C33,D1,'数据-汇总表'!$E19:$E33))</f>
        <v>135843.08000000002</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6"/>
    </row>
    <row r="4" spans="1:29" ht="14.4">
      <c r="A4" s="344" t="s">
        <v>1666</v>
      </c>
      <c r="B4" s="345"/>
      <c r="C4" s="3419" t="s">
        <v>1667</v>
      </c>
      <c r="D4" s="3420"/>
      <c r="E4" s="3421" t="s">
        <v>1668</v>
      </c>
      <c r="F4" s="3422"/>
      <c r="G4" s="3419" t="s">
        <v>1669</v>
      </c>
      <c r="H4" s="3420"/>
      <c r="I4" s="3419" t="s">
        <v>1670</v>
      </c>
      <c r="J4" s="3420"/>
      <c r="K4" s="1742" t="s">
        <v>1671</v>
      </c>
      <c r="L4" s="2481"/>
      <c r="M4" s="2482"/>
      <c r="N4" s="2482"/>
      <c r="O4" s="2482"/>
      <c r="P4" s="3423" t="s">
        <v>1672</v>
      </c>
      <c r="Q4" s="3424"/>
      <c r="R4" s="3429" t="s">
        <v>1668</v>
      </c>
      <c r="S4" s="3430"/>
      <c r="T4" s="3429" t="s">
        <v>1669</v>
      </c>
      <c r="U4" s="3430"/>
      <c r="V4" s="3405" t="s">
        <v>1670</v>
      </c>
      <c r="W4" s="3405"/>
      <c r="X4" s="1263"/>
      <c r="Y4" s="3429" t="s">
        <v>1672</v>
      </c>
      <c r="Z4" s="3430"/>
      <c r="AA4" s="3416" t="s">
        <v>1668</v>
      </c>
      <c r="AB4" s="3416" t="s">
        <v>1669</v>
      </c>
      <c r="AC4" s="3416" t="s">
        <v>1670</v>
      </c>
    </row>
    <row r="5" spans="1:29">
      <c r="A5" s="347"/>
      <c r="B5" s="348"/>
      <c r="C5" s="3437" t="s">
        <v>1673</v>
      </c>
      <c r="D5" s="3438"/>
      <c r="E5" s="3444" t="s">
        <v>1674</v>
      </c>
      <c r="F5" s="3445"/>
      <c r="G5" s="3437" t="s">
        <v>1675</v>
      </c>
      <c r="H5" s="3438"/>
      <c r="I5" s="3437" t="s">
        <v>1676</v>
      </c>
      <c r="J5" s="3438"/>
      <c r="K5" s="1743"/>
      <c r="L5" s="2481"/>
      <c r="M5" s="2482"/>
      <c r="N5" s="2482"/>
      <c r="O5" s="2482"/>
      <c r="P5" s="3425"/>
      <c r="Q5" s="3426"/>
      <c r="R5" s="3431"/>
      <c r="S5" s="3432"/>
      <c r="T5" s="3431"/>
      <c r="U5" s="3432"/>
      <c r="V5" s="3405"/>
      <c r="W5" s="3405"/>
      <c r="X5" s="1263"/>
      <c r="Y5" s="3431"/>
      <c r="Z5" s="3432"/>
      <c r="AA5" s="3417"/>
      <c r="AB5" s="3417"/>
      <c r="AC5" s="3417"/>
    </row>
    <row r="6" spans="1:29" ht="15" thickBot="1">
      <c r="A6" s="349"/>
      <c r="B6" s="350"/>
      <c r="C6" s="3435" t="s">
        <v>1677</v>
      </c>
      <c r="D6" s="3436"/>
      <c r="E6" s="3442" t="s">
        <v>1677</v>
      </c>
      <c r="F6" s="3443"/>
      <c r="G6" s="3435" t="s">
        <v>1677</v>
      </c>
      <c r="H6" s="3436"/>
      <c r="I6" s="3435" t="s">
        <v>1677</v>
      </c>
      <c r="J6" s="3436"/>
      <c r="K6" s="1743" t="s">
        <v>1678</v>
      </c>
      <c r="L6" s="2481"/>
      <c r="M6" s="2482"/>
      <c r="N6" s="2482"/>
      <c r="O6" s="2482"/>
      <c r="P6" s="3427"/>
      <c r="Q6" s="3428"/>
      <c r="R6" s="3431"/>
      <c r="S6" s="3432"/>
      <c r="T6" s="3433"/>
      <c r="U6" s="3434"/>
      <c r="V6" s="3405"/>
      <c r="W6" s="3405"/>
      <c r="X6" s="1263"/>
      <c r="Y6" s="3433"/>
      <c r="Z6" s="3434"/>
      <c r="AA6" s="3418"/>
      <c r="AB6" s="3418"/>
      <c r="AC6" s="3418"/>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1744"/>
      <c r="L7" s="2483"/>
      <c r="M7" s="2435"/>
      <c r="N7" s="2435"/>
      <c r="O7" s="2435"/>
      <c r="P7" s="3439" t="s">
        <v>1680</v>
      </c>
      <c r="Q7" s="3441"/>
      <c r="R7" s="663" t="s">
        <v>20</v>
      </c>
      <c r="S7" s="664">
        <f t="shared" ref="S7:S15" si="0">F7</f>
        <v>0</v>
      </c>
      <c r="T7" s="663" t="s">
        <v>20</v>
      </c>
      <c r="U7" s="664">
        <f t="shared" ref="U7:U15" si="1">H7</f>
        <v>0</v>
      </c>
      <c r="V7" s="663" t="s">
        <v>20</v>
      </c>
      <c r="W7" s="664">
        <f t="shared" ref="W7:W15" si="2">J7</f>
        <v>0</v>
      </c>
      <c r="X7" s="665"/>
      <c r="Y7" s="3439" t="s">
        <v>1680</v>
      </c>
      <c r="Z7" s="3440"/>
      <c r="AA7" s="49" t="e">
        <f>D7/F7</f>
        <v>#DIV/0!</v>
      </c>
      <c r="AB7" s="49" t="e">
        <f>D7/H7</f>
        <v>#DIV/0!</v>
      </c>
      <c r="AC7" s="49" t="e">
        <f>D7/J7</f>
        <v>#DIV/0!</v>
      </c>
    </row>
    <row r="8" spans="1:29" s="101" customFormat="1" ht="1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3"/>
      <c r="M8" s="2435"/>
      <c r="N8" s="2435"/>
      <c r="O8" s="2435"/>
      <c r="P8" s="3439" t="s">
        <v>1683</v>
      </c>
      <c r="Q8" s="3440"/>
      <c r="R8" s="663" t="s">
        <v>20</v>
      </c>
      <c r="S8" s="664">
        <f t="shared" si="0"/>
        <v>100</v>
      </c>
      <c r="T8" s="663" t="s">
        <v>20</v>
      </c>
      <c r="U8" s="664">
        <f t="shared" si="1"/>
        <v>100</v>
      </c>
      <c r="V8" s="663" t="s">
        <v>20</v>
      </c>
      <c r="W8" s="664">
        <f t="shared" si="2"/>
        <v>100</v>
      </c>
      <c r="X8" s="665"/>
      <c r="Y8" s="3439" t="s">
        <v>1683</v>
      </c>
      <c r="Z8" s="3440"/>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4"/>
      <c r="L9" s="2483"/>
      <c r="M9" s="2435"/>
      <c r="N9" s="2435"/>
      <c r="O9" s="2435"/>
      <c r="P9" s="3415" t="s">
        <v>1686</v>
      </c>
      <c r="Q9" s="529" t="str">
        <f t="shared" ref="Q9:Q15" si="6">B9</f>
        <v>用途</v>
      </c>
      <c r="R9" s="663" t="s">
        <v>14</v>
      </c>
      <c r="S9" s="664">
        <f t="shared" si="0"/>
        <v>100</v>
      </c>
      <c r="T9" s="663" t="s">
        <v>14</v>
      </c>
      <c r="U9" s="664">
        <f t="shared" si="1"/>
        <v>100</v>
      </c>
      <c r="V9" s="663" t="s">
        <v>14</v>
      </c>
      <c r="W9" s="664">
        <f t="shared" si="2"/>
        <v>100</v>
      </c>
      <c r="X9" s="665"/>
      <c r="Y9" s="3265" t="s">
        <v>1687</v>
      </c>
      <c r="Z9" s="49" t="str">
        <f t="shared" ref="Z9:Z15" si="7">Q9</f>
        <v>用途</v>
      </c>
      <c r="AA9" s="49">
        <f t="shared" si="3"/>
        <v>1</v>
      </c>
      <c r="AB9" s="49">
        <f t="shared" si="4"/>
        <v>1</v>
      </c>
      <c r="AC9" s="49">
        <f t="shared" si="5"/>
        <v>1</v>
      </c>
    </row>
    <row r="10" spans="1:29" s="365" customFormat="1" ht="28.8">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4"/>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65"/>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6"/>
      <c r="M11" s="2482"/>
      <c r="N11" s="2482"/>
      <c r="O11" s="2482"/>
      <c r="P11" s="3415"/>
      <c r="Q11" s="529" t="str">
        <f t="shared" si="6"/>
        <v>容积率</v>
      </c>
      <c r="R11" s="663" t="s">
        <v>18</v>
      </c>
      <c r="S11" s="664" t="e">
        <f t="shared" si="0"/>
        <v>#N/A</v>
      </c>
      <c r="T11" s="663" t="s">
        <v>18</v>
      </c>
      <c r="U11" s="664" t="e">
        <f t="shared" si="1"/>
        <v>#N/A</v>
      </c>
      <c r="V11" s="663" t="s">
        <v>18</v>
      </c>
      <c r="W11" s="664" t="e">
        <f t="shared" si="2"/>
        <v>#N/A</v>
      </c>
      <c r="X11" s="665"/>
      <c r="Y11" s="3265"/>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3"/>
      <c r="M12" s="2435"/>
      <c r="N12" s="2435"/>
      <c r="O12" s="2435"/>
      <c r="P12" s="3415"/>
      <c r="Q12" s="529">
        <f t="shared" si="6"/>
        <v>111</v>
      </c>
      <c r="R12" s="663" t="s">
        <v>18</v>
      </c>
      <c r="S12" s="664">
        <f t="shared" si="0"/>
        <v>100</v>
      </c>
      <c r="T12" s="663" t="s">
        <v>18</v>
      </c>
      <c r="U12" s="664">
        <f t="shared" si="1"/>
        <v>100</v>
      </c>
      <c r="V12" s="663" t="s">
        <v>18</v>
      </c>
      <c r="W12" s="664">
        <f t="shared" si="2"/>
        <v>100</v>
      </c>
      <c r="X12" s="665"/>
      <c r="Y12" s="326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87"/>
      <c r="M13" s="2482"/>
      <c r="N13" s="2482"/>
      <c r="O13" s="2482"/>
      <c r="P13" s="3415"/>
      <c r="Q13" s="529">
        <f t="shared" si="6"/>
        <v>111</v>
      </c>
      <c r="R13" s="663" t="s">
        <v>18</v>
      </c>
      <c r="S13" s="664">
        <f t="shared" si="0"/>
        <v>100</v>
      </c>
      <c r="T13" s="663" t="s">
        <v>18</v>
      </c>
      <c r="U13" s="664">
        <f t="shared" si="1"/>
        <v>100</v>
      </c>
      <c r="V13" s="663" t="s">
        <v>18</v>
      </c>
      <c r="W13" s="664">
        <f t="shared" si="2"/>
        <v>100</v>
      </c>
      <c r="X13" s="665"/>
      <c r="Y13" s="3265"/>
      <c r="Z13" s="49">
        <f t="shared" si="7"/>
        <v>111</v>
      </c>
      <c r="AA13" s="49">
        <f t="shared" si="3"/>
        <v>1</v>
      </c>
      <c r="AB13" s="49">
        <f t="shared" si="4"/>
        <v>1</v>
      </c>
      <c r="AC13" s="49">
        <f t="shared" si="5"/>
        <v>1</v>
      </c>
    </row>
    <row r="14" spans="1:29" ht="15.6"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87"/>
      <c r="M14" s="2482"/>
      <c r="N14" s="2482"/>
      <c r="O14" s="2482"/>
      <c r="P14" s="3415"/>
      <c r="Q14" s="529">
        <f t="shared" si="6"/>
        <v>111</v>
      </c>
      <c r="R14" s="663" t="s">
        <v>18</v>
      </c>
      <c r="S14" s="664">
        <f t="shared" si="0"/>
        <v>100</v>
      </c>
      <c r="T14" s="663" t="s">
        <v>18</v>
      </c>
      <c r="U14" s="664">
        <f t="shared" si="1"/>
        <v>100</v>
      </c>
      <c r="V14" s="663" t="s">
        <v>18</v>
      </c>
      <c r="W14" s="664">
        <f t="shared" si="2"/>
        <v>100</v>
      </c>
      <c r="X14" s="665"/>
      <c r="Y14" s="3265"/>
      <c r="Z14" s="49">
        <f t="shared" si="7"/>
        <v>111</v>
      </c>
      <c r="AA14" s="49">
        <f t="shared" si="3"/>
        <v>1</v>
      </c>
      <c r="AB14" s="49">
        <f t="shared" si="4"/>
        <v>1</v>
      </c>
      <c r="AC14" s="49">
        <f t="shared" si="5"/>
        <v>1</v>
      </c>
    </row>
    <row r="15" spans="1:29" ht="15">
      <c r="A15" s="378" t="s">
        <v>1690</v>
      </c>
      <c r="B15" s="57" t="s">
        <v>1257</v>
      </c>
      <c r="C15" s="1748">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7"/>
      <c r="M15" s="2482"/>
      <c r="N15" s="2482"/>
      <c r="O15" s="2482"/>
      <c r="P15" s="3413" t="s">
        <v>1691</v>
      </c>
      <c r="Q15" s="1261" t="str">
        <f t="shared" si="6"/>
        <v>居住社区成熟度</v>
      </c>
      <c r="R15" s="666" t="s">
        <v>18</v>
      </c>
      <c r="S15" s="667">
        <f t="shared" si="0"/>
        <v>100</v>
      </c>
      <c r="T15" s="666" t="s">
        <v>18</v>
      </c>
      <c r="U15" s="667">
        <f t="shared" si="1"/>
        <v>100</v>
      </c>
      <c r="V15" s="666" t="s">
        <v>18</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87"/>
      <c r="M16" s="2482"/>
      <c r="N16" s="2482"/>
      <c r="O16" s="2482"/>
      <c r="P16" s="3414"/>
      <c r="Q16" s="1261"/>
      <c r="R16" s="666"/>
      <c r="S16" s="667"/>
      <c r="T16" s="666"/>
      <c r="U16" s="667"/>
      <c r="V16" s="666"/>
      <c r="W16" s="667"/>
      <c r="X16" s="1263"/>
      <c r="Y16" s="3407"/>
      <c r="Z16" s="1262"/>
      <c r="AA16" s="1262">
        <v>1</v>
      </c>
      <c r="AB16" s="1262">
        <v>1</v>
      </c>
      <c r="AC16" s="1262">
        <v>1</v>
      </c>
    </row>
    <row r="17" spans="1:29" ht="96.6">
      <c r="A17" s="366"/>
      <c r="B17" s="389" t="s">
        <v>1259</v>
      </c>
      <c r="C17" s="1752"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7"/>
      <c r="M17" s="2482"/>
      <c r="N17" s="2482"/>
      <c r="O17" s="2482"/>
      <c r="P17" s="3414"/>
      <c r="Q17" s="1261" t="str">
        <f>B17</f>
        <v>交通便捷度</v>
      </c>
      <c r="R17" s="666" t="s">
        <v>18</v>
      </c>
      <c r="S17" s="667">
        <f>F17</f>
        <v>100</v>
      </c>
      <c r="T17" s="666" t="s">
        <v>18</v>
      </c>
      <c r="U17" s="667">
        <f>H17</f>
        <v>100</v>
      </c>
      <c r="V17" s="666" t="s">
        <v>18</v>
      </c>
      <c r="W17" s="667">
        <f>J17</f>
        <v>100</v>
      </c>
      <c r="X17" s="1263"/>
      <c r="Y17" s="3407"/>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87"/>
      <c r="M18" s="2482"/>
      <c r="N18" s="2482"/>
      <c r="O18" s="2482"/>
      <c r="P18" s="3414"/>
      <c r="Q18" s="1261"/>
      <c r="R18" s="666"/>
      <c r="S18" s="667"/>
      <c r="T18" s="666"/>
      <c r="U18" s="667"/>
      <c r="V18" s="666"/>
      <c r="W18" s="667"/>
      <c r="X18" s="1263"/>
      <c r="Y18" s="3407"/>
      <c r="Z18" s="1262"/>
      <c r="AA18" s="1262">
        <v>1</v>
      </c>
      <c r="AB18" s="1262">
        <v>1</v>
      </c>
      <c r="AC18" s="1262">
        <v>1</v>
      </c>
    </row>
    <row r="19" spans="1:29" ht="82.8">
      <c r="A19" s="366"/>
      <c r="B19" s="389" t="s">
        <v>1258</v>
      </c>
      <c r="C19" s="1752"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7"/>
      <c r="M19" s="2482"/>
      <c r="N19" s="2482"/>
      <c r="O19" s="2482"/>
      <c r="P19" s="3414"/>
      <c r="Q19" s="1261" t="str">
        <f>B19</f>
        <v>公共配套设施</v>
      </c>
      <c r="R19" s="666" t="s">
        <v>18</v>
      </c>
      <c r="S19" s="667">
        <f>F19</f>
        <v>100</v>
      </c>
      <c r="T19" s="666" t="s">
        <v>18</v>
      </c>
      <c r="U19" s="667">
        <f>H19</f>
        <v>100</v>
      </c>
      <c r="V19" s="666" t="s">
        <v>18</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87"/>
      <c r="M20" s="2482"/>
      <c r="N20" s="2482"/>
      <c r="O20" s="2482"/>
      <c r="P20" s="3414"/>
      <c r="Q20" s="1261"/>
      <c r="R20" s="666"/>
      <c r="S20" s="667"/>
      <c r="T20" s="666"/>
      <c r="U20" s="667"/>
      <c r="V20" s="666"/>
      <c r="W20" s="667"/>
      <c r="X20" s="1263"/>
      <c r="Y20" s="3407"/>
      <c r="Z20" s="1262"/>
      <c r="AA20" s="1262">
        <v>1</v>
      </c>
      <c r="AB20" s="1262">
        <v>1</v>
      </c>
      <c r="AC20" s="1262">
        <v>1</v>
      </c>
    </row>
    <row r="21" spans="1:29" ht="41.4">
      <c r="A21" s="366"/>
      <c r="B21" s="585" t="s">
        <v>1260</v>
      </c>
      <c r="C21" s="1752"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87"/>
      <c r="M22" s="2482"/>
      <c r="N22" s="2482"/>
      <c r="O22" s="2482"/>
      <c r="P22" s="3414"/>
      <c r="Q22" s="1261"/>
      <c r="R22" s="666"/>
      <c r="S22" s="667"/>
      <c r="T22" s="666"/>
      <c r="U22" s="667"/>
      <c r="V22" s="666"/>
      <c r="W22" s="667"/>
      <c r="X22" s="1263"/>
      <c r="Y22" s="3407"/>
      <c r="Z22" s="1262"/>
      <c r="AA22" s="1262">
        <v>1</v>
      </c>
      <c r="AB22" s="1262">
        <v>1</v>
      </c>
      <c r="AC22" s="1262">
        <v>1</v>
      </c>
    </row>
    <row r="23" spans="1:29" ht="82.8">
      <c r="A23" s="366"/>
      <c r="B23" s="389" t="s">
        <v>1261</v>
      </c>
      <c r="C23" s="1752"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7"/>
      <c r="M23" s="2482"/>
      <c r="N23" s="2482"/>
      <c r="O23" s="2482"/>
      <c r="P23" s="3414"/>
      <c r="Q23" s="1261" t="str">
        <f>B23</f>
        <v>自然及人文环境</v>
      </c>
      <c r="R23" s="666" t="s">
        <v>18</v>
      </c>
      <c r="S23" s="667">
        <f>F23</f>
        <v>100</v>
      </c>
      <c r="T23" s="666" t="s">
        <v>18</v>
      </c>
      <c r="U23" s="667">
        <f>H23</f>
        <v>100</v>
      </c>
      <c r="V23" s="666" t="s">
        <v>18</v>
      </c>
      <c r="W23" s="667">
        <f>J23</f>
        <v>100</v>
      </c>
      <c r="X23" s="1263"/>
      <c r="Y23" s="3407"/>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87"/>
      <c r="M24" s="2482"/>
      <c r="N24" s="2482"/>
      <c r="O24" s="2482"/>
      <c r="P24" s="3414"/>
      <c r="Q24" s="1261"/>
      <c r="R24" s="666"/>
      <c r="S24" s="667"/>
      <c r="T24" s="666"/>
      <c r="U24" s="667"/>
      <c r="V24" s="666"/>
      <c r="W24" s="667"/>
      <c r="X24" s="1263"/>
      <c r="Y24" s="3407"/>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87"/>
      <c r="M25" s="2482"/>
      <c r="N25" s="2482"/>
      <c r="O25" s="2482"/>
      <c r="P25" s="3414"/>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07"/>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87"/>
      <c r="M26" s="2482"/>
      <c r="N26" s="2482"/>
      <c r="O26" s="2482"/>
      <c r="P26" s="3414"/>
      <c r="Q26" s="1261" t="str">
        <f t="shared" si="11"/>
        <v>朝向</v>
      </c>
      <c r="R26" s="666" t="s">
        <v>18</v>
      </c>
      <c r="S26" s="667">
        <f t="shared" si="12"/>
        <v>100</v>
      </c>
      <c r="T26" s="666" t="s">
        <v>18</v>
      </c>
      <c r="U26" s="667">
        <f t="shared" si="13"/>
        <v>100</v>
      </c>
      <c r="V26" s="666" t="s">
        <v>18</v>
      </c>
      <c r="W26" s="667">
        <f t="shared" si="14"/>
        <v>100</v>
      </c>
      <c r="X26" s="1263"/>
      <c r="Y26" s="3407"/>
      <c r="Z26" s="1262" t="str">
        <f>Q26</f>
        <v>朝向</v>
      </c>
      <c r="AA26" s="1262">
        <f t="shared" si="15"/>
        <v>1</v>
      </c>
      <c r="AB26" s="1262">
        <f t="shared" si="16"/>
        <v>1</v>
      </c>
      <c r="AC26" s="1262">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6"/>
      <c r="L27" s="2483"/>
      <c r="M27" s="2435"/>
      <c r="N27" s="2435"/>
      <c r="O27" s="2435"/>
      <c r="P27" s="3414"/>
      <c r="Q27" s="529">
        <f t="shared" si="11"/>
        <v>111</v>
      </c>
      <c r="R27" s="663" t="s">
        <v>18</v>
      </c>
      <c r="S27" s="664">
        <f t="shared" si="12"/>
        <v>100</v>
      </c>
      <c r="T27" s="663" t="s">
        <v>18</v>
      </c>
      <c r="U27" s="664">
        <f t="shared" si="13"/>
        <v>100</v>
      </c>
      <c r="V27" s="663" t="s">
        <v>18</v>
      </c>
      <c r="W27" s="664">
        <f t="shared" si="14"/>
        <v>100</v>
      </c>
      <c r="X27" s="665"/>
      <c r="Y27" s="3407"/>
      <c r="Z27" s="49">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60"/>
      <c r="H28" s="373">
        <f>SUMIF(92:92,G28,93:93)-SUMIF(92:92,C28,93:93)+100</f>
        <v>100</v>
      </c>
      <c r="I28" s="372"/>
      <c r="J28" s="373">
        <f>SUMIF(92:92,I28,93:93)-SUMIF(92:92,C28,93:93)+100</f>
        <v>100</v>
      </c>
      <c r="K28" s="1746"/>
      <c r="L28" s="2487"/>
      <c r="M28" s="2482"/>
      <c r="N28" s="2482"/>
      <c r="O28" s="2482"/>
      <c r="P28" s="3414"/>
      <c r="Q28" s="1261">
        <f t="shared" si="11"/>
        <v>111</v>
      </c>
      <c r="R28" s="666" t="s">
        <v>18</v>
      </c>
      <c r="S28" s="667">
        <f t="shared" si="12"/>
        <v>100</v>
      </c>
      <c r="T28" s="666" t="s">
        <v>18</v>
      </c>
      <c r="U28" s="667">
        <f t="shared" si="13"/>
        <v>100</v>
      </c>
      <c r="V28" s="666" t="s">
        <v>18</v>
      </c>
      <c r="W28" s="667">
        <f t="shared" si="14"/>
        <v>100</v>
      </c>
      <c r="X28" s="1263"/>
      <c r="Y28" s="3407"/>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87"/>
      <c r="M29" s="2482"/>
      <c r="N29" s="2482"/>
      <c r="O29" s="2482"/>
      <c r="P29" s="3414"/>
      <c r="Q29" s="1261">
        <f t="shared" si="11"/>
        <v>111</v>
      </c>
      <c r="R29" s="666" t="s">
        <v>18</v>
      </c>
      <c r="S29" s="667">
        <f t="shared" si="12"/>
        <v>100</v>
      </c>
      <c r="T29" s="666" t="s">
        <v>18</v>
      </c>
      <c r="U29" s="667">
        <f t="shared" si="13"/>
        <v>100</v>
      </c>
      <c r="V29" s="666" t="s">
        <v>18</v>
      </c>
      <c r="W29" s="667">
        <f t="shared" si="14"/>
        <v>100</v>
      </c>
      <c r="X29" s="1263"/>
      <c r="Y29" s="3407"/>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87"/>
      <c r="M30" s="2482"/>
      <c r="N30" s="2482"/>
      <c r="O30" s="2482"/>
      <c r="P30" s="3414"/>
      <c r="Q30" s="1261">
        <f t="shared" si="11"/>
        <v>111</v>
      </c>
      <c r="R30" s="666" t="s">
        <v>18</v>
      </c>
      <c r="S30" s="667">
        <f t="shared" si="12"/>
        <v>100</v>
      </c>
      <c r="T30" s="666" t="s">
        <v>18</v>
      </c>
      <c r="U30" s="667">
        <f t="shared" si="13"/>
        <v>100</v>
      </c>
      <c r="V30" s="666" t="s">
        <v>18</v>
      </c>
      <c r="W30" s="667">
        <f t="shared" si="14"/>
        <v>100</v>
      </c>
      <c r="X30" s="1263"/>
      <c r="Y30" s="3407"/>
      <c r="Z30" s="1262">
        <f t="shared" si="18"/>
        <v>111</v>
      </c>
      <c r="AA30" s="1262">
        <f t="shared" si="15"/>
        <v>1</v>
      </c>
      <c r="AB30" s="1262">
        <f t="shared" si="16"/>
        <v>1</v>
      </c>
      <c r="AC30" s="1262">
        <f t="shared" si="17"/>
        <v>1</v>
      </c>
    </row>
    <row r="31" spans="1:29" ht="15.6"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87"/>
      <c r="M31" s="2482"/>
      <c r="N31" s="2482"/>
      <c r="O31" s="2482"/>
      <c r="P31" s="3414"/>
      <c r="Q31" s="1261">
        <f t="shared" si="11"/>
        <v>111</v>
      </c>
      <c r="R31" s="666" t="s">
        <v>18</v>
      </c>
      <c r="S31" s="667">
        <f t="shared" si="12"/>
        <v>100</v>
      </c>
      <c r="T31" s="666" t="s">
        <v>18</v>
      </c>
      <c r="U31" s="667">
        <f t="shared" si="13"/>
        <v>100</v>
      </c>
      <c r="V31" s="666" t="s">
        <v>18</v>
      </c>
      <c r="W31" s="667">
        <f t="shared" si="14"/>
        <v>100</v>
      </c>
      <c r="X31" s="1263"/>
      <c r="Y31" s="3407"/>
      <c r="Z31" s="1262">
        <f t="shared" si="18"/>
        <v>111</v>
      </c>
      <c r="AA31" s="1262">
        <f t="shared" si="15"/>
        <v>1</v>
      </c>
      <c r="AB31" s="1262">
        <f t="shared" si="16"/>
        <v>1</v>
      </c>
      <c r="AC31" s="1262">
        <f t="shared" si="17"/>
        <v>1</v>
      </c>
    </row>
    <row r="32" spans="1:29" ht="15">
      <c r="A32" s="378" t="s">
        <v>1694</v>
      </c>
      <c r="B32" s="59"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87"/>
      <c r="M32" s="2482"/>
      <c r="N32" s="2482"/>
      <c r="O32" s="2482"/>
      <c r="P32" s="3408" t="s">
        <v>1696</v>
      </c>
      <c r="Q32" s="1261" t="str">
        <f t="shared" si="11"/>
        <v>建筑类型</v>
      </c>
      <c r="R32" s="666" t="s">
        <v>18</v>
      </c>
      <c r="S32" s="667">
        <f t="shared" si="12"/>
        <v>100</v>
      </c>
      <c r="T32" s="666" t="s">
        <v>18</v>
      </c>
      <c r="U32" s="667">
        <f t="shared" si="13"/>
        <v>100</v>
      </c>
      <c r="V32" s="666" t="s">
        <v>18</v>
      </c>
      <c r="W32" s="667">
        <f t="shared" si="14"/>
        <v>100</v>
      </c>
      <c r="X32" s="1263"/>
      <c r="Y32" s="3411"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6"/>
      <c r="M33" s="2488"/>
      <c r="N33" s="2488"/>
      <c r="O33" s="2488"/>
      <c r="P33" s="3409"/>
      <c r="Q33" s="530" t="str">
        <f t="shared" si="11"/>
        <v>项目建筑规模</v>
      </c>
      <c r="R33" s="668" t="s">
        <v>18</v>
      </c>
      <c r="S33" s="669" t="e">
        <f t="shared" si="12"/>
        <v>#N/A</v>
      </c>
      <c r="T33" s="668" t="s">
        <v>18</v>
      </c>
      <c r="U33" s="669" t="e">
        <f t="shared" si="13"/>
        <v>#N/A</v>
      </c>
      <c r="V33" s="668" t="s">
        <v>18</v>
      </c>
      <c r="W33" s="669" t="e">
        <f t="shared" si="14"/>
        <v>#N/A</v>
      </c>
      <c r="X33" s="670"/>
      <c r="Y33" s="3411"/>
      <c r="Z33" s="671"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87"/>
      <c r="M34" s="2482"/>
      <c r="N34" s="2482"/>
      <c r="O34" s="2482"/>
      <c r="P34" s="3409"/>
      <c r="Q34" s="1261" t="str">
        <f t="shared" si="11"/>
        <v>建筑结构</v>
      </c>
      <c r="R34" s="666" t="s">
        <v>18</v>
      </c>
      <c r="S34" s="667">
        <f t="shared" si="12"/>
        <v>100</v>
      </c>
      <c r="T34" s="666" t="s">
        <v>18</v>
      </c>
      <c r="U34" s="667">
        <f t="shared" si="13"/>
        <v>100</v>
      </c>
      <c r="V34" s="666" t="s">
        <v>18</v>
      </c>
      <c r="W34" s="667">
        <f t="shared" si="14"/>
        <v>100</v>
      </c>
      <c r="X34" s="1263"/>
      <c r="Y34" s="3411"/>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87"/>
      <c r="M35" s="2482"/>
      <c r="N35" s="2482"/>
      <c r="O35" s="2482"/>
      <c r="P35" s="3409"/>
      <c r="Q35" s="1261" t="str">
        <f t="shared" si="11"/>
        <v>建筑品质</v>
      </c>
      <c r="R35" s="666" t="s">
        <v>18</v>
      </c>
      <c r="S35" s="667">
        <f t="shared" si="12"/>
        <v>100</v>
      </c>
      <c r="T35" s="666" t="s">
        <v>18</v>
      </c>
      <c r="U35" s="667">
        <f t="shared" si="13"/>
        <v>100</v>
      </c>
      <c r="V35" s="666" t="s">
        <v>18</v>
      </c>
      <c r="W35" s="667">
        <f t="shared" si="14"/>
        <v>100</v>
      </c>
      <c r="X35" s="1263"/>
      <c r="Y35" s="3411"/>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87"/>
      <c r="M36" s="2482"/>
      <c r="N36" s="2482"/>
      <c r="O36" s="2482"/>
      <c r="P36" s="3409"/>
      <c r="Q36" s="1261" t="str">
        <f t="shared" si="11"/>
        <v>公共部分装修</v>
      </c>
      <c r="R36" s="666" t="s">
        <v>18</v>
      </c>
      <c r="S36" s="667">
        <f t="shared" si="12"/>
        <v>100</v>
      </c>
      <c r="T36" s="666" t="s">
        <v>18</v>
      </c>
      <c r="U36" s="667">
        <f t="shared" si="13"/>
        <v>100</v>
      </c>
      <c r="V36" s="666" t="s">
        <v>18</v>
      </c>
      <c r="W36" s="667">
        <f t="shared" si="14"/>
        <v>100</v>
      </c>
      <c r="X36" s="1263"/>
      <c r="Y36" s="3411"/>
      <c r="Z36" s="1262" t="str">
        <f t="shared" si="18"/>
        <v>公共部分装修</v>
      </c>
      <c r="AA36" s="1262">
        <f t="shared" si="15"/>
        <v>1</v>
      </c>
      <c r="AB36" s="1262">
        <f t="shared" si="16"/>
        <v>1</v>
      </c>
      <c r="AC36" s="1262">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3"/>
      <c r="M37" s="2435"/>
      <c r="N37" s="2435"/>
      <c r="O37" s="2435"/>
      <c r="P37" s="3409"/>
      <c r="Q37" s="529" t="str">
        <f t="shared" si="11"/>
        <v>成新度</v>
      </c>
      <c r="R37" s="663" t="s">
        <v>18</v>
      </c>
      <c r="S37" s="664" t="e">
        <f t="shared" si="12"/>
        <v>#N/A</v>
      </c>
      <c r="T37" s="663" t="s">
        <v>18</v>
      </c>
      <c r="U37" s="664" t="e">
        <f t="shared" si="13"/>
        <v>#N/A</v>
      </c>
      <c r="V37" s="663" t="s">
        <v>18</v>
      </c>
      <c r="W37" s="664" t="e">
        <f t="shared" si="14"/>
        <v>#N/A</v>
      </c>
      <c r="X37" s="665"/>
      <c r="Y37" s="3411"/>
      <c r="Z37" s="49" t="str">
        <f t="shared" si="18"/>
        <v>成新度</v>
      </c>
      <c r="AA37" s="49" t="e">
        <f t="shared" si="15"/>
        <v>#N/A</v>
      </c>
      <c r="AB37" s="49" t="e">
        <f t="shared" si="16"/>
        <v>#N/A</v>
      </c>
      <c r="AC37" s="49"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87"/>
      <c r="M38" s="2482"/>
      <c r="N38" s="2482"/>
      <c r="O38" s="2482"/>
      <c r="P38" s="3409" t="s">
        <v>1696</v>
      </c>
      <c r="Q38" s="1261" t="str">
        <f t="shared" si="11"/>
        <v>物业管理</v>
      </c>
      <c r="R38" s="666" t="s">
        <v>18</v>
      </c>
      <c r="S38" s="667">
        <f t="shared" si="12"/>
        <v>100</v>
      </c>
      <c r="T38" s="666" t="s">
        <v>18</v>
      </c>
      <c r="U38" s="667">
        <f t="shared" si="13"/>
        <v>100</v>
      </c>
      <c r="V38" s="666" t="s">
        <v>18</v>
      </c>
      <c r="W38" s="667">
        <f t="shared" si="14"/>
        <v>100</v>
      </c>
      <c r="X38" s="1263"/>
      <c r="Y38" s="3411"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87"/>
      <c r="M39" s="2482"/>
      <c r="N39" s="2482"/>
      <c r="O39" s="2482"/>
      <c r="P39" s="3409"/>
      <c r="Q39" s="1261" t="str">
        <f t="shared" si="11"/>
        <v>市政基础设施</v>
      </c>
      <c r="R39" s="666" t="s">
        <v>18</v>
      </c>
      <c r="S39" s="667">
        <f t="shared" si="12"/>
        <v>100</v>
      </c>
      <c r="T39" s="666" t="s">
        <v>18</v>
      </c>
      <c r="U39" s="667">
        <f t="shared" si="13"/>
        <v>100</v>
      </c>
      <c r="V39" s="666" t="s">
        <v>18</v>
      </c>
      <c r="W39" s="667">
        <f t="shared" si="14"/>
        <v>100</v>
      </c>
      <c r="X39" s="1263"/>
      <c r="Y39" s="3411"/>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87"/>
      <c r="M40" s="2482"/>
      <c r="N40" s="2482"/>
      <c r="O40" s="2482"/>
      <c r="P40" s="3409"/>
      <c r="Q40" s="1261" t="str">
        <f t="shared" si="11"/>
        <v>房型</v>
      </c>
      <c r="R40" s="666" t="s">
        <v>18</v>
      </c>
      <c r="S40" s="667">
        <f t="shared" si="12"/>
        <v>100</v>
      </c>
      <c r="T40" s="666" t="s">
        <v>18</v>
      </c>
      <c r="U40" s="667">
        <f t="shared" si="13"/>
        <v>100</v>
      </c>
      <c r="V40" s="666" t="s">
        <v>18</v>
      </c>
      <c r="W40" s="667">
        <f t="shared" si="14"/>
        <v>100</v>
      </c>
      <c r="X40" s="1263"/>
      <c r="Y40" s="3411"/>
      <c r="Z40" s="1262" t="str">
        <f t="shared" si="18"/>
        <v>房型</v>
      </c>
      <c r="AA40" s="1262">
        <f t="shared" si="15"/>
        <v>1</v>
      </c>
      <c r="AB40" s="1262">
        <f t="shared" si="16"/>
        <v>1</v>
      </c>
      <c r="AC40" s="1262">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6"/>
      <c r="M41" s="2488"/>
      <c r="N41" s="2488"/>
      <c r="O41" s="2488"/>
      <c r="P41" s="3409"/>
      <c r="Q41" s="530" t="str">
        <f t="shared" si="11"/>
        <v>单套/主力户型建筑面积</v>
      </c>
      <c r="R41" s="668" t="s">
        <v>18</v>
      </c>
      <c r="S41" s="669">
        <f t="shared" si="12"/>
        <v>100</v>
      </c>
      <c r="T41" s="668" t="s">
        <v>18</v>
      </c>
      <c r="U41" s="669">
        <f t="shared" si="13"/>
        <v>100</v>
      </c>
      <c r="V41" s="668" t="s">
        <v>18</v>
      </c>
      <c r="W41" s="669">
        <f t="shared" si="14"/>
        <v>100</v>
      </c>
      <c r="X41" s="670"/>
      <c r="Y41" s="3411"/>
      <c r="Z41" s="671"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87"/>
      <c r="M42" s="2482"/>
      <c r="N42" s="2482"/>
      <c r="O42" s="2482"/>
      <c r="P42" s="3409"/>
      <c r="Q42" s="1261" t="str">
        <f t="shared" si="11"/>
        <v>内部装修</v>
      </c>
      <c r="R42" s="666" t="s">
        <v>18</v>
      </c>
      <c r="S42" s="667">
        <f t="shared" si="12"/>
        <v>100</v>
      </c>
      <c r="T42" s="666" t="s">
        <v>18</v>
      </c>
      <c r="U42" s="667">
        <f t="shared" si="13"/>
        <v>100</v>
      </c>
      <c r="V42" s="666" t="s">
        <v>18</v>
      </c>
      <c r="W42" s="667">
        <f t="shared" si="14"/>
        <v>100</v>
      </c>
      <c r="X42" s="1263"/>
      <c r="Y42" s="3411"/>
      <c r="Z42" s="1262" t="str">
        <f t="shared" si="18"/>
        <v>内部装修</v>
      </c>
      <c r="AA42" s="1262">
        <f t="shared" si="15"/>
        <v>1</v>
      </c>
      <c r="AB42" s="1262">
        <f t="shared" si="16"/>
        <v>1</v>
      </c>
      <c r="AC42" s="1262">
        <f t="shared" si="17"/>
        <v>1</v>
      </c>
    </row>
    <row r="43" spans="1:29" ht="28.8">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87"/>
      <c r="M43" s="2482"/>
      <c r="N43" s="2482"/>
      <c r="O43" s="2482"/>
      <c r="P43" s="3409"/>
      <c r="Q43" s="1261" t="str">
        <f t="shared" si="11"/>
        <v>内部装修维护情况</v>
      </c>
      <c r="R43" s="666" t="s">
        <v>18</v>
      </c>
      <c r="S43" s="667">
        <f t="shared" si="12"/>
        <v>100</v>
      </c>
      <c r="T43" s="666" t="s">
        <v>18</v>
      </c>
      <c r="U43" s="667">
        <f t="shared" si="13"/>
        <v>100</v>
      </c>
      <c r="V43" s="666" t="s">
        <v>18</v>
      </c>
      <c r="W43" s="667">
        <f t="shared" si="14"/>
        <v>100</v>
      </c>
      <c r="X43" s="1263"/>
      <c r="Y43" s="3411"/>
      <c r="Z43" s="1262" t="str">
        <f t="shared" si="18"/>
        <v>内部装修维护情况</v>
      </c>
      <c r="AA43" s="1262">
        <f t="shared" si="15"/>
        <v>1</v>
      </c>
      <c r="AB43" s="1262">
        <f t="shared" si="16"/>
        <v>1</v>
      </c>
      <c r="AC43" s="1262">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3"/>
      <c r="M44" s="2435"/>
      <c r="N44" s="2435"/>
      <c r="O44" s="2435"/>
      <c r="P44" s="3409"/>
      <c r="Q44" s="529">
        <f t="shared" si="11"/>
        <v>111</v>
      </c>
      <c r="R44" s="663" t="s">
        <v>18</v>
      </c>
      <c r="S44" s="664">
        <f t="shared" si="12"/>
        <v>100</v>
      </c>
      <c r="T44" s="663" t="s">
        <v>18</v>
      </c>
      <c r="U44" s="664">
        <f t="shared" si="13"/>
        <v>100</v>
      </c>
      <c r="V44" s="663" t="s">
        <v>18</v>
      </c>
      <c r="W44" s="664">
        <f t="shared" si="14"/>
        <v>100</v>
      </c>
      <c r="X44" s="665"/>
      <c r="Y44" s="3411"/>
      <c r="Z44" s="49">
        <f t="shared" si="18"/>
        <v>111</v>
      </c>
      <c r="AA44" s="49">
        <f t="shared" si="15"/>
        <v>1</v>
      </c>
      <c r="AB44" s="49">
        <f t="shared" si="16"/>
        <v>1</v>
      </c>
      <c r="AC44" s="49">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87"/>
      <c r="M45" s="2482"/>
      <c r="N45" s="2482"/>
      <c r="O45" s="2482"/>
      <c r="P45" s="3409"/>
      <c r="Q45" s="1261">
        <f t="shared" si="11"/>
        <v>111</v>
      </c>
      <c r="R45" s="666" t="s">
        <v>18</v>
      </c>
      <c r="S45" s="667">
        <f t="shared" si="12"/>
        <v>100</v>
      </c>
      <c r="T45" s="666" t="s">
        <v>18</v>
      </c>
      <c r="U45" s="667">
        <f t="shared" si="13"/>
        <v>100</v>
      </c>
      <c r="V45" s="666" t="s">
        <v>18</v>
      </c>
      <c r="W45" s="667">
        <f t="shared" si="14"/>
        <v>100</v>
      </c>
      <c r="X45" s="1263"/>
      <c r="Y45" s="3411"/>
      <c r="Z45" s="1262">
        <f t="shared" si="18"/>
        <v>111</v>
      </c>
      <c r="AA45" s="1262">
        <f t="shared" si="15"/>
        <v>1</v>
      </c>
      <c r="AB45" s="1262">
        <f t="shared" si="16"/>
        <v>1</v>
      </c>
      <c r="AC45" s="1262">
        <f t="shared" si="17"/>
        <v>1</v>
      </c>
    </row>
    <row r="46" spans="1:29" ht="15.6"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87"/>
      <c r="M46" s="2482"/>
      <c r="N46" s="2482"/>
      <c r="O46" s="2482"/>
      <c r="P46" s="3410"/>
      <c r="Q46" s="1261">
        <f t="shared" si="11"/>
        <v>111</v>
      </c>
      <c r="R46" s="666" t="s">
        <v>17</v>
      </c>
      <c r="S46" s="667">
        <f t="shared" si="12"/>
        <v>100</v>
      </c>
      <c r="T46" s="666" t="s">
        <v>17</v>
      </c>
      <c r="U46" s="667">
        <f t="shared" si="13"/>
        <v>100</v>
      </c>
      <c r="V46" s="666" t="s">
        <v>17</v>
      </c>
      <c r="W46" s="667">
        <f t="shared" si="14"/>
        <v>100</v>
      </c>
      <c r="X46" s="1263"/>
      <c r="Y46" s="3412"/>
      <c r="Z46" s="1262">
        <f t="shared" si="18"/>
        <v>111</v>
      </c>
      <c r="AA46" s="1262">
        <f t="shared" si="15"/>
        <v>1</v>
      </c>
      <c r="AB46" s="1262">
        <f t="shared" si="16"/>
        <v>1</v>
      </c>
      <c r="AC46" s="1262">
        <f t="shared" si="17"/>
        <v>1</v>
      </c>
    </row>
    <row r="47" spans="1:29" ht="14.4">
      <c r="A47" s="415" t="s">
        <v>1708</v>
      </c>
      <c r="B47" s="416"/>
      <c r="C47" s="1079" t="s">
        <v>16</v>
      </c>
      <c r="D47" s="417"/>
      <c r="E47" s="418"/>
      <c r="F47" s="419"/>
      <c r="G47" s="420"/>
      <c r="H47" s="421"/>
      <c r="I47" s="418"/>
      <c r="J47" s="421"/>
      <c r="K47" s="1765"/>
      <c r="L47" s="2489"/>
      <c r="M47" s="2482"/>
      <c r="N47" s="2482"/>
      <c r="O47" s="2482"/>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 thickBot="1">
      <c r="A48" s="422" t="s">
        <v>1709</v>
      </c>
      <c r="B48" s="423"/>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 thickBot="1">
      <c r="A49" s="426" t="s">
        <v>1710</v>
      </c>
      <c r="B49" s="427"/>
      <c r="C49" s="1082" t="e">
        <f>R49</f>
        <v>#DIV/0!</v>
      </c>
      <c r="D49" s="350"/>
      <c r="E49" s="350"/>
      <c r="F49" s="350"/>
      <c r="G49" s="350"/>
      <c r="H49" s="350"/>
      <c r="I49" s="350"/>
      <c r="J49" s="350"/>
      <c r="K49" s="1766"/>
      <c r="L49" s="2489"/>
      <c r="M49" s="2482"/>
      <c r="N49" s="2482"/>
      <c r="O49" s="248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row>
    <row r="53" spans="1:29" ht="13.5" customHeight="1">
      <c r="A53" s="2482"/>
      <c r="B53" s="2482"/>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row>
    <row r="54" spans="1:29" s="436" customFormat="1" ht="13.5" customHeight="1">
      <c r="A54" s="2492"/>
      <c r="B54" s="2492"/>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1768"/>
    </row>
    <row r="55" spans="1:29" s="436"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4"/>
      <c r="C57" s="658"/>
      <c r="D57" s="658"/>
      <c r="E57" s="658"/>
      <c r="F57" s="659"/>
      <c r="G57" s="659"/>
      <c r="H57" s="658"/>
      <c r="I57" s="658"/>
      <c r="J57" s="658"/>
      <c r="K57" s="886"/>
      <c r="L57" s="887"/>
      <c r="M57" s="885"/>
      <c r="N57" s="885"/>
      <c r="O57" s="885"/>
      <c r="P57" s="1769"/>
      <c r="Q57" s="438"/>
    </row>
    <row r="58" spans="1:29" s="441" customFormat="1" ht="14.4">
      <c r="A58" s="439" t="s">
        <v>1715</v>
      </c>
      <c r="B58" s="440"/>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1" customFormat="1">
      <c r="A59" s="442"/>
      <c r="B59" s="1770"/>
      <c r="C59" s="1100">
        <v>100</v>
      </c>
      <c r="D59" s="444"/>
      <c r="E59" s="445"/>
      <c r="F59" s="445"/>
      <c r="G59" s="445"/>
      <c r="H59" s="445"/>
      <c r="I59" s="445"/>
      <c r="J59" s="445"/>
      <c r="K59" s="445"/>
      <c r="L59" s="445"/>
      <c r="M59" s="446"/>
      <c r="N59" s="445"/>
      <c r="O59" s="446"/>
      <c r="P59" s="1771"/>
    </row>
    <row r="60" spans="1:29" s="101" customFormat="1" ht="15" thickBot="1">
      <c r="A60" s="448" t="s">
        <v>1716</v>
      </c>
      <c r="B60" s="449"/>
      <c r="C60" s="450"/>
      <c r="D60" s="451"/>
      <c r="E60" s="451"/>
      <c r="F60" s="451"/>
      <c r="G60" s="451"/>
      <c r="H60" s="451"/>
      <c r="I60" s="451"/>
      <c r="J60" s="451"/>
      <c r="K60" s="451"/>
      <c r="L60" s="451"/>
      <c r="M60" s="452"/>
      <c r="N60" s="451"/>
      <c r="O60" s="452"/>
      <c r="P60" s="1771"/>
      <c r="Q60" s="438"/>
    </row>
    <row r="61" spans="1:29" s="101" customFormat="1" ht="14.4">
      <c r="A61" s="454" t="s">
        <v>1717</v>
      </c>
      <c r="B61" s="443"/>
      <c r="C61" s="455" t="s">
        <v>1718</v>
      </c>
      <c r="D61" s="30"/>
      <c r="E61" s="30"/>
      <c r="F61" s="30"/>
      <c r="G61" s="30"/>
      <c r="H61" s="30"/>
      <c r="I61" s="30"/>
      <c r="J61" s="30"/>
      <c r="K61" s="30"/>
      <c r="L61" s="456"/>
      <c r="M61" s="457"/>
      <c r="N61" s="877"/>
      <c r="O61" s="877"/>
      <c r="P61" s="1772"/>
      <c r="Q61" s="438"/>
    </row>
    <row r="62" spans="1:29" s="101" customFormat="1" ht="14.4" thickBot="1">
      <c r="A62" s="454"/>
      <c r="B62" s="443"/>
      <c r="C62" s="444">
        <v>100</v>
      </c>
      <c r="D62" s="445"/>
      <c r="E62" s="445"/>
      <c r="F62" s="445"/>
      <c r="G62" s="445"/>
      <c r="H62" s="445"/>
      <c r="I62" s="445"/>
      <c r="J62" s="445"/>
      <c r="K62" s="445"/>
      <c r="L62" s="445"/>
      <c r="M62" s="447"/>
      <c r="N62" s="877"/>
      <c r="O62" s="877"/>
      <c r="P62" s="1771"/>
      <c r="Q62" s="438"/>
    </row>
    <row r="63" spans="1:29" ht="14.4">
      <c r="A63" s="378" t="s">
        <v>1719</v>
      </c>
      <c r="B63" s="459" t="s">
        <v>1685</v>
      </c>
      <c r="C63" s="460">
        <f>C9</f>
        <v>0</v>
      </c>
      <c r="D63" s="461"/>
      <c r="E63" s="461"/>
      <c r="F63" s="461"/>
      <c r="G63" s="461"/>
      <c r="H63" s="461"/>
      <c r="I63" s="461"/>
      <c r="J63" s="461"/>
      <c r="K63" s="462"/>
      <c r="L63" s="463"/>
      <c r="M63" s="464"/>
      <c r="N63" s="878"/>
      <c r="O63" s="878"/>
      <c r="P63" s="1773"/>
      <c r="Q63" s="438"/>
    </row>
    <row r="64" spans="1:29" ht="14.4" thickBot="1">
      <c r="A64" s="366"/>
      <c r="B64" s="465"/>
      <c r="C64" s="466">
        <v>100</v>
      </c>
      <c r="D64" s="466"/>
      <c r="E64" s="466"/>
      <c r="F64" s="466"/>
      <c r="G64" s="466"/>
      <c r="H64" s="466"/>
      <c r="I64" s="466"/>
      <c r="J64" s="466"/>
      <c r="K64" s="466"/>
      <c r="L64" s="466"/>
      <c r="M64" s="467"/>
      <c r="N64" s="879"/>
      <c r="O64" s="879"/>
      <c r="P64" s="1773"/>
      <c r="Q64" s="438"/>
    </row>
    <row r="65" spans="1:17" ht="29.4" thickTop="1">
      <c r="A65" s="366"/>
      <c r="B65" s="468" t="s">
        <v>1688</v>
      </c>
      <c r="C65" s="512"/>
      <c r="D65" s="512"/>
      <c r="E65" s="512"/>
      <c r="F65" s="512"/>
      <c r="G65" s="512"/>
      <c r="H65" s="512"/>
      <c r="I65" s="512"/>
      <c r="J65" s="512"/>
      <c r="K65" s="512"/>
      <c r="L65" s="512"/>
      <c r="M65" s="512"/>
      <c r="N65" s="879"/>
      <c r="O65" s="879"/>
      <c r="P65" s="1773"/>
      <c r="Q65" s="438"/>
    </row>
    <row r="66" spans="1:17" ht="14.4" thickBot="1">
      <c r="A66" s="366"/>
      <c r="B66" s="473"/>
      <c r="C66" s="466"/>
      <c r="D66" s="466"/>
      <c r="E66" s="466"/>
      <c r="F66" s="466"/>
      <c r="G66" s="466"/>
      <c r="H66" s="466"/>
      <c r="I66" s="466"/>
      <c r="J66" s="466"/>
      <c r="K66" s="466"/>
      <c r="L66" s="466"/>
      <c r="M66" s="467"/>
      <c r="N66" s="879"/>
      <c r="O66" s="879"/>
      <c r="P66" s="1773"/>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c r="A68" s="366"/>
      <c r="B68" s="478"/>
      <c r="C68" s="479"/>
      <c r="D68" s="479"/>
      <c r="E68" s="479"/>
      <c r="F68" s="479"/>
      <c r="G68" s="479"/>
      <c r="H68" s="479"/>
      <c r="I68" s="479"/>
      <c r="J68" s="479"/>
      <c r="K68" s="480"/>
      <c r="L68" s="481"/>
      <c r="M68" s="482"/>
      <c r="N68" s="878"/>
      <c r="O68" s="878"/>
      <c r="P68" s="1773"/>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4.4" thickTop="1">
      <c r="A70" s="483"/>
      <c r="B70" s="468">
        <f>B12</f>
        <v>111</v>
      </c>
      <c r="C70" s="484"/>
      <c r="D70" s="484"/>
      <c r="E70" s="484"/>
      <c r="F70" s="484"/>
      <c r="G70" s="484"/>
      <c r="H70" s="485"/>
      <c r="I70" s="485"/>
      <c r="J70" s="485"/>
      <c r="K70" s="485"/>
      <c r="L70" s="486"/>
      <c r="M70" s="487"/>
      <c r="N70" s="880"/>
      <c r="O70" s="880"/>
      <c r="P70" s="1774"/>
      <c r="Q70" s="489"/>
    </row>
    <row r="71" spans="1:17" s="407" customFormat="1" ht="14.4" thickBot="1">
      <c r="A71" s="483"/>
      <c r="B71" s="473"/>
      <c r="C71" s="490"/>
      <c r="D71" s="466"/>
      <c r="E71" s="466"/>
      <c r="F71" s="466"/>
      <c r="G71" s="466"/>
      <c r="H71" s="466"/>
      <c r="I71" s="466"/>
      <c r="J71" s="466"/>
      <c r="K71" s="466"/>
      <c r="L71" s="466"/>
      <c r="M71" s="467"/>
      <c r="N71" s="879"/>
      <c r="O71" s="879"/>
      <c r="P71" s="1774"/>
      <c r="Q71" s="489"/>
    </row>
    <row r="72" spans="1:17" s="407" customFormat="1" ht="14.4" thickTop="1">
      <c r="A72" s="483"/>
      <c r="B72" s="468">
        <f>B13</f>
        <v>111</v>
      </c>
      <c r="C72" s="484"/>
      <c r="D72" s="484"/>
      <c r="E72" s="484"/>
      <c r="F72" s="484"/>
      <c r="G72" s="484"/>
      <c r="H72" s="485"/>
      <c r="I72" s="485"/>
      <c r="J72" s="485"/>
      <c r="K72" s="485"/>
      <c r="L72" s="486"/>
      <c r="M72" s="487"/>
      <c r="N72" s="880"/>
      <c r="O72" s="880"/>
      <c r="P72" s="1775"/>
      <c r="Q72" s="491"/>
    </row>
    <row r="73" spans="1:17" s="407" customFormat="1" ht="14.4" thickBot="1">
      <c r="A73" s="483"/>
      <c r="B73" s="473"/>
      <c r="C73" s="490"/>
      <c r="D73" s="490"/>
      <c r="E73" s="490"/>
      <c r="F73" s="490"/>
      <c r="G73" s="490"/>
      <c r="H73" s="492"/>
      <c r="I73" s="492"/>
      <c r="J73" s="492"/>
      <c r="K73" s="492"/>
      <c r="L73" s="492"/>
      <c r="M73" s="493"/>
      <c r="N73" s="880"/>
      <c r="O73" s="880"/>
      <c r="P73" s="1774"/>
      <c r="Q73" s="489"/>
    </row>
    <row r="74" spans="1:17" s="407" customFormat="1" ht="14.4" thickTop="1">
      <c r="A74" s="483"/>
      <c r="B74" s="476">
        <f>B14</f>
        <v>111</v>
      </c>
      <c r="C74" s="484"/>
      <c r="D74" s="484"/>
      <c r="E74" s="484"/>
      <c r="F74" s="484"/>
      <c r="G74" s="30"/>
      <c r="H74" s="494"/>
      <c r="I74" s="494"/>
      <c r="J74" s="494"/>
      <c r="K74" s="494"/>
      <c r="L74" s="495"/>
      <c r="M74" s="496"/>
      <c r="N74" s="880"/>
      <c r="O74" s="880"/>
      <c r="P74" s="1776"/>
      <c r="Q74" s="489"/>
    </row>
    <row r="75" spans="1:17" s="407" customFormat="1" ht="14.4" thickBot="1">
      <c r="A75" s="498"/>
      <c r="B75" s="499"/>
      <c r="C75" s="500"/>
      <c r="D75" s="500"/>
      <c r="E75" s="500"/>
      <c r="F75" s="500"/>
      <c r="G75" s="500"/>
      <c r="H75" s="501"/>
      <c r="I75" s="501"/>
      <c r="J75" s="501"/>
      <c r="K75" s="501"/>
      <c r="L75" s="501"/>
      <c r="M75" s="502"/>
      <c r="N75" s="880"/>
      <c r="O75" s="880"/>
      <c r="P75" s="1774"/>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 thickTop="1">
      <c r="A82" s="366"/>
      <c r="B82" s="476" t="s">
        <v>1260</v>
      </c>
      <c r="C82" s="469" t="s">
        <v>1728</v>
      </c>
      <c r="D82" s="469" t="s">
        <v>1729</v>
      </c>
      <c r="E82" s="469" t="s">
        <v>1730</v>
      </c>
      <c r="F82" s="469" t="s">
        <v>1731</v>
      </c>
      <c r="G82" s="469" t="s">
        <v>1732</v>
      </c>
      <c r="H82" s="469"/>
      <c r="I82" s="469"/>
      <c r="J82" s="469"/>
      <c r="K82" s="469"/>
      <c r="L82" s="469"/>
      <c r="M82" s="1061"/>
      <c r="N82" s="879"/>
      <c r="O82" s="879"/>
      <c r="P82" s="1773"/>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3"/>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1" customFormat="1" ht="15" thickTop="1">
      <c r="A86" s="369"/>
      <c r="B86" s="468" t="s">
        <v>1734</v>
      </c>
      <c r="C86" s="484"/>
      <c r="D86" s="484"/>
      <c r="E86" s="484"/>
      <c r="F86" s="484"/>
      <c r="G86" s="484"/>
      <c r="H86" s="484"/>
      <c r="I86" s="484"/>
      <c r="J86" s="484"/>
      <c r="K86" s="484"/>
      <c r="L86" s="509"/>
      <c r="M86" s="510"/>
      <c r="N86" s="877"/>
      <c r="O86" s="877"/>
      <c r="P86" s="1773"/>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1" customFormat="1" ht="15" thickTop="1">
      <c r="A88" s="369"/>
      <c r="B88" s="468" t="s">
        <v>1735</v>
      </c>
      <c r="C88" s="484"/>
      <c r="D88" s="484"/>
      <c r="E88" s="484"/>
      <c r="F88" s="1778"/>
      <c r="G88" s="484"/>
      <c r="H88" s="484"/>
      <c r="I88" s="484"/>
      <c r="J88" s="484"/>
      <c r="K88" s="484"/>
      <c r="L88" s="484"/>
      <c r="M88" s="510"/>
      <c r="N88" s="877"/>
      <c r="O88" s="877"/>
      <c r="P88" s="1773"/>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3"/>
      <c r="Q89" s="438"/>
    </row>
    <row r="90" spans="1:17" s="407" customFormat="1" ht="14.4" thickTop="1">
      <c r="A90" s="483"/>
      <c r="B90" s="468">
        <f>B27</f>
        <v>111</v>
      </c>
      <c r="C90" s="484"/>
      <c r="D90" s="484"/>
      <c r="E90" s="484"/>
      <c r="F90" s="484"/>
      <c r="G90" s="484"/>
      <c r="H90" s="485"/>
      <c r="I90" s="485"/>
      <c r="J90" s="485"/>
      <c r="K90" s="485"/>
      <c r="L90" s="486"/>
      <c r="M90" s="487"/>
      <c r="N90" s="880"/>
      <c r="O90" s="880"/>
      <c r="P90" s="1774"/>
      <c r="Q90" s="489"/>
    </row>
    <row r="91" spans="1:17" s="407" customFormat="1" ht="14.4" thickBot="1">
      <c r="A91" s="483"/>
      <c r="B91" s="473"/>
      <c r="C91" s="490"/>
      <c r="D91" s="490"/>
      <c r="E91" s="490"/>
      <c r="F91" s="490"/>
      <c r="G91" s="490"/>
      <c r="H91" s="492"/>
      <c r="I91" s="492"/>
      <c r="J91" s="492"/>
      <c r="K91" s="492"/>
      <c r="L91" s="492"/>
      <c r="M91" s="493"/>
      <c r="N91" s="880"/>
      <c r="O91" s="880"/>
      <c r="P91" s="1774"/>
      <c r="Q91" s="489"/>
    </row>
    <row r="92" spans="1:17" ht="14.4" thickTop="1">
      <c r="A92" s="366"/>
      <c r="B92" s="468">
        <f>B28</f>
        <v>111</v>
      </c>
      <c r="C92" s="484"/>
      <c r="D92" s="484"/>
      <c r="E92" s="484"/>
      <c r="F92" s="484"/>
      <c r="G92" s="512"/>
      <c r="H92" s="512"/>
      <c r="I92" s="512"/>
      <c r="J92" s="512"/>
      <c r="K92" s="513"/>
      <c r="L92" s="514"/>
      <c r="M92" s="515"/>
      <c r="N92" s="878"/>
      <c r="O92" s="878"/>
      <c r="P92" s="1773"/>
      <c r="Q92" s="438"/>
    </row>
    <row r="93" spans="1:17" ht="14.4" thickBot="1">
      <c r="A93" s="366"/>
      <c r="B93" s="473"/>
      <c r="C93" s="490"/>
      <c r="D93" s="466"/>
      <c r="E93" s="466"/>
      <c r="F93" s="466"/>
      <c r="G93" s="466"/>
      <c r="H93" s="466"/>
      <c r="I93" s="466"/>
      <c r="J93" s="466"/>
      <c r="K93" s="466"/>
      <c r="L93" s="466"/>
      <c r="M93" s="467"/>
      <c r="N93" s="879"/>
      <c r="O93" s="879"/>
      <c r="P93" s="1773"/>
      <c r="Q93" s="438"/>
    </row>
    <row r="94" spans="1:17" ht="14.4" thickTop="1">
      <c r="A94" s="366"/>
      <c r="B94" s="468">
        <f>B29</f>
        <v>111</v>
      </c>
      <c r="C94" s="484"/>
      <c r="D94" s="484"/>
      <c r="E94" s="484"/>
      <c r="F94" s="484"/>
      <c r="G94" s="512"/>
      <c r="H94" s="512"/>
      <c r="I94" s="512"/>
      <c r="J94" s="512"/>
      <c r="K94" s="513"/>
      <c r="L94" s="514"/>
      <c r="M94" s="515"/>
      <c r="N94" s="878"/>
      <c r="O94" s="878"/>
      <c r="P94" s="1773"/>
      <c r="Q94" s="438"/>
    </row>
    <row r="95" spans="1:17" ht="14.4" thickBot="1">
      <c r="A95" s="366"/>
      <c r="B95" s="473"/>
      <c r="C95" s="490"/>
      <c r="D95" s="490"/>
      <c r="E95" s="490"/>
      <c r="F95" s="490"/>
      <c r="G95" s="466"/>
      <c r="H95" s="466"/>
      <c r="I95" s="466"/>
      <c r="J95" s="466"/>
      <c r="K95" s="466"/>
      <c r="L95" s="466"/>
      <c r="M95" s="467"/>
      <c r="N95" s="879"/>
      <c r="O95" s="879"/>
      <c r="P95" s="1773"/>
      <c r="Q95" s="438"/>
    </row>
    <row r="96" spans="1:17" ht="14.4" thickTop="1">
      <c r="A96" s="366"/>
      <c r="B96" s="468">
        <f>B30</f>
        <v>111</v>
      </c>
      <c r="C96" s="484"/>
      <c r="D96" s="484"/>
      <c r="E96" s="484"/>
      <c r="F96" s="484"/>
      <c r="G96" s="512"/>
      <c r="H96" s="512"/>
      <c r="I96" s="512"/>
      <c r="J96" s="512"/>
      <c r="K96" s="513"/>
      <c r="L96" s="514"/>
      <c r="M96" s="515"/>
      <c r="N96" s="878"/>
      <c r="O96" s="878"/>
      <c r="P96" s="1773"/>
      <c r="Q96" s="438"/>
    </row>
    <row r="97" spans="1:17" ht="14.4" thickBot="1">
      <c r="A97" s="366"/>
      <c r="B97" s="473"/>
      <c r="C97" s="500"/>
      <c r="D97" s="500"/>
      <c r="E97" s="500"/>
      <c r="F97" s="500"/>
      <c r="G97" s="466"/>
      <c r="H97" s="466"/>
      <c r="I97" s="466"/>
      <c r="J97" s="466"/>
      <c r="K97" s="466"/>
      <c r="L97" s="466"/>
      <c r="M97" s="467"/>
      <c r="N97" s="879"/>
      <c r="O97" s="879"/>
      <c r="P97" s="1773"/>
      <c r="Q97" s="438"/>
    </row>
    <row r="98" spans="1:17" ht="14.4" thickTop="1">
      <c r="A98" s="366"/>
      <c r="B98" s="476">
        <f>B31</f>
        <v>111</v>
      </c>
      <c r="C98" s="516"/>
      <c r="D98" s="516"/>
      <c r="E98" s="516"/>
      <c r="F98" s="516"/>
      <c r="G98" s="516"/>
      <c r="H98" s="516"/>
      <c r="I98" s="516"/>
      <c r="J98" s="516"/>
      <c r="K98" s="517"/>
      <c r="L98" s="518"/>
      <c r="M98" s="519"/>
      <c r="N98" s="878"/>
      <c r="O98" s="878"/>
      <c r="P98" s="1773"/>
      <c r="Q98" s="438"/>
    </row>
    <row r="99" spans="1:17" ht="14.4" thickBot="1">
      <c r="A99" s="374"/>
      <c r="B99" s="499"/>
      <c r="C99" s="520"/>
      <c r="D99" s="520"/>
      <c r="E99" s="520"/>
      <c r="F99" s="520"/>
      <c r="G99" s="520"/>
      <c r="H99" s="520"/>
      <c r="I99" s="520"/>
      <c r="J99" s="520"/>
      <c r="K99" s="520"/>
      <c r="L99" s="520"/>
      <c r="M99" s="521"/>
      <c r="N99" s="879"/>
      <c r="O99" s="879"/>
      <c r="P99" s="1773"/>
      <c r="Q99" s="438"/>
    </row>
    <row r="100" spans="1:17" ht="14.4">
      <c r="A100" s="378" t="s">
        <v>1694</v>
      </c>
      <c r="B100" s="459" t="s">
        <v>1736</v>
      </c>
      <c r="C100" s="461"/>
      <c r="D100" s="461"/>
      <c r="E100" s="461"/>
      <c r="F100" s="461"/>
      <c r="G100" s="461"/>
      <c r="H100" s="461"/>
      <c r="I100" s="461"/>
      <c r="J100" s="461"/>
      <c r="K100" s="462"/>
      <c r="L100" s="463"/>
      <c r="M100" s="464"/>
      <c r="N100" s="878"/>
      <c r="O100" s="878"/>
      <c r="P100" s="1773"/>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3"/>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4.4"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3"/>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4.4"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3"/>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4.4" thickBot="1">
      <c r="A127" s="483"/>
      <c r="B127" s="473"/>
      <c r="C127" s="490"/>
      <c r="D127" s="466"/>
      <c r="E127" s="466"/>
      <c r="F127" s="466"/>
      <c r="G127" s="490"/>
      <c r="H127" s="492"/>
      <c r="I127" s="492"/>
      <c r="J127" s="492"/>
      <c r="K127" s="492"/>
      <c r="L127" s="492"/>
      <c r="M127" s="493"/>
      <c r="N127" s="880"/>
      <c r="O127" s="880"/>
      <c r="P127" s="1774"/>
      <c r="Q127" s="489"/>
    </row>
    <row r="128" spans="1:17" ht="14.4" thickTop="1">
      <c r="A128" s="408"/>
      <c r="B128" s="468">
        <f>B45</f>
        <v>111</v>
      </c>
      <c r="C128" s="484"/>
      <c r="D128" s="484"/>
      <c r="E128" s="484"/>
      <c r="F128" s="484"/>
      <c r="G128" s="512"/>
      <c r="H128" s="512"/>
      <c r="I128" s="512"/>
      <c r="J128" s="512"/>
      <c r="K128" s="513"/>
      <c r="L128" s="514"/>
      <c r="M128" s="515"/>
      <c r="N128" s="878"/>
      <c r="O128" s="878"/>
      <c r="P128" s="1773"/>
      <c r="Q128" s="438"/>
    </row>
    <row r="129" spans="1:17" ht="14.4" thickBot="1">
      <c r="A129" s="366"/>
      <c r="B129" s="473"/>
      <c r="C129" s="490"/>
      <c r="D129" s="490"/>
      <c r="E129" s="490"/>
      <c r="F129" s="490"/>
      <c r="G129" s="466"/>
      <c r="H129" s="466"/>
      <c r="I129" s="466"/>
      <c r="J129" s="466"/>
      <c r="K129" s="466"/>
      <c r="L129" s="466"/>
      <c r="M129" s="467"/>
      <c r="N129" s="879"/>
      <c r="O129" s="879"/>
      <c r="P129" s="1773"/>
      <c r="Q129" s="438"/>
    </row>
    <row r="130" spans="1:17" ht="14.4" thickTop="1">
      <c r="A130" s="408"/>
      <c r="B130" s="476">
        <f>B46</f>
        <v>111</v>
      </c>
      <c r="C130" s="484"/>
      <c r="D130" s="484"/>
      <c r="E130" s="484"/>
      <c r="F130" s="484"/>
      <c r="G130" s="516"/>
      <c r="H130" s="516"/>
      <c r="I130" s="516"/>
      <c r="J130" s="516"/>
      <c r="K130" s="30"/>
      <c r="L130" s="456"/>
      <c r="M130" s="519"/>
      <c r="N130" s="878"/>
      <c r="O130" s="878"/>
      <c r="P130" s="1773"/>
      <c r="Q130" s="438"/>
    </row>
    <row r="131" spans="1:17" ht="14.4"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6.2"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135843.08000000002</v>
      </c>
      <c r="E3" s="1803"/>
      <c r="F3" s="855"/>
      <c r="G3" s="854"/>
      <c r="H3" s="854"/>
      <c r="I3" s="854"/>
      <c r="J3" s="854"/>
      <c r="K3" s="856"/>
      <c r="L3" s="2498"/>
      <c r="M3" s="2499"/>
      <c r="N3" s="2499"/>
      <c r="O3" s="2499"/>
      <c r="P3" s="1802"/>
      <c r="Q3" s="858"/>
      <c r="R3" s="858"/>
      <c r="S3" s="858"/>
      <c r="T3" s="858"/>
      <c r="U3" s="858"/>
      <c r="V3" s="858"/>
      <c r="W3" s="858"/>
      <c r="X3" s="858"/>
      <c r="Y3" s="858"/>
      <c r="Z3" s="858"/>
      <c r="AA3" s="858"/>
      <c r="AB3" s="858"/>
      <c r="AC3" s="1803"/>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29" t="s">
        <v>1771</v>
      </c>
      <c r="S4" s="3430"/>
      <c r="T4" s="3429" t="s">
        <v>1772</v>
      </c>
      <c r="U4" s="3430"/>
      <c r="V4" s="3405" t="s">
        <v>1773</v>
      </c>
      <c r="W4" s="3405"/>
      <c r="X4" s="1263"/>
      <c r="Y4" s="3429" t="s">
        <v>1775</v>
      </c>
      <c r="Z4" s="3430"/>
      <c r="AA4" s="3416" t="s">
        <v>1771</v>
      </c>
      <c r="AB4" s="3405" t="s">
        <v>1772</v>
      </c>
      <c r="AC4" s="3416" t="s">
        <v>1773</v>
      </c>
    </row>
    <row r="5" spans="1:29">
      <c r="A5" s="347"/>
      <c r="B5" s="348"/>
      <c r="C5" s="3437" t="s">
        <v>1673</v>
      </c>
      <c r="D5" s="3438"/>
      <c r="E5" s="3444" t="s">
        <v>1674</v>
      </c>
      <c r="F5" s="3445"/>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05"/>
      <c r="AC5" s="3417"/>
    </row>
    <row r="6" spans="1:29" ht="15" thickBot="1">
      <c r="A6" s="349"/>
      <c r="B6" s="350"/>
      <c r="C6" s="3435" t="s">
        <v>1677</v>
      </c>
      <c r="D6" s="3436"/>
      <c r="E6" s="3442" t="s">
        <v>1677</v>
      </c>
      <c r="F6" s="3443"/>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05"/>
      <c r="AC6" s="3418"/>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37"/>
      <c r="L7" s="2483"/>
      <c r="M7" s="2435"/>
      <c r="N7" s="2435"/>
      <c r="O7" s="2435"/>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49" t="e">
        <f>D7/F7</f>
        <v>#DIV/0!</v>
      </c>
      <c r="AB7" s="49" t="e">
        <f>D7/H7</f>
        <v>#DIV/0!</v>
      </c>
      <c r="AC7" s="49"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3"/>
      <c r="M8" s="2435"/>
      <c r="N8" s="2435"/>
      <c r="O8" s="2435"/>
      <c r="P8" s="3439" t="s">
        <v>1683</v>
      </c>
      <c r="Q8" s="3440"/>
      <c r="R8" s="663" t="s">
        <v>14</v>
      </c>
      <c r="S8" s="664">
        <f t="shared" si="0"/>
        <v>100</v>
      </c>
      <c r="T8" s="663" t="s">
        <v>14</v>
      </c>
      <c r="U8" s="664">
        <f t="shared" si="1"/>
        <v>100</v>
      </c>
      <c r="V8" s="663" t="s">
        <v>14</v>
      </c>
      <c r="W8" s="664">
        <f t="shared" si="2"/>
        <v>100</v>
      </c>
      <c r="X8" s="665"/>
      <c r="Y8" s="3439" t="s">
        <v>1683</v>
      </c>
      <c r="Z8" s="3440"/>
      <c r="AA8" s="49">
        <f t="shared" ref="AA8:AA46" si="3">D8/F8</f>
        <v>1</v>
      </c>
      <c r="AB8" s="49">
        <f t="shared" ref="AB8:AB46" si="4">D8/H8</f>
        <v>1</v>
      </c>
      <c r="AC8" s="49">
        <f t="shared" ref="AC8:AC46" si="5">D8/J8</f>
        <v>1</v>
      </c>
    </row>
    <row r="9" spans="1:29" s="101" customFormat="1" ht="14.4">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3"/>
      <c r="M9" s="2435"/>
      <c r="N9" s="2435"/>
      <c r="O9" s="2435"/>
      <c r="P9" s="3415" t="s">
        <v>1686</v>
      </c>
      <c r="Q9" s="529" t="str">
        <f t="shared" ref="Q9:Q15" si="6">B9</f>
        <v>用途</v>
      </c>
      <c r="R9" s="663" t="s">
        <v>14</v>
      </c>
      <c r="S9" s="664">
        <f t="shared" si="0"/>
        <v>100</v>
      </c>
      <c r="T9" s="663" t="s">
        <v>14</v>
      </c>
      <c r="U9" s="664">
        <f t="shared" si="1"/>
        <v>100</v>
      </c>
      <c r="V9" s="663" t="s">
        <v>14</v>
      </c>
      <c r="W9" s="664">
        <f t="shared" si="2"/>
        <v>100</v>
      </c>
      <c r="X9" s="665"/>
      <c r="Y9" s="3265" t="s">
        <v>1687</v>
      </c>
      <c r="Z9" s="49" t="str">
        <f t="shared" ref="Z9:Z15" si="7">Q9</f>
        <v>用途</v>
      </c>
      <c r="AA9" s="49">
        <f t="shared" si="3"/>
        <v>1</v>
      </c>
      <c r="AB9" s="49">
        <f t="shared" si="4"/>
        <v>1</v>
      </c>
      <c r="AC9" s="49">
        <f t="shared" si="5"/>
        <v>1</v>
      </c>
    </row>
    <row r="10" spans="1:29" s="365" customFormat="1" ht="28.8">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7"/>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65"/>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5"/>
      <c r="Q11" s="529" t="str">
        <f t="shared" si="6"/>
        <v>容积率</v>
      </c>
      <c r="R11" s="663" t="s">
        <v>14</v>
      </c>
      <c r="S11" s="664" t="e">
        <f t="shared" si="0"/>
        <v>#N/A</v>
      </c>
      <c r="T11" s="663" t="s">
        <v>14</v>
      </c>
      <c r="U11" s="664" t="e">
        <f t="shared" si="1"/>
        <v>#N/A</v>
      </c>
      <c r="V11" s="663" t="s">
        <v>14</v>
      </c>
      <c r="W11" s="664" t="e">
        <f t="shared" si="2"/>
        <v>#N/A</v>
      </c>
      <c r="X11" s="665"/>
      <c r="Y11" s="3265"/>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5"/>
      <c r="N12" s="2435"/>
      <c r="O12" s="2435"/>
      <c r="P12" s="3415"/>
      <c r="Q12" s="529">
        <f t="shared" si="6"/>
        <v>111</v>
      </c>
      <c r="R12" s="663" t="s">
        <v>14</v>
      </c>
      <c r="S12" s="664">
        <f t="shared" si="0"/>
        <v>100</v>
      </c>
      <c r="T12" s="663" t="s">
        <v>14</v>
      </c>
      <c r="U12" s="664">
        <f t="shared" si="1"/>
        <v>100</v>
      </c>
      <c r="V12" s="663" t="s">
        <v>14</v>
      </c>
      <c r="W12" s="664">
        <f t="shared" si="2"/>
        <v>100</v>
      </c>
      <c r="X12" s="665"/>
      <c r="Y12" s="326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65"/>
      <c r="Z13" s="49">
        <f t="shared" si="7"/>
        <v>111</v>
      </c>
      <c r="AA13" s="49">
        <f t="shared" si="3"/>
        <v>1</v>
      </c>
      <c r="AB13" s="49">
        <f t="shared" si="4"/>
        <v>1</v>
      </c>
      <c r="AC13" s="49">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65"/>
      <c r="Z14" s="49">
        <f t="shared" si="7"/>
        <v>111</v>
      </c>
      <c r="AA14" s="49">
        <f t="shared" si="3"/>
        <v>1</v>
      </c>
      <c r="AB14" s="49">
        <f t="shared" si="4"/>
        <v>1</v>
      </c>
      <c r="AC14" s="49">
        <f t="shared" si="5"/>
        <v>1</v>
      </c>
    </row>
    <row r="15" spans="1:29" ht="82.8">
      <c r="A15" s="378" t="s">
        <v>1690</v>
      </c>
      <c r="B15" s="57" t="s">
        <v>1777</v>
      </c>
      <c r="C15" s="1748" t="str">
        <f>估价对象房地状况!C4</f>
        <v>位于顺义中心区域，周边有国泰商业大厦、新世界百货、龙华购物中心，商业繁华度好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3" t="s">
        <v>1691</v>
      </c>
      <c r="Q15" s="1261" t="str">
        <f t="shared" si="6"/>
        <v>商业繁华度</v>
      </c>
      <c r="R15" s="666" t="s">
        <v>14</v>
      </c>
      <c r="S15" s="667">
        <f t="shared" si="0"/>
        <v>100</v>
      </c>
      <c r="T15" s="666" t="s">
        <v>14</v>
      </c>
      <c r="U15" s="667">
        <f t="shared" si="1"/>
        <v>100</v>
      </c>
      <c r="V15" s="666" t="s">
        <v>14</v>
      </c>
      <c r="W15" s="667">
        <f t="shared" si="2"/>
        <v>100</v>
      </c>
      <c r="X15" s="1263"/>
      <c r="Y15" s="340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262">
        <v>1</v>
      </c>
    </row>
    <row r="17" spans="1:29" ht="96.6">
      <c r="A17" s="366"/>
      <c r="B17" s="389" t="s">
        <v>1259</v>
      </c>
      <c r="C17" s="1752" t="str">
        <f>估价对象房地状况!C6</f>
        <v>周边有顺12、顺13、顺16路等多条及地铁15号线，周边道路密集，停车便捷程度，综合评价交通便捷度较好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87"/>
      <c r="M18" s="2482"/>
      <c r="N18" s="2482"/>
      <c r="O18" s="2482"/>
      <c r="P18" s="3414"/>
      <c r="Q18" s="1261"/>
      <c r="R18" s="666"/>
      <c r="S18" s="667"/>
      <c r="T18" s="666"/>
      <c r="U18" s="667"/>
      <c r="V18" s="666"/>
      <c r="W18" s="667"/>
      <c r="X18" s="1263"/>
      <c r="Y18" s="3407"/>
      <c r="Z18" s="1262"/>
      <c r="AA18" s="1262">
        <v>1</v>
      </c>
      <c r="AB18" s="1262">
        <v>1</v>
      </c>
      <c r="AC18" s="1262">
        <v>1</v>
      </c>
    </row>
    <row r="19" spans="1:29" ht="82.8">
      <c r="A19" s="366"/>
      <c r="B19" s="389" t="s">
        <v>1778</v>
      </c>
      <c r="C19" s="1752"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87"/>
      <c r="M20" s="2482"/>
      <c r="N20" s="2482"/>
      <c r="O20" s="2482"/>
      <c r="P20" s="3414"/>
      <c r="Q20" s="1261"/>
      <c r="R20" s="666"/>
      <c r="S20" s="667"/>
      <c r="T20" s="666"/>
      <c r="U20" s="667"/>
      <c r="V20" s="666"/>
      <c r="W20" s="667"/>
      <c r="X20" s="1263"/>
      <c r="Y20" s="3407"/>
      <c r="Z20" s="1262"/>
      <c r="AA20" s="1262">
        <v>1</v>
      </c>
      <c r="AB20" s="1262">
        <v>1</v>
      </c>
      <c r="AC20" s="1262">
        <v>1</v>
      </c>
    </row>
    <row r="21" spans="1:29" ht="41.4">
      <c r="A21" s="366"/>
      <c r="B21" s="585" t="s">
        <v>1779</v>
      </c>
      <c r="C21" s="1752"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87"/>
      <c r="M22" s="2482"/>
      <c r="N22" s="2482"/>
      <c r="O22" s="2482"/>
      <c r="P22" s="3414"/>
      <c r="Q22" s="1261"/>
      <c r="R22" s="666"/>
      <c r="S22" s="667"/>
      <c r="T22" s="666"/>
      <c r="U22" s="667"/>
      <c r="V22" s="666"/>
      <c r="W22" s="667"/>
      <c r="X22" s="1263"/>
      <c r="Y22" s="3407"/>
      <c r="Z22" s="1262"/>
      <c r="AA22" s="1262">
        <v>1</v>
      </c>
      <c r="AB22" s="1262">
        <v>1</v>
      </c>
      <c r="AC22" s="1262">
        <v>1</v>
      </c>
    </row>
    <row r="23" spans="1:29" ht="82.8">
      <c r="A23" s="366"/>
      <c r="B23" s="389" t="s">
        <v>1261</v>
      </c>
      <c r="C23" s="1804" t="str">
        <f>估价对象房地状况!C9</f>
        <v>区域内有顺义公园、怡园公园、潮白河等自然及人文环境，综合评价自然及人文环境状况较好。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4"/>
      <c r="Q23" s="1261" t="str">
        <f>B23</f>
        <v>自然及人文环境</v>
      </c>
      <c r="R23" s="666" t="s">
        <v>14</v>
      </c>
      <c r="S23" s="667">
        <f>F23</f>
        <v>100</v>
      </c>
      <c r="T23" s="666" t="s">
        <v>14</v>
      </c>
      <c r="U23" s="667">
        <f>H23</f>
        <v>100</v>
      </c>
      <c r="V23" s="666" t="s">
        <v>14</v>
      </c>
      <c r="W23" s="667">
        <f>J23</f>
        <v>100</v>
      </c>
      <c r="X23" s="1263"/>
      <c r="Y23" s="3407"/>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87"/>
      <c r="M24" s="2482"/>
      <c r="N24" s="2482"/>
      <c r="O24" s="2482"/>
      <c r="P24" s="3414"/>
      <c r="Q24" s="1261"/>
      <c r="R24" s="666"/>
      <c r="S24" s="667"/>
      <c r="T24" s="666"/>
      <c r="U24" s="667"/>
      <c r="V24" s="666"/>
      <c r="W24" s="667"/>
      <c r="X24" s="1263"/>
      <c r="Y24" s="3407"/>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4"/>
      <c r="Q25" s="1261" t="str">
        <f t="shared" ref="Q25:Q46" si="11">B25</f>
        <v>临街状况</v>
      </c>
      <c r="R25" s="666" t="s">
        <v>14</v>
      </c>
      <c r="S25" s="667">
        <f>F25</f>
        <v>100</v>
      </c>
      <c r="T25" s="666" t="s">
        <v>14</v>
      </c>
      <c r="U25" s="667">
        <f>H25</f>
        <v>100</v>
      </c>
      <c r="V25" s="666" t="s">
        <v>14</v>
      </c>
      <c r="W25" s="667">
        <f>J25</f>
        <v>100</v>
      </c>
      <c r="X25" s="1263"/>
      <c r="Y25" s="3407"/>
      <c r="Z25" s="1262" t="str">
        <f>Q25</f>
        <v>临街状况</v>
      </c>
      <c r="AA25" s="1262">
        <f t="shared" si="3"/>
        <v>1</v>
      </c>
      <c r="AB25" s="1262">
        <f t="shared" si="4"/>
        <v>1</v>
      </c>
      <c r="AC25" s="1262">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4"/>
      <c r="Q26" s="1261" t="str">
        <f t="shared" si="11"/>
        <v>平面位置/可视性</v>
      </c>
      <c r="R26" s="666" t="s">
        <v>14</v>
      </c>
      <c r="S26" s="667">
        <f>F26</f>
        <v>100</v>
      </c>
      <c r="T26" s="666" t="s">
        <v>14</v>
      </c>
      <c r="U26" s="667">
        <f>H26</f>
        <v>100</v>
      </c>
      <c r="V26" s="666" t="s">
        <v>14</v>
      </c>
      <c r="W26" s="667">
        <f>J26</f>
        <v>100</v>
      </c>
      <c r="X26" s="1263"/>
      <c r="Y26" s="3407"/>
      <c r="Z26" s="1262" t="str">
        <f>Q26</f>
        <v>平面位置/可视性</v>
      </c>
      <c r="AA26" s="1262">
        <f t="shared" si="3"/>
        <v>1</v>
      </c>
      <c r="AB26" s="1262">
        <f t="shared" si="4"/>
        <v>1</v>
      </c>
      <c r="AC26" s="1262">
        <f t="shared" si="5"/>
        <v>1</v>
      </c>
    </row>
    <row r="27" spans="1:29" s="101"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3"/>
      <c r="M27" s="2435"/>
      <c r="N27" s="2435"/>
      <c r="O27" s="2435"/>
      <c r="P27" s="3414"/>
      <c r="Q27" s="529" t="str">
        <f t="shared" si="11"/>
        <v>人流量</v>
      </c>
      <c r="R27" s="663" t="s">
        <v>14</v>
      </c>
      <c r="S27" s="664">
        <f>F27</f>
        <v>100</v>
      </c>
      <c r="T27" s="663" t="s">
        <v>14</v>
      </c>
      <c r="U27" s="664">
        <f>H27</f>
        <v>100</v>
      </c>
      <c r="V27" s="663" t="s">
        <v>14</v>
      </c>
      <c r="W27" s="664">
        <f>J27</f>
        <v>100</v>
      </c>
      <c r="X27" s="665"/>
      <c r="Y27" s="3407"/>
      <c r="Z27" s="49"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4"/>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07"/>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4"/>
      <c r="Q29" s="1261">
        <f t="shared" si="11"/>
        <v>111</v>
      </c>
      <c r="R29" s="666" t="s">
        <v>14</v>
      </c>
      <c r="S29" s="667">
        <f t="shared" si="12"/>
        <v>100</v>
      </c>
      <c r="T29" s="666" t="s">
        <v>14</v>
      </c>
      <c r="U29" s="667">
        <f t="shared" si="13"/>
        <v>100</v>
      </c>
      <c r="V29" s="666" t="s">
        <v>14</v>
      </c>
      <c r="W29" s="667">
        <f t="shared" si="14"/>
        <v>100</v>
      </c>
      <c r="X29" s="1263"/>
      <c r="Y29" s="3407"/>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4"/>
      <c r="Q30" s="1261">
        <f t="shared" si="11"/>
        <v>111</v>
      </c>
      <c r="R30" s="666" t="s">
        <v>14</v>
      </c>
      <c r="S30" s="667">
        <f t="shared" si="12"/>
        <v>100</v>
      </c>
      <c r="T30" s="666" t="s">
        <v>14</v>
      </c>
      <c r="U30" s="667">
        <f t="shared" si="13"/>
        <v>100</v>
      </c>
      <c r="V30" s="666" t="s">
        <v>14</v>
      </c>
      <c r="W30" s="667">
        <f t="shared" si="14"/>
        <v>100</v>
      </c>
      <c r="X30" s="1263"/>
      <c r="Y30" s="3407"/>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4"/>
      <c r="Q31" s="1261">
        <f t="shared" si="11"/>
        <v>111</v>
      </c>
      <c r="R31" s="666" t="s">
        <v>14</v>
      </c>
      <c r="S31" s="667">
        <f t="shared" si="12"/>
        <v>100</v>
      </c>
      <c r="T31" s="666" t="s">
        <v>14</v>
      </c>
      <c r="U31" s="667">
        <f t="shared" si="13"/>
        <v>100</v>
      </c>
      <c r="V31" s="666" t="s">
        <v>14</v>
      </c>
      <c r="W31" s="667">
        <f t="shared" si="14"/>
        <v>100</v>
      </c>
      <c r="X31" s="1263"/>
      <c r="Y31" s="3407"/>
      <c r="Z31" s="1262">
        <f t="shared" si="15"/>
        <v>111</v>
      </c>
      <c r="AA31" s="1262">
        <f t="shared" si="3"/>
        <v>1</v>
      </c>
      <c r="AB31" s="1262">
        <f t="shared" si="4"/>
        <v>1</v>
      </c>
      <c r="AC31" s="1262">
        <f t="shared" si="5"/>
        <v>1</v>
      </c>
    </row>
    <row r="32" spans="1:29" ht="15">
      <c r="A32" s="378" t="s">
        <v>1694</v>
      </c>
      <c r="B32" s="59"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87"/>
      <c r="M32" s="2482"/>
      <c r="N32" s="2482"/>
      <c r="O32" s="2482"/>
      <c r="P32" s="3408" t="s">
        <v>1696</v>
      </c>
      <c r="Q32" s="1261" t="str">
        <f t="shared" si="11"/>
        <v>商业类型</v>
      </c>
      <c r="R32" s="666" t="s">
        <v>14</v>
      </c>
      <c r="S32" s="667">
        <f t="shared" si="12"/>
        <v>100</v>
      </c>
      <c r="T32" s="666" t="s">
        <v>14</v>
      </c>
      <c r="U32" s="667">
        <f t="shared" si="13"/>
        <v>100</v>
      </c>
      <c r="V32" s="666" t="s">
        <v>14</v>
      </c>
      <c r="W32" s="667">
        <f t="shared" si="14"/>
        <v>100</v>
      </c>
      <c r="X32" s="1263"/>
      <c r="Y32" s="3411"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9"/>
      <c r="Q33" s="530" t="str">
        <f t="shared" si="11"/>
        <v>项目建筑规模</v>
      </c>
      <c r="R33" s="668" t="s">
        <v>14</v>
      </c>
      <c r="S33" s="669" t="e">
        <f t="shared" si="12"/>
        <v>#N/A</v>
      </c>
      <c r="T33" s="668" t="s">
        <v>14</v>
      </c>
      <c r="U33" s="669" t="e">
        <f t="shared" si="13"/>
        <v>#N/A</v>
      </c>
      <c r="V33" s="668" t="s">
        <v>14</v>
      </c>
      <c r="W33" s="669" t="e">
        <f t="shared" si="14"/>
        <v>#N/A</v>
      </c>
      <c r="X33" s="670"/>
      <c r="Y33" s="3411"/>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9"/>
      <c r="Q34" s="1261" t="str">
        <f t="shared" si="11"/>
        <v>建筑结构</v>
      </c>
      <c r="R34" s="666" t="s">
        <v>14</v>
      </c>
      <c r="S34" s="667">
        <f t="shared" si="12"/>
        <v>100</v>
      </c>
      <c r="T34" s="666" t="s">
        <v>14</v>
      </c>
      <c r="U34" s="667">
        <f t="shared" si="13"/>
        <v>100</v>
      </c>
      <c r="V34" s="666" t="s">
        <v>14</v>
      </c>
      <c r="W34" s="667">
        <f t="shared" si="14"/>
        <v>100</v>
      </c>
      <c r="X34" s="1263"/>
      <c r="Y34" s="3411"/>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87"/>
      <c r="M35" s="2482"/>
      <c r="N35" s="2482"/>
      <c r="O35" s="2482"/>
      <c r="P35" s="3409"/>
      <c r="Q35" s="1261" t="str">
        <f t="shared" si="11"/>
        <v>公共部分装修</v>
      </c>
      <c r="R35" s="666" t="s">
        <v>14</v>
      </c>
      <c r="S35" s="667">
        <f t="shared" si="12"/>
        <v>100</v>
      </c>
      <c r="T35" s="666" t="s">
        <v>14</v>
      </c>
      <c r="U35" s="667">
        <f t="shared" si="13"/>
        <v>100</v>
      </c>
      <c r="V35" s="666" t="s">
        <v>14</v>
      </c>
      <c r="W35" s="667">
        <f t="shared" si="14"/>
        <v>100</v>
      </c>
      <c r="X35" s="1263"/>
      <c r="Y35" s="3411"/>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9"/>
      <c r="Q36" s="1261" t="str">
        <f t="shared" si="11"/>
        <v>成新度</v>
      </c>
      <c r="R36" s="666" t="s">
        <v>14</v>
      </c>
      <c r="S36" s="667" t="e">
        <f t="shared" si="12"/>
        <v>#N/A</v>
      </c>
      <c r="T36" s="666" t="s">
        <v>14</v>
      </c>
      <c r="U36" s="667" t="e">
        <f t="shared" si="13"/>
        <v>#N/A</v>
      </c>
      <c r="V36" s="666" t="s">
        <v>14</v>
      </c>
      <c r="W36" s="667" t="e">
        <f t="shared" si="14"/>
        <v>#N/A</v>
      </c>
      <c r="X36" s="1263"/>
      <c r="Y36" s="3411"/>
      <c r="Z36" s="1262" t="str">
        <f t="shared" si="15"/>
        <v>成新度</v>
      </c>
      <c r="AA36" s="1262" t="e">
        <f t="shared" si="3"/>
        <v>#N/A</v>
      </c>
      <c r="AB36" s="1262" t="e">
        <f t="shared" si="4"/>
        <v>#N/A</v>
      </c>
      <c r="AC36" s="1262" t="e">
        <f t="shared" si="5"/>
        <v>#N/A</v>
      </c>
    </row>
    <row r="37" spans="1:29" s="101"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3"/>
      <c r="M37" s="2435"/>
      <c r="N37" s="2435"/>
      <c r="O37" s="2435"/>
      <c r="P37" s="3409"/>
      <c r="Q37" s="529" t="str">
        <f t="shared" si="11"/>
        <v>市政基础设施</v>
      </c>
      <c r="R37" s="663" t="s">
        <v>14</v>
      </c>
      <c r="S37" s="664">
        <f t="shared" si="12"/>
        <v>100</v>
      </c>
      <c r="T37" s="663" t="s">
        <v>14</v>
      </c>
      <c r="U37" s="664">
        <f t="shared" si="13"/>
        <v>100</v>
      </c>
      <c r="V37" s="663" t="s">
        <v>14</v>
      </c>
      <c r="W37" s="664">
        <f t="shared" si="14"/>
        <v>100</v>
      </c>
      <c r="X37" s="665"/>
      <c r="Y37" s="3411"/>
      <c r="Z37" s="49" t="str">
        <f t="shared" si="15"/>
        <v>市政基础设施</v>
      </c>
      <c r="AA37" s="49">
        <f t="shared" si="3"/>
        <v>1</v>
      </c>
      <c r="AB37" s="49">
        <f t="shared" si="4"/>
        <v>1</v>
      </c>
      <c r="AC37" s="49">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87"/>
      <c r="M38" s="2482"/>
      <c r="N38" s="2482"/>
      <c r="O38" s="2482"/>
      <c r="P38" s="3409" t="s">
        <v>1696</v>
      </c>
      <c r="Q38" s="1261" t="str">
        <f t="shared" si="11"/>
        <v>业态</v>
      </c>
      <c r="R38" s="666" t="s">
        <v>14</v>
      </c>
      <c r="S38" s="667">
        <f t="shared" si="12"/>
        <v>100</v>
      </c>
      <c r="T38" s="666" t="s">
        <v>14</v>
      </c>
      <c r="U38" s="667">
        <f t="shared" si="13"/>
        <v>100</v>
      </c>
      <c r="V38" s="666" t="s">
        <v>14</v>
      </c>
      <c r="W38" s="667">
        <f t="shared" si="14"/>
        <v>100</v>
      </c>
      <c r="X38" s="1263"/>
      <c r="Y38" s="3411"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87"/>
      <c r="M39" s="2482"/>
      <c r="N39" s="2482"/>
      <c r="O39" s="2482"/>
      <c r="P39" s="3409"/>
      <c r="Q39" s="1261" t="str">
        <f t="shared" si="11"/>
        <v>层高</v>
      </c>
      <c r="R39" s="666" t="s">
        <v>14</v>
      </c>
      <c r="S39" s="667">
        <f t="shared" si="12"/>
        <v>100</v>
      </c>
      <c r="T39" s="666" t="s">
        <v>14</v>
      </c>
      <c r="U39" s="667">
        <f t="shared" si="13"/>
        <v>100</v>
      </c>
      <c r="V39" s="666" t="s">
        <v>14</v>
      </c>
      <c r="W39" s="667">
        <f t="shared" si="14"/>
        <v>100</v>
      </c>
      <c r="X39" s="1263"/>
      <c r="Y39" s="3411"/>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9"/>
      <c r="Q40" s="1261" t="str">
        <f t="shared" si="11"/>
        <v>单套建筑面积</v>
      </c>
      <c r="R40" s="666" t="s">
        <v>14</v>
      </c>
      <c r="S40" s="667">
        <f t="shared" si="12"/>
        <v>100</v>
      </c>
      <c r="T40" s="666" t="s">
        <v>14</v>
      </c>
      <c r="U40" s="667">
        <f t="shared" si="13"/>
        <v>100</v>
      </c>
      <c r="V40" s="666" t="s">
        <v>14</v>
      </c>
      <c r="W40" s="667">
        <f t="shared" si="14"/>
        <v>100</v>
      </c>
      <c r="X40" s="1263"/>
      <c r="Y40" s="3411"/>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9"/>
      <c r="Q41" s="530" t="str">
        <f t="shared" si="11"/>
        <v>进深比</v>
      </c>
      <c r="R41" s="668" t="s">
        <v>14</v>
      </c>
      <c r="S41" s="669">
        <f t="shared" si="12"/>
        <v>100</v>
      </c>
      <c r="T41" s="668" t="s">
        <v>14</v>
      </c>
      <c r="U41" s="669">
        <f t="shared" si="13"/>
        <v>100</v>
      </c>
      <c r="V41" s="668" t="s">
        <v>14</v>
      </c>
      <c r="W41" s="669">
        <f t="shared" si="14"/>
        <v>100</v>
      </c>
      <c r="X41" s="670"/>
      <c r="Y41" s="3411"/>
      <c r="Z41" s="671"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87"/>
      <c r="M42" s="2482"/>
      <c r="N42" s="2482"/>
      <c r="O42" s="2482"/>
      <c r="P42" s="3409"/>
      <c r="Q42" s="1261" t="str">
        <f t="shared" si="11"/>
        <v>内部装修</v>
      </c>
      <c r="R42" s="666" t="s">
        <v>14</v>
      </c>
      <c r="S42" s="667">
        <f t="shared" si="12"/>
        <v>100</v>
      </c>
      <c r="T42" s="666" t="s">
        <v>14</v>
      </c>
      <c r="U42" s="667">
        <f t="shared" si="13"/>
        <v>100</v>
      </c>
      <c r="V42" s="666" t="s">
        <v>14</v>
      </c>
      <c r="W42" s="667">
        <f t="shared" si="14"/>
        <v>100</v>
      </c>
      <c r="X42" s="1263"/>
      <c r="Y42" s="3411"/>
      <c r="Z42" s="1262" t="str">
        <f t="shared" si="15"/>
        <v>内部装修</v>
      </c>
      <c r="AA42" s="1262">
        <f t="shared" si="3"/>
        <v>1</v>
      </c>
      <c r="AB42" s="1262">
        <f t="shared" si="4"/>
        <v>1</v>
      </c>
      <c r="AC42" s="1262">
        <f t="shared" si="5"/>
        <v>1</v>
      </c>
    </row>
    <row r="43" spans="1:29" ht="28.8">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87"/>
      <c r="M43" s="2482"/>
      <c r="N43" s="2482"/>
      <c r="O43" s="2482"/>
      <c r="P43" s="3409"/>
      <c r="Q43" s="1261" t="str">
        <f t="shared" si="11"/>
        <v>内部装修维护情况</v>
      </c>
      <c r="R43" s="666" t="s">
        <v>14</v>
      </c>
      <c r="S43" s="667">
        <f t="shared" si="12"/>
        <v>100</v>
      </c>
      <c r="T43" s="666" t="s">
        <v>14</v>
      </c>
      <c r="U43" s="667">
        <f t="shared" si="13"/>
        <v>100</v>
      </c>
      <c r="V43" s="666" t="s">
        <v>14</v>
      </c>
      <c r="W43" s="667">
        <f t="shared" si="14"/>
        <v>100</v>
      </c>
      <c r="X43" s="1263"/>
      <c r="Y43" s="3411"/>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5"/>
      <c r="N44" s="2435"/>
      <c r="O44" s="2435"/>
      <c r="P44" s="3409"/>
      <c r="Q44" s="529">
        <f t="shared" si="11"/>
        <v>111</v>
      </c>
      <c r="R44" s="663" t="s">
        <v>14</v>
      </c>
      <c r="S44" s="664">
        <f t="shared" si="12"/>
        <v>100</v>
      </c>
      <c r="T44" s="663" t="s">
        <v>14</v>
      </c>
      <c r="U44" s="664">
        <f t="shared" si="13"/>
        <v>100</v>
      </c>
      <c r="V44" s="663" t="s">
        <v>14</v>
      </c>
      <c r="W44" s="664">
        <f t="shared" si="14"/>
        <v>100</v>
      </c>
      <c r="X44" s="665"/>
      <c r="Y44" s="3411"/>
      <c r="Z44" s="49">
        <f t="shared" si="15"/>
        <v>111</v>
      </c>
      <c r="AA44" s="49">
        <f t="shared" si="3"/>
        <v>1</v>
      </c>
      <c r="AB44" s="49">
        <f t="shared" si="4"/>
        <v>1</v>
      </c>
      <c r="AC44" s="49">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9"/>
      <c r="Q45" s="1261">
        <f t="shared" si="11"/>
        <v>111</v>
      </c>
      <c r="R45" s="666" t="s">
        <v>14</v>
      </c>
      <c r="S45" s="667">
        <f t="shared" si="12"/>
        <v>100</v>
      </c>
      <c r="T45" s="666" t="s">
        <v>14</v>
      </c>
      <c r="U45" s="667">
        <f t="shared" si="13"/>
        <v>100</v>
      </c>
      <c r="V45" s="666" t="s">
        <v>14</v>
      </c>
      <c r="W45" s="667">
        <f t="shared" si="14"/>
        <v>100</v>
      </c>
      <c r="X45" s="1263"/>
      <c r="Y45" s="3411"/>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0"/>
      <c r="Q46" s="1261">
        <f t="shared" si="11"/>
        <v>111</v>
      </c>
      <c r="R46" s="666" t="s">
        <v>14</v>
      </c>
      <c r="S46" s="667">
        <f t="shared" si="12"/>
        <v>100</v>
      </c>
      <c r="T46" s="666" t="s">
        <v>14</v>
      </c>
      <c r="U46" s="667">
        <f t="shared" si="13"/>
        <v>100</v>
      </c>
      <c r="V46" s="666" t="s">
        <v>14</v>
      </c>
      <c r="W46" s="667">
        <f t="shared" si="14"/>
        <v>100</v>
      </c>
      <c r="X46" s="1263"/>
      <c r="Y46" s="3412"/>
      <c r="Z46" s="1262">
        <f t="shared" si="15"/>
        <v>111</v>
      </c>
      <c r="AA46" s="1262">
        <f t="shared" si="3"/>
        <v>1</v>
      </c>
      <c r="AB46" s="1262">
        <f t="shared" si="4"/>
        <v>1</v>
      </c>
      <c r="AC46" s="1262">
        <f t="shared" si="5"/>
        <v>1</v>
      </c>
    </row>
    <row r="47" spans="1:29" ht="14.4">
      <c r="A47" s="415" t="s">
        <v>1708</v>
      </c>
      <c r="B47" s="416"/>
      <c r="C47" s="1079" t="s">
        <v>0</v>
      </c>
      <c r="D47" s="417"/>
      <c r="E47" s="418"/>
      <c r="F47" s="419"/>
      <c r="G47" s="420"/>
      <c r="H47" s="421"/>
      <c r="I47" s="418"/>
      <c r="J47" s="421"/>
      <c r="K47" s="673"/>
      <c r="L47" s="2489"/>
      <c r="M47" s="2482"/>
      <c r="N47" s="2482"/>
      <c r="O47" s="2482"/>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 thickBot="1">
      <c r="A48" s="422" t="s">
        <v>1793</v>
      </c>
      <c r="B48" s="423"/>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9"/>
      <c r="M49" s="2482"/>
      <c r="N49" s="2482"/>
      <c r="O49" s="248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4.4">
      <c r="A58" s="439" t="s">
        <v>1679</v>
      </c>
      <c r="B58" s="440"/>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4"/>
      <c r="Q58" s="2505"/>
      <c r="R58" s="2505"/>
      <c r="S58" s="2505"/>
      <c r="T58" s="2505"/>
      <c r="U58" s="2505"/>
      <c r="V58" s="2505"/>
      <c r="W58" s="2505"/>
      <c r="X58" s="2505"/>
      <c r="Y58" s="2505"/>
      <c r="Z58" s="2505"/>
      <c r="AA58" s="2505"/>
      <c r="AB58" s="2505"/>
      <c r="AC58" s="2505"/>
    </row>
    <row r="59" spans="1:29" s="101" customFormat="1">
      <c r="A59" s="442"/>
      <c r="B59" s="443"/>
      <c r="C59" s="1100">
        <v>100</v>
      </c>
      <c r="D59" s="445"/>
      <c r="E59" s="445"/>
      <c r="F59" s="445"/>
      <c r="G59" s="445"/>
      <c r="H59" s="445"/>
      <c r="I59" s="445"/>
      <c r="J59" s="445"/>
      <c r="K59" s="445"/>
      <c r="L59" s="445"/>
      <c r="M59" s="446"/>
      <c r="N59" s="445"/>
      <c r="O59" s="446"/>
      <c r="P59" s="2506"/>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6"/>
      <c r="Q60" s="2503"/>
      <c r="R60" s="2435"/>
      <c r="S60" s="2435"/>
      <c r="T60" s="2435"/>
      <c r="U60" s="2435"/>
      <c r="V60" s="2435"/>
      <c r="W60" s="2435"/>
      <c r="X60" s="2435"/>
      <c r="Y60" s="2435"/>
      <c r="Z60" s="2435"/>
      <c r="AA60" s="2435"/>
      <c r="AB60" s="2435"/>
      <c r="AC60" s="2435"/>
    </row>
    <row r="61" spans="1:29" s="101" customFormat="1" ht="14.4">
      <c r="A61" s="454" t="s">
        <v>1681</v>
      </c>
      <c r="B61" s="443"/>
      <c r="C61" s="455" t="s">
        <v>1776</v>
      </c>
      <c r="D61" s="30"/>
      <c r="E61" s="30"/>
      <c r="F61" s="30"/>
      <c r="G61" s="30"/>
      <c r="H61" s="30"/>
      <c r="I61" s="30"/>
      <c r="J61" s="30"/>
      <c r="K61" s="30"/>
      <c r="L61" s="456"/>
      <c r="M61" s="457"/>
      <c r="N61" s="2515"/>
      <c r="O61" s="2515"/>
      <c r="P61" s="2507"/>
      <c r="Q61" s="2503"/>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5"/>
      <c r="O62" s="2515"/>
      <c r="P62" s="2506"/>
      <c r="Q62" s="2503"/>
      <c r="R62" s="2435"/>
      <c r="S62" s="2435"/>
      <c r="T62" s="2435"/>
      <c r="U62" s="2435"/>
      <c r="V62" s="2435"/>
      <c r="W62" s="2435"/>
      <c r="X62" s="2435"/>
      <c r="Y62" s="2435"/>
      <c r="Z62" s="2435"/>
      <c r="AA62" s="2435"/>
      <c r="AB62" s="2435"/>
      <c r="AC62" s="2435"/>
    </row>
    <row r="63" spans="1:29" ht="14.4">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4.4"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9.4"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4.4"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4.4"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4.4"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4.4"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4.4"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4.4" thickTop="1">
      <c r="A74" s="483"/>
      <c r="B74" s="476">
        <f>B14</f>
        <v>111</v>
      </c>
      <c r="C74" s="484"/>
      <c r="D74" s="484"/>
      <c r="E74" s="484"/>
      <c r="F74" s="484"/>
      <c r="G74" s="30"/>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4.4"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ht="14.4">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 thickTop="1">
      <c r="A82" s="366"/>
      <c r="B82" s="476" t="s">
        <v>1779</v>
      </c>
      <c r="C82" s="580" t="s">
        <v>1799</v>
      </c>
      <c r="D82" s="580" t="s">
        <v>1800</v>
      </c>
      <c r="E82" s="580" t="s">
        <v>1801</v>
      </c>
      <c r="F82" s="580" t="s">
        <v>1802</v>
      </c>
      <c r="G82" s="580" t="s">
        <v>1803</v>
      </c>
      <c r="H82" s="469"/>
      <c r="I82" s="469"/>
      <c r="J82" s="469"/>
      <c r="K82" s="469"/>
      <c r="L82" s="469"/>
      <c r="M82" s="1061"/>
      <c r="N82" s="2517"/>
      <c r="O82" s="2517"/>
      <c r="P82" s="2508"/>
      <c r="Q82" s="2503"/>
      <c r="R82" s="2482"/>
      <c r="S82" s="2482"/>
      <c r="T82" s="2482"/>
      <c r="U82" s="2482"/>
      <c r="V82" s="2482"/>
      <c r="W82" s="2482"/>
      <c r="X82" s="2482"/>
      <c r="Y82" s="2482"/>
      <c r="Z82" s="2482"/>
      <c r="AA82" s="2482"/>
      <c r="AB82" s="2482"/>
      <c r="AC82" s="2482"/>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 thickTop="1">
      <c r="A86" s="369"/>
      <c r="B86" s="468" t="s">
        <v>1804</v>
      </c>
      <c r="C86" s="484"/>
      <c r="D86" s="484"/>
      <c r="E86" s="484"/>
      <c r="F86" s="484"/>
      <c r="G86" s="484"/>
      <c r="H86" s="484"/>
      <c r="I86" s="484"/>
      <c r="J86" s="484"/>
      <c r="K86" s="484"/>
      <c r="L86" s="509"/>
      <c r="M86" s="510"/>
      <c r="N86" s="2515"/>
      <c r="O86" s="2515"/>
      <c r="P86" s="2508"/>
      <c r="Q86" s="2503"/>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7"/>
      <c r="O87" s="2517"/>
      <c r="P87" s="2508"/>
      <c r="Q87" s="2503"/>
      <c r="R87" s="2435"/>
      <c r="S87" s="2435"/>
      <c r="T87" s="2435"/>
      <c r="U87" s="2435"/>
      <c r="V87" s="2435"/>
      <c r="W87" s="2435"/>
      <c r="X87" s="2435"/>
      <c r="Y87" s="2435"/>
      <c r="Z87" s="2435"/>
      <c r="AA87" s="2435"/>
      <c r="AB87" s="2435"/>
      <c r="AC87" s="2435"/>
    </row>
    <row r="88" spans="1:29" s="101" customFormat="1" ht="14.4" thickTop="1">
      <c r="A88" s="369"/>
      <c r="B88" s="468" t="str">
        <f>B26</f>
        <v>平面位置/可视性</v>
      </c>
      <c r="C88" s="484"/>
      <c r="D88" s="484"/>
      <c r="E88" s="484"/>
      <c r="F88" s="1778"/>
      <c r="G88" s="484"/>
      <c r="H88" s="484"/>
      <c r="I88" s="484"/>
      <c r="J88" s="484"/>
      <c r="K88" s="484"/>
      <c r="L88" s="484"/>
      <c r="M88" s="510"/>
      <c r="N88" s="2515"/>
      <c r="O88" s="2515"/>
      <c r="P88" s="2508"/>
      <c r="Q88" s="2503"/>
      <c r="R88" s="2435"/>
      <c r="S88" s="2435"/>
      <c r="T88" s="2435"/>
      <c r="U88" s="2435"/>
      <c r="V88" s="2435"/>
      <c r="W88" s="2435"/>
      <c r="X88" s="2435"/>
      <c r="Y88" s="2435"/>
      <c r="Z88" s="2435"/>
      <c r="AA88" s="2435"/>
      <c r="AB88" s="2435"/>
      <c r="AC88" s="2435"/>
    </row>
    <row r="89" spans="1:29" s="101" customFormat="1" ht="14.4" thickBot="1">
      <c r="A89" s="369"/>
      <c r="B89" s="473"/>
      <c r="C89" s="490"/>
      <c r="D89" s="466"/>
      <c r="E89" s="466"/>
      <c r="F89" s="466"/>
      <c r="G89" s="466"/>
      <c r="H89" s="466"/>
      <c r="I89" s="466"/>
      <c r="J89" s="466"/>
      <c r="K89" s="466"/>
      <c r="L89" s="466"/>
      <c r="M89" s="466"/>
      <c r="N89" s="2517"/>
      <c r="O89" s="2517"/>
      <c r="P89" s="2508"/>
      <c r="Q89" s="2503"/>
      <c r="R89" s="2435"/>
      <c r="S89" s="2435"/>
      <c r="T89" s="2435"/>
      <c r="U89" s="2435"/>
      <c r="V89" s="2435"/>
      <c r="W89" s="2435"/>
      <c r="X89" s="2435"/>
      <c r="Y89" s="2435"/>
      <c r="Z89" s="2435"/>
      <c r="AA89" s="2435"/>
      <c r="AB89" s="2435"/>
      <c r="AC89" s="2435"/>
    </row>
    <row r="90" spans="1:29" s="407" customFormat="1" ht="14.4"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4.4"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4.4"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4.4"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4.4"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4.4"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4.4"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4.4"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ht="14.4">
      <c r="A100" s="378" t="s">
        <v>1694</v>
      </c>
      <c r="B100" s="459" t="s">
        <v>1805</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4.4"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4.4"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4.4"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4.4"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4.4"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4.4"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4.4" thickTop="1">
      <c r="A130" s="408"/>
      <c r="B130" s="476">
        <f>B46</f>
        <v>111</v>
      </c>
      <c r="C130" s="484"/>
      <c r="D130" s="484"/>
      <c r="E130" s="484"/>
      <c r="F130" s="484"/>
      <c r="G130" s="516"/>
      <c r="H130" s="516"/>
      <c r="I130" s="516"/>
      <c r="J130" s="516"/>
      <c r="K130" s="30"/>
      <c r="L130" s="456"/>
      <c r="M130" s="519"/>
      <c r="N130" s="2516"/>
      <c r="O130" s="2516"/>
      <c r="P130" s="2508"/>
      <c r="Q130" s="2503"/>
      <c r="R130" s="2482"/>
      <c r="S130" s="2482"/>
      <c r="T130" s="2482"/>
      <c r="U130" s="2482"/>
      <c r="V130" s="2482"/>
      <c r="W130" s="2482"/>
      <c r="X130" s="2482"/>
      <c r="Y130" s="2482"/>
      <c r="Z130" s="2482"/>
      <c r="AA130" s="2482"/>
      <c r="AB130" s="2482"/>
      <c r="AC130" s="2482"/>
    </row>
    <row r="131" spans="1:29" ht="14.4"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135843.08000000002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859"/>
      <c r="M4" s="860"/>
      <c r="N4" s="860"/>
      <c r="O4" s="860"/>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7"/>
      <c r="B5" s="348"/>
      <c r="C5" s="3437" t="s">
        <v>1673</v>
      </c>
      <c r="D5" s="3438"/>
      <c r="E5" s="3444" t="s">
        <v>1674</v>
      </c>
      <c r="F5" s="3445"/>
      <c r="G5" s="3437" t="s">
        <v>1675</v>
      </c>
      <c r="H5" s="3438"/>
      <c r="I5" s="3437" t="s">
        <v>1676</v>
      </c>
      <c r="J5" s="3438"/>
      <c r="K5" s="536"/>
      <c r="L5" s="859"/>
      <c r="M5" s="860"/>
      <c r="N5" s="860"/>
      <c r="O5" s="860"/>
      <c r="P5" s="3425"/>
      <c r="Q5" s="3426"/>
      <c r="R5" s="3431"/>
      <c r="S5" s="3432"/>
      <c r="T5" s="3431"/>
      <c r="U5" s="3432"/>
      <c r="V5" s="3405"/>
      <c r="W5" s="3405"/>
      <c r="X5" s="1263"/>
      <c r="Y5" s="3431"/>
      <c r="Z5" s="3432"/>
      <c r="AA5" s="3417"/>
      <c r="AB5" s="3417"/>
      <c r="AC5" s="3417"/>
    </row>
    <row r="6" spans="1:29" ht="15" thickBot="1">
      <c r="A6" s="349"/>
      <c r="B6" s="350"/>
      <c r="C6" s="3435" t="s">
        <v>1677</v>
      </c>
      <c r="D6" s="3436"/>
      <c r="E6" s="3442" t="s">
        <v>1677</v>
      </c>
      <c r="F6" s="3443"/>
      <c r="G6" s="3435" t="s">
        <v>1677</v>
      </c>
      <c r="H6" s="3436"/>
      <c r="I6" s="3435" t="s">
        <v>1677</v>
      </c>
      <c r="J6" s="3436"/>
      <c r="K6" s="536" t="s">
        <v>1678</v>
      </c>
      <c r="L6" s="859"/>
      <c r="M6" s="860"/>
      <c r="N6" s="860"/>
      <c r="O6" s="860"/>
      <c r="P6" s="3427"/>
      <c r="Q6" s="3428"/>
      <c r="R6" s="3431"/>
      <c r="S6" s="3432"/>
      <c r="T6" s="3433"/>
      <c r="U6" s="3434"/>
      <c r="V6" s="3405"/>
      <c r="W6" s="3405"/>
      <c r="X6" s="1263"/>
      <c r="Y6" s="3433"/>
      <c r="Z6" s="3434"/>
      <c r="AA6" s="3418"/>
      <c r="AB6" s="3418"/>
      <c r="AC6" s="3418"/>
    </row>
    <row r="7" spans="1:29" s="101" customFormat="1" ht="15" thickBot="1">
      <c r="A7" s="351" t="s">
        <v>1679</v>
      </c>
      <c r="B7" s="352"/>
      <c r="C7" s="353">
        <f>'数据-取费表'!B2</f>
        <v>45715</v>
      </c>
      <c r="D7" s="354">
        <v>100</v>
      </c>
      <c r="E7" s="355"/>
      <c r="F7" s="356">
        <f>SUMIF(52:52,YEAR(E7)&amp;"-"&amp;MONTH(E7),53:53)</f>
        <v>0</v>
      </c>
      <c r="G7" s="355"/>
      <c r="H7" s="354">
        <f>SUMIF(52:52,YEAR(G7)&amp;"-"&amp;MONTH(G7),53:53)</f>
        <v>0</v>
      </c>
      <c r="I7" s="355"/>
      <c r="J7" s="354">
        <f>SUMIF(52:52,YEAR(I7)&amp;"-"&amp;MONTH(I7),53:53)</f>
        <v>0</v>
      </c>
      <c r="K7" s="37"/>
      <c r="L7" s="861"/>
      <c r="M7" s="862"/>
      <c r="N7" s="862"/>
      <c r="O7" s="862"/>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39" t="s">
        <v>1683</v>
      </c>
      <c r="Q8" s="3440"/>
      <c r="R8" s="663" t="s">
        <v>14</v>
      </c>
      <c r="S8" s="664">
        <f t="shared" si="0"/>
        <v>100</v>
      </c>
      <c r="T8" s="663" t="s">
        <v>14</v>
      </c>
      <c r="U8" s="664">
        <f t="shared" si="1"/>
        <v>100</v>
      </c>
      <c r="V8" s="663" t="s">
        <v>14</v>
      </c>
      <c r="W8" s="664">
        <f t="shared" si="2"/>
        <v>100</v>
      </c>
      <c r="X8" s="665"/>
      <c r="Y8" s="3439" t="s">
        <v>1683</v>
      </c>
      <c r="Z8" s="3440"/>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04" t="s">
        <v>1686</v>
      </c>
      <c r="Q9" s="529" t="str">
        <f t="shared" ref="Q9:Q15" si="6">B9</f>
        <v>用途</v>
      </c>
      <c r="R9" s="663" t="s">
        <v>14</v>
      </c>
      <c r="S9" s="664">
        <f t="shared" si="0"/>
        <v>100</v>
      </c>
      <c r="T9" s="663" t="s">
        <v>14</v>
      </c>
      <c r="U9" s="664">
        <f t="shared" si="1"/>
        <v>100</v>
      </c>
      <c r="V9" s="663" t="s">
        <v>14</v>
      </c>
      <c r="W9" s="664">
        <f t="shared" si="2"/>
        <v>100</v>
      </c>
      <c r="X9" s="665"/>
      <c r="Y9" s="3265" t="s">
        <v>1687</v>
      </c>
      <c r="Z9" s="49" t="str">
        <f t="shared" ref="Z9:Z15" si="7">Q9</f>
        <v>用途</v>
      </c>
      <c r="AA9" s="49">
        <f t="shared" si="3"/>
        <v>1</v>
      </c>
      <c r="AB9" s="49">
        <f t="shared" si="4"/>
        <v>1</v>
      </c>
      <c r="AC9" s="49">
        <f t="shared" si="5"/>
        <v>1</v>
      </c>
    </row>
    <row r="10" spans="1:29" s="365" customFormat="1" ht="28.8">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7"/>
      <c r="L10" s="864"/>
      <c r="M10" s="865"/>
      <c r="N10" s="865"/>
      <c r="O10" s="866"/>
      <c r="P10" s="3404"/>
      <c r="Q10" s="529" t="str">
        <f t="shared" si="6"/>
        <v>土地使用年限（年）</v>
      </c>
      <c r="R10" s="663" t="s">
        <v>14</v>
      </c>
      <c r="S10" s="664">
        <f t="shared" si="0"/>
        <v>100</v>
      </c>
      <c r="T10" s="663" t="s">
        <v>14</v>
      </c>
      <c r="U10" s="664">
        <f t="shared" si="1"/>
        <v>100</v>
      </c>
      <c r="V10" s="663" t="s">
        <v>14</v>
      </c>
      <c r="W10" s="664">
        <f t="shared" si="2"/>
        <v>100</v>
      </c>
      <c r="X10" s="665"/>
      <c r="Y10" s="3265"/>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4"/>
      <c r="Q11" s="529" t="str">
        <f t="shared" si="6"/>
        <v>容积率</v>
      </c>
      <c r="R11" s="663" t="s">
        <v>14</v>
      </c>
      <c r="S11" s="664">
        <f t="shared" si="0"/>
        <v>100</v>
      </c>
      <c r="T11" s="663" t="s">
        <v>14</v>
      </c>
      <c r="U11" s="664">
        <f t="shared" si="1"/>
        <v>100</v>
      </c>
      <c r="V11" s="663" t="s">
        <v>14</v>
      </c>
      <c r="W11" s="664">
        <f t="shared" si="2"/>
        <v>100</v>
      </c>
      <c r="X11" s="665"/>
      <c r="Y11" s="3265"/>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404"/>
      <c r="Q12" s="529">
        <f t="shared" si="6"/>
        <v>111</v>
      </c>
      <c r="R12" s="663" t="s">
        <v>14</v>
      </c>
      <c r="S12" s="664">
        <f t="shared" si="0"/>
        <v>100</v>
      </c>
      <c r="T12" s="663" t="s">
        <v>14</v>
      </c>
      <c r="U12" s="664">
        <f t="shared" si="1"/>
        <v>100</v>
      </c>
      <c r="V12" s="663" t="s">
        <v>14</v>
      </c>
      <c r="W12" s="664">
        <f t="shared" si="2"/>
        <v>100</v>
      </c>
      <c r="X12" s="665"/>
      <c r="Y12" s="3265"/>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404"/>
      <c r="Q13" s="529">
        <f t="shared" si="6"/>
        <v>111</v>
      </c>
      <c r="R13" s="663" t="s">
        <v>14</v>
      </c>
      <c r="S13" s="664">
        <f t="shared" si="0"/>
        <v>100</v>
      </c>
      <c r="T13" s="663" t="s">
        <v>14</v>
      </c>
      <c r="U13" s="664">
        <f t="shared" si="1"/>
        <v>100</v>
      </c>
      <c r="V13" s="663" t="s">
        <v>14</v>
      </c>
      <c r="W13" s="664">
        <f t="shared" si="2"/>
        <v>100</v>
      </c>
      <c r="X13" s="665"/>
      <c r="Y13" s="3265"/>
      <c r="Z13" s="49">
        <f t="shared" si="7"/>
        <v>111</v>
      </c>
      <c r="AA13" s="49">
        <f t="shared" si="3"/>
        <v>1</v>
      </c>
      <c r="AB13" s="49">
        <f t="shared" si="4"/>
        <v>1</v>
      </c>
      <c r="AC13" s="49">
        <f t="shared" si="5"/>
        <v>1</v>
      </c>
    </row>
    <row r="14" spans="1:29" ht="15.6"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404"/>
      <c r="Q14" s="529">
        <f t="shared" si="6"/>
        <v>111</v>
      </c>
      <c r="R14" s="663" t="s">
        <v>14</v>
      </c>
      <c r="S14" s="664">
        <f t="shared" si="0"/>
        <v>100</v>
      </c>
      <c r="T14" s="663" t="s">
        <v>14</v>
      </c>
      <c r="U14" s="664">
        <f t="shared" si="1"/>
        <v>100</v>
      </c>
      <c r="V14" s="663" t="s">
        <v>14</v>
      </c>
      <c r="W14" s="664">
        <f t="shared" si="2"/>
        <v>100</v>
      </c>
      <c r="X14" s="665"/>
      <c r="Y14" s="3265"/>
      <c r="Z14" s="49">
        <f t="shared" si="7"/>
        <v>111</v>
      </c>
      <c r="AA14" s="49">
        <f t="shared" si="3"/>
        <v>1</v>
      </c>
      <c r="AB14" s="49">
        <f t="shared" si="4"/>
        <v>1</v>
      </c>
      <c r="AC14" s="49">
        <f t="shared" si="5"/>
        <v>1</v>
      </c>
    </row>
    <row r="15" spans="1:29" ht="69">
      <c r="A15" s="378" t="s">
        <v>1690</v>
      </c>
      <c r="B15" s="57"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7"/>
      <c r="Q16" s="1261"/>
      <c r="R16" s="666"/>
      <c r="S16" s="667"/>
      <c r="T16" s="666"/>
      <c r="U16" s="667"/>
      <c r="V16" s="666"/>
      <c r="W16" s="667"/>
      <c r="X16" s="1263"/>
      <c r="Y16" s="3407"/>
      <c r="Z16" s="1262"/>
      <c r="AA16" s="1262">
        <v>1</v>
      </c>
      <c r="AB16" s="1262">
        <v>1</v>
      </c>
      <c r="AC16" s="1262">
        <v>1</v>
      </c>
    </row>
    <row r="17" spans="1:29" ht="96.6">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07"/>
      <c r="Q18" s="1261"/>
      <c r="R18" s="666"/>
      <c r="S18" s="667"/>
      <c r="T18" s="666"/>
      <c r="U18" s="667"/>
      <c r="V18" s="666"/>
      <c r="W18" s="667"/>
      <c r="X18" s="1263"/>
      <c r="Y18" s="3407"/>
      <c r="Z18" s="1262"/>
      <c r="AA18" s="1262">
        <v>1</v>
      </c>
      <c r="AB18" s="1262">
        <v>1</v>
      </c>
      <c r="AC18" s="1262">
        <v>1</v>
      </c>
    </row>
    <row r="19" spans="1:29" ht="41.4">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7"/>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07"/>
      <c r="Q20" s="1261"/>
      <c r="R20" s="666"/>
      <c r="S20" s="667"/>
      <c r="T20" s="666"/>
      <c r="U20" s="667"/>
      <c r="V20" s="666"/>
      <c r="W20" s="667"/>
      <c r="X20" s="1263"/>
      <c r="Y20" s="3407"/>
      <c r="Z20" s="1262"/>
      <c r="AA20" s="1262">
        <v>1</v>
      </c>
      <c r="AB20" s="1262">
        <v>1</v>
      </c>
      <c r="AC20" s="1262">
        <v>1</v>
      </c>
    </row>
    <row r="21" spans="1:29" ht="41.4">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7"/>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07"/>
      <c r="Q22" s="1261"/>
      <c r="R22" s="666"/>
      <c r="S22" s="667"/>
      <c r="T22" s="666"/>
      <c r="U22" s="667"/>
      <c r="V22" s="666"/>
      <c r="W22" s="667"/>
      <c r="X22" s="1263"/>
      <c r="Y22" s="3407"/>
      <c r="Z22" s="1262"/>
      <c r="AA22" s="1262">
        <v>1</v>
      </c>
      <c r="AB22" s="1262">
        <v>1</v>
      </c>
      <c r="AC22" s="1262">
        <v>1</v>
      </c>
    </row>
    <row r="23" spans="1:29" ht="82.8">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7"/>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07"/>
      <c r="Q24" s="1261"/>
      <c r="R24" s="666"/>
      <c r="S24" s="667"/>
      <c r="T24" s="666"/>
      <c r="U24" s="667"/>
      <c r="V24" s="666"/>
      <c r="W24" s="667"/>
      <c r="X24" s="1263"/>
      <c r="Y24" s="3407"/>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7"/>
      <c r="Q25" s="1261">
        <f>B25</f>
        <v>111</v>
      </c>
      <c r="R25" s="666" t="s">
        <v>14</v>
      </c>
      <c r="S25" s="667">
        <f>F25</f>
        <v>100</v>
      </c>
      <c r="T25" s="666" t="s">
        <v>14</v>
      </c>
      <c r="U25" s="667">
        <f>H25</f>
        <v>100</v>
      </c>
      <c r="V25" s="666" t="s">
        <v>14</v>
      </c>
      <c r="W25" s="667">
        <f>J25</f>
        <v>100</v>
      </c>
      <c r="X25" s="1263"/>
      <c r="Y25" s="3407"/>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7"/>
      <c r="Q26" s="1261">
        <f t="shared" ref="Q26:Q40" si="11">B26</f>
        <v>111</v>
      </c>
      <c r="R26" s="666" t="s">
        <v>14</v>
      </c>
      <c r="S26" s="667">
        <f>F26</f>
        <v>100</v>
      </c>
      <c r="T26" s="666" t="s">
        <v>14</v>
      </c>
      <c r="U26" s="667">
        <f>H26</f>
        <v>100</v>
      </c>
      <c r="V26" s="666" t="s">
        <v>14</v>
      </c>
      <c r="W26" s="667">
        <f>J26</f>
        <v>100</v>
      </c>
      <c r="X26" s="1263"/>
      <c r="Y26" s="3407"/>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7"/>
      <c r="Q27" s="529">
        <f t="shared" si="11"/>
        <v>111</v>
      </c>
      <c r="R27" s="663" t="s">
        <v>14</v>
      </c>
      <c r="S27" s="664">
        <f>F27</f>
        <v>100</v>
      </c>
      <c r="T27" s="663" t="s">
        <v>14</v>
      </c>
      <c r="U27" s="664">
        <f>H27</f>
        <v>100</v>
      </c>
      <c r="V27" s="663" t="s">
        <v>14</v>
      </c>
      <c r="W27" s="664">
        <f>J27</f>
        <v>100</v>
      </c>
      <c r="X27" s="665"/>
      <c r="Y27" s="3407"/>
      <c r="Z27" s="49">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7"/>
      <c r="Q28" s="1261">
        <f t="shared" si="11"/>
        <v>111</v>
      </c>
      <c r="R28" s="666" t="s">
        <v>14</v>
      </c>
      <c r="S28" s="667">
        <f t="shared" ref="S28:S40" si="12">F28</f>
        <v>100</v>
      </c>
      <c r="T28" s="666" t="s">
        <v>14</v>
      </c>
      <c r="U28" s="667">
        <f t="shared" ref="U28:U40" si="13">H28</f>
        <v>100</v>
      </c>
      <c r="V28" s="666" t="s">
        <v>14</v>
      </c>
      <c r="W28" s="667">
        <f t="shared" ref="W28:W40" si="14">J28</f>
        <v>100</v>
      </c>
      <c r="X28" s="1263"/>
      <c r="Y28" s="3407"/>
      <c r="Z28" s="1262">
        <f t="shared" ref="Z28:Z40" si="15">Q28</f>
        <v>111</v>
      </c>
      <c r="AA28" s="1262">
        <f t="shared" si="3"/>
        <v>1</v>
      </c>
      <c r="AB28" s="1262">
        <f t="shared" si="4"/>
        <v>1</v>
      </c>
      <c r="AC28" s="1262">
        <f t="shared" si="5"/>
        <v>1</v>
      </c>
    </row>
    <row r="29" spans="1:29" ht="30">
      <c r="A29" s="403" t="s">
        <v>1694</v>
      </c>
      <c r="B29" s="59"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46" t="s">
        <v>1696</v>
      </c>
      <c r="Q29" s="1261" t="str">
        <f t="shared" si="11"/>
        <v>建筑类型</v>
      </c>
      <c r="R29" s="666" t="s">
        <v>14</v>
      </c>
      <c r="S29" s="667">
        <f t="shared" si="12"/>
        <v>100</v>
      </c>
      <c r="T29" s="666" t="s">
        <v>14</v>
      </c>
      <c r="U29" s="667">
        <f t="shared" si="13"/>
        <v>100</v>
      </c>
      <c r="V29" s="666" t="s">
        <v>14</v>
      </c>
      <c r="W29" s="667">
        <f t="shared" si="14"/>
        <v>100</v>
      </c>
      <c r="X29" s="1263"/>
      <c r="Y29" s="3411"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1"/>
      <c r="Q30" s="530" t="str">
        <f t="shared" si="11"/>
        <v>项目建筑规模</v>
      </c>
      <c r="R30" s="668" t="s">
        <v>14</v>
      </c>
      <c r="S30" s="669" t="e">
        <f t="shared" si="12"/>
        <v>#N/A</v>
      </c>
      <c r="T30" s="668" t="s">
        <v>14</v>
      </c>
      <c r="U30" s="669" t="e">
        <f t="shared" si="13"/>
        <v>#N/A</v>
      </c>
      <c r="V30" s="668" t="s">
        <v>14</v>
      </c>
      <c r="W30" s="669" t="e">
        <f t="shared" si="14"/>
        <v>#N/A</v>
      </c>
      <c r="X30" s="670"/>
      <c r="Y30" s="3411"/>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1"/>
      <c r="Q31" s="1261" t="str">
        <f t="shared" si="11"/>
        <v>建筑结构</v>
      </c>
      <c r="R31" s="666" t="s">
        <v>14</v>
      </c>
      <c r="S31" s="667">
        <f t="shared" si="12"/>
        <v>100</v>
      </c>
      <c r="T31" s="666" t="s">
        <v>14</v>
      </c>
      <c r="U31" s="667">
        <f t="shared" si="13"/>
        <v>100</v>
      </c>
      <c r="V31" s="666" t="s">
        <v>14</v>
      </c>
      <c r="W31" s="667">
        <f t="shared" si="14"/>
        <v>100</v>
      </c>
      <c r="X31" s="1263"/>
      <c r="Y31" s="3411"/>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1"/>
      <c r="Q32" s="1261" t="str">
        <f t="shared" si="11"/>
        <v>公共部分装修</v>
      </c>
      <c r="R32" s="666" t="s">
        <v>14</v>
      </c>
      <c r="S32" s="667">
        <f t="shared" si="12"/>
        <v>100</v>
      </c>
      <c r="T32" s="666" t="s">
        <v>14</v>
      </c>
      <c r="U32" s="667">
        <f t="shared" si="13"/>
        <v>100</v>
      </c>
      <c r="V32" s="666" t="s">
        <v>14</v>
      </c>
      <c r="W32" s="667">
        <f t="shared" si="14"/>
        <v>100</v>
      </c>
      <c r="X32" s="1263"/>
      <c r="Y32" s="3411"/>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1"/>
      <c r="Q33" s="1261" t="str">
        <f t="shared" si="11"/>
        <v>成新度</v>
      </c>
      <c r="R33" s="666" t="s">
        <v>14</v>
      </c>
      <c r="S33" s="667" t="e">
        <f t="shared" si="12"/>
        <v>#N/A</v>
      </c>
      <c r="T33" s="666" t="s">
        <v>14</v>
      </c>
      <c r="U33" s="667" t="e">
        <f t="shared" si="13"/>
        <v>#N/A</v>
      </c>
      <c r="V33" s="666" t="s">
        <v>14</v>
      </c>
      <c r="W33" s="667" t="e">
        <f t="shared" si="14"/>
        <v>#N/A</v>
      </c>
      <c r="X33" s="1263"/>
      <c r="Y33" s="3411"/>
      <c r="Z33" s="1262" t="str">
        <f t="shared" si="15"/>
        <v>成新度</v>
      </c>
      <c r="AA33" s="1262" t="e">
        <f t="shared" si="3"/>
        <v>#N/A</v>
      </c>
      <c r="AB33" s="1262" t="e">
        <f t="shared" si="4"/>
        <v>#N/A</v>
      </c>
      <c r="AC33" s="1262"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1"/>
      <c r="Q34" s="529" t="str">
        <f t="shared" si="11"/>
        <v>物业管理</v>
      </c>
      <c r="R34" s="663" t="s">
        <v>14</v>
      </c>
      <c r="S34" s="664">
        <f t="shared" si="12"/>
        <v>100</v>
      </c>
      <c r="T34" s="663" t="s">
        <v>14</v>
      </c>
      <c r="U34" s="664">
        <f t="shared" si="13"/>
        <v>100</v>
      </c>
      <c r="V34" s="663" t="s">
        <v>14</v>
      </c>
      <c r="W34" s="664">
        <f t="shared" si="14"/>
        <v>100</v>
      </c>
      <c r="X34" s="665"/>
      <c r="Y34" s="3411"/>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1" t="s">
        <v>1696</v>
      </c>
      <c r="Q35" s="1261" t="str">
        <f t="shared" si="11"/>
        <v>市政基础设施</v>
      </c>
      <c r="R35" s="666" t="s">
        <v>14</v>
      </c>
      <c r="S35" s="667">
        <f t="shared" si="12"/>
        <v>100</v>
      </c>
      <c r="T35" s="666" t="s">
        <v>14</v>
      </c>
      <c r="U35" s="667">
        <f t="shared" si="13"/>
        <v>100</v>
      </c>
      <c r="V35" s="666" t="s">
        <v>14</v>
      </c>
      <c r="W35" s="667">
        <f t="shared" si="14"/>
        <v>100</v>
      </c>
      <c r="X35" s="1263"/>
      <c r="Y35" s="3411"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1"/>
      <c r="Q36" s="1261" t="str">
        <f t="shared" si="11"/>
        <v>内部装修</v>
      </c>
      <c r="R36" s="666" t="s">
        <v>14</v>
      </c>
      <c r="S36" s="667">
        <f t="shared" si="12"/>
        <v>100</v>
      </c>
      <c r="T36" s="666" t="s">
        <v>14</v>
      </c>
      <c r="U36" s="667">
        <f t="shared" si="13"/>
        <v>100</v>
      </c>
      <c r="V36" s="666" t="s">
        <v>14</v>
      </c>
      <c r="W36" s="667">
        <f t="shared" si="14"/>
        <v>100</v>
      </c>
      <c r="X36" s="1263"/>
      <c r="Y36" s="3411"/>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1"/>
      <c r="Q37" s="1261" t="str">
        <f t="shared" si="11"/>
        <v>内部装修状况</v>
      </c>
      <c r="R37" s="666" t="s">
        <v>14</v>
      </c>
      <c r="S37" s="667">
        <f t="shared" si="12"/>
        <v>100</v>
      </c>
      <c r="T37" s="666" t="s">
        <v>14</v>
      </c>
      <c r="U37" s="667">
        <f t="shared" si="13"/>
        <v>100</v>
      </c>
      <c r="V37" s="666" t="s">
        <v>14</v>
      </c>
      <c r="W37" s="667">
        <f t="shared" si="14"/>
        <v>100</v>
      </c>
      <c r="X37" s="1263"/>
      <c r="Y37" s="3411"/>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1"/>
      <c r="Q38" s="530">
        <f t="shared" si="11"/>
        <v>111</v>
      </c>
      <c r="R38" s="668" t="s">
        <v>14</v>
      </c>
      <c r="S38" s="669">
        <f t="shared" si="12"/>
        <v>100</v>
      </c>
      <c r="T38" s="668" t="s">
        <v>14</v>
      </c>
      <c r="U38" s="669">
        <f t="shared" si="13"/>
        <v>100</v>
      </c>
      <c r="V38" s="668" t="s">
        <v>14</v>
      </c>
      <c r="W38" s="669">
        <f t="shared" si="14"/>
        <v>100</v>
      </c>
      <c r="X38" s="670"/>
      <c r="Y38" s="3411"/>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1"/>
      <c r="Q39" s="1261">
        <f t="shared" si="11"/>
        <v>111</v>
      </c>
      <c r="R39" s="666" t="s">
        <v>14</v>
      </c>
      <c r="S39" s="667">
        <f t="shared" si="12"/>
        <v>100</v>
      </c>
      <c r="T39" s="666" t="s">
        <v>14</v>
      </c>
      <c r="U39" s="667">
        <f t="shared" si="13"/>
        <v>100</v>
      </c>
      <c r="V39" s="666" t="s">
        <v>14</v>
      </c>
      <c r="W39" s="667">
        <f t="shared" si="14"/>
        <v>100</v>
      </c>
      <c r="X39" s="1263"/>
      <c r="Y39" s="3411"/>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2"/>
      <c r="Q40" s="1261">
        <f t="shared" si="11"/>
        <v>111</v>
      </c>
      <c r="R40" s="666" t="s">
        <v>14</v>
      </c>
      <c r="S40" s="667">
        <f t="shared" si="12"/>
        <v>100</v>
      </c>
      <c r="T40" s="666" t="s">
        <v>14</v>
      </c>
      <c r="U40" s="667">
        <f t="shared" si="13"/>
        <v>100</v>
      </c>
      <c r="V40" s="666" t="s">
        <v>14</v>
      </c>
      <c r="W40" s="667">
        <f t="shared" si="14"/>
        <v>100</v>
      </c>
      <c r="X40" s="1263"/>
      <c r="Y40" s="3412"/>
      <c r="Z40" s="1262">
        <f t="shared" si="15"/>
        <v>111</v>
      </c>
      <c r="AA40" s="1262">
        <f t="shared" si="3"/>
        <v>1</v>
      </c>
      <c r="AB40" s="1262">
        <f t="shared" si="4"/>
        <v>1</v>
      </c>
      <c r="AC40" s="1262">
        <f t="shared" si="5"/>
        <v>1</v>
      </c>
    </row>
    <row r="41" spans="1:29" ht="14.4">
      <c r="A41" s="415" t="s">
        <v>1708</v>
      </c>
      <c r="B41" s="416"/>
      <c r="C41" s="1079" t="s">
        <v>0</v>
      </c>
      <c r="D41" s="417"/>
      <c r="E41" s="418"/>
      <c r="F41" s="419"/>
      <c r="G41" s="420"/>
      <c r="H41" s="421"/>
      <c r="I41" s="418"/>
      <c r="J41" s="421"/>
      <c r="K41" s="673"/>
      <c r="L41" s="872"/>
      <c r="M41" s="860"/>
      <c r="N41" s="860"/>
      <c r="O41" s="860"/>
      <c r="P41" s="3404" t="str">
        <f>A41</f>
        <v>成交单价（元/平方米）</v>
      </c>
      <c r="Q41" s="3404"/>
      <c r="R41" s="3405">
        <f>E41</f>
        <v>0</v>
      </c>
      <c r="S41" s="3405"/>
      <c r="T41" s="3405">
        <f>G41</f>
        <v>0</v>
      </c>
      <c r="U41" s="3405"/>
      <c r="V41" s="3405">
        <f>I41</f>
        <v>0</v>
      </c>
      <c r="W41" s="3405"/>
      <c r="X41" s="384"/>
      <c r="Y41" s="672"/>
      <c r="Z41" s="384"/>
      <c r="AA41" s="384"/>
      <c r="AB41" s="384"/>
      <c r="AC41" s="384"/>
    </row>
    <row r="42" spans="1:29" ht="15" thickBot="1">
      <c r="A42" s="422" t="s">
        <v>1793</v>
      </c>
      <c r="B42" s="423"/>
      <c r="C42" s="1080" t="e">
        <f>R43</f>
        <v>#DIV/0!</v>
      </c>
      <c r="D42" s="2139" t="s">
        <v>2138</v>
      </c>
      <c r="E42" s="1081" t="e">
        <f>R42</f>
        <v>#DIV/0!</v>
      </c>
      <c r="F42" s="2140"/>
      <c r="G42" s="1080" t="e">
        <f>T42</f>
        <v>#DIV/0!</v>
      </c>
      <c r="H42" s="2140"/>
      <c r="I42" s="1081" t="e">
        <f>V42</f>
        <v>#DIV/0!</v>
      </c>
      <c r="J42" s="2140"/>
      <c r="K42" s="2142">
        <f>F42+H42+J42</f>
        <v>0</v>
      </c>
      <c r="L42" s="872"/>
      <c r="M42" s="860"/>
      <c r="N42" s="860"/>
      <c r="O42" s="860"/>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3"/>
      <c r="O54" s="2534"/>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1813</v>
      </c>
      <c r="C76" s="580" t="s">
        <v>1799</v>
      </c>
      <c r="D76" s="580" t="s">
        <v>1800</v>
      </c>
      <c r="E76" s="580" t="s">
        <v>1801</v>
      </c>
      <c r="F76" s="580" t="s">
        <v>1802</v>
      </c>
      <c r="G76" s="580" t="s">
        <v>1803</v>
      </c>
      <c r="H76" s="469"/>
      <c r="I76" s="469"/>
      <c r="J76" s="469"/>
      <c r="K76" s="469"/>
      <c r="L76" s="469"/>
      <c r="M76" s="1061"/>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3328</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4"/>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4"/>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7"/>
      <c r="B5" s="348"/>
      <c r="C5" s="3437" t="s">
        <v>1673</v>
      </c>
      <c r="D5" s="3438"/>
      <c r="E5" s="3444" t="s">
        <v>1674</v>
      </c>
      <c r="F5" s="3445"/>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 thickBot="1">
      <c r="A6" s="349"/>
      <c r="B6" s="350"/>
      <c r="C6" s="3435" t="s">
        <v>1677</v>
      </c>
      <c r="D6" s="3436"/>
      <c r="E6" s="3442" t="s">
        <v>1677</v>
      </c>
      <c r="F6" s="3443"/>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 thickBot="1">
      <c r="A7" s="351" t="s">
        <v>1679</v>
      </c>
      <c r="B7" s="352"/>
      <c r="C7" s="353">
        <f>'数据-取费表'!B2</f>
        <v>45715</v>
      </c>
      <c r="D7" s="354">
        <v>100</v>
      </c>
      <c r="E7" s="355"/>
      <c r="F7" s="356">
        <f>SUMIF(48:48,YEAR(E7)&amp;"-"&amp;MONTH(E7),49:49)</f>
        <v>0</v>
      </c>
      <c r="G7" s="355"/>
      <c r="H7" s="354">
        <f>SUMIF(48:48,YEAR(G7)&amp;"-"&amp;MONTH(G7),49:49)</f>
        <v>0</v>
      </c>
      <c r="I7" s="355"/>
      <c r="J7" s="354">
        <f>SUMIF(48:48,YEAR(I7)&amp;"-"&amp;MONTH(I7),49:49)</f>
        <v>0</v>
      </c>
      <c r="K7" s="37"/>
      <c r="L7" s="2483"/>
      <c r="M7" s="2435"/>
      <c r="N7" s="2435"/>
      <c r="O7" s="2435"/>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3"/>
      <c r="M8" s="2435"/>
      <c r="N8" s="2435"/>
      <c r="O8" s="2435"/>
      <c r="P8" s="3439" t="s">
        <v>1683</v>
      </c>
      <c r="Q8" s="3440"/>
      <c r="R8" s="663" t="s">
        <v>14</v>
      </c>
      <c r="S8" s="664">
        <f t="shared" si="0"/>
        <v>100</v>
      </c>
      <c r="T8" s="663" t="s">
        <v>14</v>
      </c>
      <c r="U8" s="664">
        <f t="shared" si="1"/>
        <v>100</v>
      </c>
      <c r="V8" s="663" t="s">
        <v>14</v>
      </c>
      <c r="W8" s="664">
        <f t="shared" si="2"/>
        <v>100</v>
      </c>
      <c r="X8" s="665"/>
      <c r="Y8" s="3439" t="s">
        <v>1683</v>
      </c>
      <c r="Z8" s="3440"/>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3"/>
      <c r="M9" s="2435"/>
      <c r="N9" s="2435"/>
      <c r="O9" s="2435"/>
      <c r="P9" s="3404" t="s">
        <v>1686</v>
      </c>
      <c r="Q9" s="529" t="str">
        <f t="shared" ref="Q9:Q14" si="6">B9</f>
        <v>用途</v>
      </c>
      <c r="R9" s="663" t="s">
        <v>14</v>
      </c>
      <c r="S9" s="664">
        <f t="shared" si="0"/>
        <v>100</v>
      </c>
      <c r="T9" s="663" t="s">
        <v>14</v>
      </c>
      <c r="U9" s="664">
        <f t="shared" si="1"/>
        <v>100</v>
      </c>
      <c r="V9" s="663" t="s">
        <v>14</v>
      </c>
      <c r="W9" s="664">
        <f t="shared" si="2"/>
        <v>100</v>
      </c>
      <c r="X9" s="665"/>
      <c r="Y9" s="3265" t="s">
        <v>1687</v>
      </c>
      <c r="Z9" s="49" t="str">
        <f t="shared" ref="Z9:Z14" si="7">Q9</f>
        <v>用途</v>
      </c>
      <c r="AA9" s="49">
        <f t="shared" si="3"/>
        <v>1</v>
      </c>
      <c r="AB9" s="49">
        <f t="shared" si="4"/>
        <v>1</v>
      </c>
      <c r="AC9" s="49">
        <f t="shared" si="5"/>
        <v>1</v>
      </c>
    </row>
    <row r="10" spans="1:29" s="365" customFormat="1" ht="28.8">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7"/>
      <c r="L10" s="2484"/>
      <c r="M10" s="2485"/>
      <c r="N10" s="2485"/>
      <c r="O10" s="2485"/>
      <c r="P10" s="3404"/>
      <c r="Q10" s="529" t="str">
        <f t="shared" si="6"/>
        <v>土地使用年限（年）</v>
      </c>
      <c r="R10" s="663" t="s">
        <v>14</v>
      </c>
      <c r="S10" s="664">
        <f t="shared" si="0"/>
        <v>100</v>
      </c>
      <c r="T10" s="663" t="s">
        <v>14</v>
      </c>
      <c r="U10" s="664">
        <f t="shared" si="1"/>
        <v>100</v>
      </c>
      <c r="V10" s="663" t="s">
        <v>14</v>
      </c>
      <c r="W10" s="664">
        <f t="shared" si="2"/>
        <v>100</v>
      </c>
      <c r="X10" s="665"/>
      <c r="Y10" s="3265"/>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4"/>
      <c r="Q11" s="529">
        <f t="shared" si="6"/>
        <v>111</v>
      </c>
      <c r="R11" s="663" t="s">
        <v>14</v>
      </c>
      <c r="S11" s="664">
        <f t="shared" si="0"/>
        <v>100</v>
      </c>
      <c r="T11" s="663" t="s">
        <v>14</v>
      </c>
      <c r="U11" s="664">
        <f t="shared" si="1"/>
        <v>100</v>
      </c>
      <c r="V11" s="663" t="s">
        <v>14</v>
      </c>
      <c r="W11" s="664">
        <f t="shared" si="2"/>
        <v>100</v>
      </c>
      <c r="X11" s="665"/>
      <c r="Y11" s="3265"/>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5"/>
      <c r="N12" s="2435"/>
      <c r="O12" s="2435"/>
      <c r="P12" s="3404"/>
      <c r="Q12" s="529">
        <f t="shared" si="6"/>
        <v>111</v>
      </c>
      <c r="R12" s="663" t="s">
        <v>14</v>
      </c>
      <c r="S12" s="664">
        <f t="shared" si="0"/>
        <v>100</v>
      </c>
      <c r="T12" s="663" t="s">
        <v>14</v>
      </c>
      <c r="U12" s="664">
        <f t="shared" si="1"/>
        <v>100</v>
      </c>
      <c r="V12" s="663" t="s">
        <v>14</v>
      </c>
      <c r="W12" s="664">
        <f t="shared" si="2"/>
        <v>100</v>
      </c>
      <c r="X12" s="665"/>
      <c r="Y12" s="3265"/>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4"/>
      <c r="Q13" s="529">
        <f t="shared" si="6"/>
        <v>111</v>
      </c>
      <c r="R13" s="663" t="s">
        <v>14</v>
      </c>
      <c r="S13" s="664">
        <f t="shared" si="0"/>
        <v>100</v>
      </c>
      <c r="T13" s="663" t="s">
        <v>14</v>
      </c>
      <c r="U13" s="664">
        <f t="shared" si="1"/>
        <v>100</v>
      </c>
      <c r="V13" s="663" t="s">
        <v>14</v>
      </c>
      <c r="W13" s="664">
        <f t="shared" si="2"/>
        <v>100</v>
      </c>
      <c r="X13" s="665"/>
      <c r="Y13" s="3265"/>
      <c r="Z13" s="49">
        <f t="shared" si="7"/>
        <v>111</v>
      </c>
      <c r="AA13" s="49">
        <f t="shared" si="3"/>
        <v>1</v>
      </c>
      <c r="AB13" s="49">
        <f t="shared" si="4"/>
        <v>1</v>
      </c>
      <c r="AC13" s="49">
        <f t="shared" si="5"/>
        <v>1</v>
      </c>
    </row>
    <row r="14" spans="1:29" ht="110.4">
      <c r="A14" s="344" t="s">
        <v>1690</v>
      </c>
      <c r="B14" s="553" t="s">
        <v>1833</v>
      </c>
      <c r="C14" s="1817"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7"/>
      <c r="Q15" s="1261"/>
      <c r="R15" s="666"/>
      <c r="S15" s="667"/>
      <c r="T15" s="666"/>
      <c r="U15" s="667"/>
      <c r="V15" s="666"/>
      <c r="W15" s="667"/>
      <c r="X15" s="1263"/>
      <c r="Y15" s="3407"/>
      <c r="Z15" s="1262"/>
      <c r="AA15" s="1262">
        <v>1</v>
      </c>
      <c r="AB15" s="1262">
        <v>1</v>
      </c>
      <c r="AC15" s="1262">
        <v>1</v>
      </c>
    </row>
    <row r="16" spans="1:29" ht="96.6">
      <c r="A16" s="347"/>
      <c r="B16" s="555" t="s">
        <v>1812</v>
      </c>
      <c r="C16" s="1752"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87"/>
      <c r="M17" s="2482"/>
      <c r="N17" s="2482"/>
      <c r="O17" s="2482"/>
      <c r="P17" s="3407"/>
      <c r="Q17" s="1261"/>
      <c r="R17" s="666"/>
      <c r="S17" s="667"/>
      <c r="T17" s="666"/>
      <c r="U17" s="667"/>
      <c r="V17" s="666"/>
      <c r="W17" s="667"/>
      <c r="X17" s="1263"/>
      <c r="Y17" s="3407"/>
      <c r="Z17" s="1262"/>
      <c r="AA17" s="1262">
        <v>1</v>
      </c>
      <c r="AB17" s="1262">
        <v>1</v>
      </c>
      <c r="AC17" s="1262">
        <v>1</v>
      </c>
    </row>
    <row r="18" spans="1:29" ht="41.4">
      <c r="A18" s="347"/>
      <c r="B18" s="556" t="s">
        <v>1813</v>
      </c>
      <c r="C18" s="1752"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87"/>
      <c r="M19" s="2482"/>
      <c r="N19" s="2482"/>
      <c r="O19" s="2482"/>
      <c r="P19" s="3407"/>
      <c r="Q19" s="1261"/>
      <c r="R19" s="666"/>
      <c r="S19" s="667"/>
      <c r="T19" s="666"/>
      <c r="U19" s="667"/>
      <c r="V19" s="666"/>
      <c r="W19" s="667"/>
      <c r="X19" s="1263"/>
      <c r="Y19" s="3407"/>
      <c r="Z19" s="1262"/>
      <c r="AA19" s="1262">
        <v>1</v>
      </c>
      <c r="AB19" s="1262">
        <v>1</v>
      </c>
      <c r="AC19" s="1262">
        <v>1</v>
      </c>
    </row>
    <row r="20" spans="1:29" ht="96.6">
      <c r="A20" s="347"/>
      <c r="B20" s="555" t="s">
        <v>1834</v>
      </c>
      <c r="C20" s="1752"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7"/>
      <c r="Q21" s="1261"/>
      <c r="R21" s="666"/>
      <c r="S21" s="667"/>
      <c r="T21" s="666"/>
      <c r="U21" s="667"/>
      <c r="V21" s="666"/>
      <c r="W21" s="667"/>
      <c r="X21" s="1263"/>
      <c r="Y21" s="3407"/>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7"/>
      <c r="Q24" s="1261">
        <f t="shared" ref="Q24:Q36" si="11">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5"/>
      <c r="N25" s="2435"/>
      <c r="O25" s="2435"/>
      <c r="P25" s="3407"/>
      <c r="Q25" s="529">
        <f t="shared" si="11"/>
        <v>111</v>
      </c>
      <c r="R25" s="663" t="s">
        <v>14</v>
      </c>
      <c r="S25" s="664">
        <f>F25</f>
        <v>100</v>
      </c>
      <c r="T25" s="663" t="s">
        <v>14</v>
      </c>
      <c r="U25" s="664">
        <f>H25</f>
        <v>100</v>
      </c>
      <c r="V25" s="663" t="s">
        <v>14</v>
      </c>
      <c r="W25" s="664">
        <f>J25</f>
        <v>100</v>
      </c>
      <c r="X25" s="665"/>
      <c r="Y25" s="3407"/>
      <c r="Z25" s="49">
        <f>Q25</f>
        <v>111</v>
      </c>
      <c r="AA25" s="1262">
        <f>D25/F25</f>
        <v>1</v>
      </c>
      <c r="AB25" s="1262">
        <f>D25/H25</f>
        <v>1</v>
      </c>
      <c r="AC25" s="1262">
        <f>D25/J25</f>
        <v>1</v>
      </c>
    </row>
    <row r="26" spans="1:29" ht="30">
      <c r="A26" s="573" t="s">
        <v>1694</v>
      </c>
      <c r="B26" s="58"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46"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11"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1"/>
      <c r="Q27" s="530" t="str">
        <f t="shared" si="11"/>
        <v>项目停车位配比</v>
      </c>
      <c r="R27" s="668" t="s">
        <v>14</v>
      </c>
      <c r="S27" s="669">
        <f t="shared" si="12"/>
        <v>100</v>
      </c>
      <c r="T27" s="668" t="s">
        <v>14</v>
      </c>
      <c r="U27" s="669">
        <f t="shared" si="13"/>
        <v>100</v>
      </c>
      <c r="V27" s="668" t="s">
        <v>14</v>
      </c>
      <c r="W27" s="669">
        <f t="shared" si="14"/>
        <v>100</v>
      </c>
      <c r="X27" s="670"/>
      <c r="Y27" s="3411"/>
      <c r="Z27" s="671"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1"/>
      <c r="Q28" s="1261" t="str">
        <f t="shared" si="11"/>
        <v>公共部分装修</v>
      </c>
      <c r="R28" s="666" t="s">
        <v>14</v>
      </c>
      <c r="S28" s="667">
        <f t="shared" si="12"/>
        <v>100</v>
      </c>
      <c r="T28" s="666" t="s">
        <v>14</v>
      </c>
      <c r="U28" s="667">
        <f t="shared" si="13"/>
        <v>100</v>
      </c>
      <c r="V28" s="666" t="s">
        <v>14</v>
      </c>
      <c r="W28" s="667">
        <f t="shared" si="14"/>
        <v>100</v>
      </c>
      <c r="X28" s="1263"/>
      <c r="Y28" s="3411"/>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1"/>
      <c r="Q29" s="1261" t="str">
        <f t="shared" si="11"/>
        <v>成新率</v>
      </c>
      <c r="R29" s="666" t="s">
        <v>14</v>
      </c>
      <c r="S29" s="667" t="e">
        <f t="shared" si="12"/>
        <v>#N/A</v>
      </c>
      <c r="T29" s="666" t="s">
        <v>14</v>
      </c>
      <c r="U29" s="667" t="e">
        <f t="shared" si="13"/>
        <v>#N/A</v>
      </c>
      <c r="V29" s="666" t="s">
        <v>14</v>
      </c>
      <c r="W29" s="667" t="e">
        <f t="shared" si="14"/>
        <v>#N/A</v>
      </c>
      <c r="X29" s="1263"/>
      <c r="Y29" s="3411"/>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1"/>
      <c r="Q30" s="1261" t="str">
        <f t="shared" si="11"/>
        <v>物业等级</v>
      </c>
      <c r="R30" s="666" t="s">
        <v>14</v>
      </c>
      <c r="S30" s="667">
        <f t="shared" si="12"/>
        <v>100</v>
      </c>
      <c r="T30" s="666" t="s">
        <v>14</v>
      </c>
      <c r="U30" s="667">
        <f t="shared" si="13"/>
        <v>100</v>
      </c>
      <c r="V30" s="666" t="s">
        <v>14</v>
      </c>
      <c r="W30" s="667">
        <f t="shared" si="14"/>
        <v>100</v>
      </c>
      <c r="X30" s="1263"/>
      <c r="Y30" s="3411"/>
      <c r="Z30" s="1262" t="str">
        <f t="shared" si="15"/>
        <v>物业等级</v>
      </c>
      <c r="AA30" s="1262">
        <f t="shared" si="3"/>
        <v>1</v>
      </c>
      <c r="AB30" s="1262">
        <f t="shared" si="4"/>
        <v>1</v>
      </c>
      <c r="AC30" s="1262">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5"/>
      <c r="N31" s="2435"/>
      <c r="O31" s="2435"/>
      <c r="P31" s="3411"/>
      <c r="Q31" s="529" t="str">
        <f t="shared" si="11"/>
        <v>停车位面积</v>
      </c>
      <c r="R31" s="663" t="s">
        <v>14</v>
      </c>
      <c r="S31" s="664" t="e">
        <f t="shared" si="12"/>
        <v>#N/A</v>
      </c>
      <c r="T31" s="663" t="s">
        <v>14</v>
      </c>
      <c r="U31" s="664" t="e">
        <f t="shared" si="13"/>
        <v>#N/A</v>
      </c>
      <c r="V31" s="663" t="s">
        <v>14</v>
      </c>
      <c r="W31" s="664" t="e">
        <f t="shared" si="14"/>
        <v>#N/A</v>
      </c>
      <c r="X31" s="665"/>
      <c r="Y31" s="3411"/>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1" t="s">
        <v>1696</v>
      </c>
      <c r="Q32" s="1261" t="str">
        <f t="shared" si="11"/>
        <v>车位类型</v>
      </c>
      <c r="R32" s="666" t="s">
        <v>14</v>
      </c>
      <c r="S32" s="667">
        <f t="shared" si="12"/>
        <v>100</v>
      </c>
      <c r="T32" s="666" t="s">
        <v>14</v>
      </c>
      <c r="U32" s="667">
        <f t="shared" si="13"/>
        <v>100</v>
      </c>
      <c r="V32" s="666" t="s">
        <v>14</v>
      </c>
      <c r="W32" s="667">
        <f t="shared" si="14"/>
        <v>100</v>
      </c>
      <c r="X32" s="1263"/>
      <c r="Y32" s="3411"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1"/>
      <c r="Q33" s="1261" t="str">
        <f t="shared" si="11"/>
        <v>是否直接入户</v>
      </c>
      <c r="R33" s="666" t="s">
        <v>14</v>
      </c>
      <c r="S33" s="667">
        <f t="shared" si="12"/>
        <v>100</v>
      </c>
      <c r="T33" s="666" t="s">
        <v>14</v>
      </c>
      <c r="U33" s="667">
        <f t="shared" si="13"/>
        <v>100</v>
      </c>
      <c r="V33" s="666" t="s">
        <v>14</v>
      </c>
      <c r="W33" s="667">
        <f t="shared" si="14"/>
        <v>100</v>
      </c>
      <c r="X33" s="1263"/>
      <c r="Y33" s="3411"/>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1"/>
      <c r="Q34" s="1261">
        <f t="shared" si="11"/>
        <v>111</v>
      </c>
      <c r="R34" s="666" t="s">
        <v>14</v>
      </c>
      <c r="S34" s="667">
        <f t="shared" si="12"/>
        <v>100</v>
      </c>
      <c r="T34" s="666" t="s">
        <v>14</v>
      </c>
      <c r="U34" s="667">
        <f t="shared" si="13"/>
        <v>100</v>
      </c>
      <c r="V34" s="666" t="s">
        <v>14</v>
      </c>
      <c r="W34" s="667">
        <f t="shared" si="14"/>
        <v>100</v>
      </c>
      <c r="X34" s="1263"/>
      <c r="Y34" s="3411"/>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1"/>
      <c r="Q35" s="530">
        <f t="shared" si="11"/>
        <v>111</v>
      </c>
      <c r="R35" s="668" t="s">
        <v>14</v>
      </c>
      <c r="S35" s="669">
        <f t="shared" si="12"/>
        <v>100</v>
      </c>
      <c r="T35" s="668" t="s">
        <v>14</v>
      </c>
      <c r="U35" s="669">
        <f t="shared" si="13"/>
        <v>100</v>
      </c>
      <c r="V35" s="668" t="s">
        <v>14</v>
      </c>
      <c r="W35" s="669">
        <f t="shared" si="14"/>
        <v>100</v>
      </c>
      <c r="X35" s="670"/>
      <c r="Y35" s="3411"/>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1"/>
      <c r="Q36" s="1261">
        <f t="shared" si="11"/>
        <v>111</v>
      </c>
      <c r="R36" s="666" t="s">
        <v>14</v>
      </c>
      <c r="S36" s="667">
        <f t="shared" si="12"/>
        <v>100</v>
      </c>
      <c r="T36" s="666" t="s">
        <v>14</v>
      </c>
      <c r="U36" s="667">
        <f t="shared" si="13"/>
        <v>100</v>
      </c>
      <c r="V36" s="666" t="s">
        <v>14</v>
      </c>
      <c r="W36" s="667">
        <f t="shared" si="14"/>
        <v>100</v>
      </c>
      <c r="X36" s="1263"/>
      <c r="Y36" s="3411"/>
      <c r="Z36" s="1262">
        <f t="shared" si="15"/>
        <v>111</v>
      </c>
      <c r="AA36" s="1262">
        <f t="shared" si="3"/>
        <v>1</v>
      </c>
      <c r="AB36" s="1262">
        <f t="shared" si="4"/>
        <v>1</v>
      </c>
      <c r="AC36" s="1262">
        <f t="shared" si="5"/>
        <v>1</v>
      </c>
    </row>
    <row r="37" spans="1:29" ht="14.4">
      <c r="A37" s="415" t="s">
        <v>1844</v>
      </c>
      <c r="B37" s="1819" t="s">
        <v>3348</v>
      </c>
      <c r="C37" s="1079" t="s">
        <v>0</v>
      </c>
      <c r="D37" s="417"/>
      <c r="E37" s="418"/>
      <c r="F37" s="419"/>
      <c r="G37" s="420"/>
      <c r="H37" s="421"/>
      <c r="I37" s="418"/>
      <c r="J37" s="421"/>
      <c r="K37" s="544"/>
      <c r="L37" s="2489"/>
      <c r="M37" s="2482"/>
      <c r="N37" s="2482"/>
      <c r="O37" s="2482"/>
      <c r="P37" s="3404" t="str">
        <f>A37</f>
        <v>成交单价</v>
      </c>
      <c r="Q37" s="3404"/>
      <c r="R37" s="3405">
        <f>E37</f>
        <v>0</v>
      </c>
      <c r="S37" s="3405"/>
      <c r="T37" s="3405">
        <f>G37</f>
        <v>0</v>
      </c>
      <c r="U37" s="3405"/>
      <c r="V37" s="3405">
        <f>I37</f>
        <v>0</v>
      </c>
      <c r="W37" s="3405"/>
      <c r="X37" s="384"/>
      <c r="Y37" s="672"/>
      <c r="Z37" s="384"/>
      <c r="AA37" s="384"/>
      <c r="AB37" s="384"/>
      <c r="AC37" s="384"/>
    </row>
    <row r="38" spans="1:29" ht="15" thickBot="1">
      <c r="A38" s="422" t="s">
        <v>1845</v>
      </c>
      <c r="B38" s="423"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9"/>
      <c r="M39" s="2482"/>
      <c r="N39" s="2482"/>
      <c r="O39" s="2482"/>
      <c r="P39" s="3401" t="str">
        <f>A39</f>
        <v>估价对象XX用房的比较价值（楼面单价，元/平方米）</v>
      </c>
      <c r="Q39" s="3402"/>
      <c r="R39" s="3447" t="e">
        <f>IF(F1="售价",ROUND(IF(D38="简单平均",AVERAGE(R38:W38),R38*F38+T38*H38+V38*J38),0),ROUND(IF(D38="简单平均",AVERAGE(R38:V38),R38*F38+T38*H38+V38*J38),1))</f>
        <v>#DIV/0!</v>
      </c>
      <c r="S39" s="3447"/>
      <c r="T39" s="3447"/>
      <c r="U39" s="3447"/>
      <c r="V39" s="3447"/>
      <c r="W39" s="3447"/>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5" t="s">
        <v>1850</v>
      </c>
      <c r="B47" s="860"/>
      <c r="C47" s="885"/>
      <c r="D47" s="885"/>
      <c r="E47" s="885"/>
      <c r="F47" s="1086"/>
      <c r="G47" s="1086"/>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4.4">
      <c r="A48" s="439" t="s">
        <v>1851</v>
      </c>
      <c r="B48" s="440"/>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2"/>
      <c r="Q48" s="2505"/>
      <c r="R48" s="2505"/>
      <c r="S48" s="2505"/>
      <c r="T48" s="2505"/>
      <c r="U48" s="2505"/>
      <c r="V48" s="2505"/>
      <c r="W48" s="2505"/>
      <c r="X48" s="2505"/>
      <c r="Y48" s="2505"/>
      <c r="Z48" s="2505"/>
      <c r="AA48" s="2505"/>
      <c r="AB48" s="2505"/>
      <c r="AC48" s="2505"/>
    </row>
    <row r="49" spans="1:29" s="101" customFormat="1">
      <c r="A49" s="442"/>
      <c r="B49" s="443"/>
      <c r="C49" s="1095">
        <v>100</v>
      </c>
      <c r="D49" s="445"/>
      <c r="E49" s="445"/>
      <c r="F49" s="445"/>
      <c r="G49" s="445"/>
      <c r="H49" s="445"/>
      <c r="I49" s="445"/>
      <c r="J49" s="445"/>
      <c r="K49" s="445"/>
      <c r="L49" s="445"/>
      <c r="M49" s="446"/>
      <c r="N49" s="445"/>
      <c r="O49" s="446"/>
      <c r="P49" s="2523"/>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3"/>
      <c r="Q50" s="2503"/>
      <c r="R50" s="2435"/>
      <c r="S50" s="2435"/>
      <c r="T50" s="2435"/>
      <c r="U50" s="2435"/>
      <c r="V50" s="2435"/>
      <c r="W50" s="2435"/>
      <c r="X50" s="2435"/>
      <c r="Y50" s="2435"/>
      <c r="Z50" s="2435"/>
      <c r="AA50" s="2435"/>
      <c r="AB50" s="2435"/>
      <c r="AC50" s="2435"/>
    </row>
    <row r="51" spans="1:29" s="101" customFormat="1" ht="14.4">
      <c r="A51" s="454" t="s">
        <v>1681</v>
      </c>
      <c r="B51" s="443"/>
      <c r="C51" s="455" t="s">
        <v>1776</v>
      </c>
      <c r="D51" s="30"/>
      <c r="E51" s="30"/>
      <c r="F51" s="30"/>
      <c r="G51" s="30"/>
      <c r="H51" s="30"/>
      <c r="I51" s="30"/>
      <c r="J51" s="30"/>
      <c r="K51" s="30"/>
      <c r="L51" s="456"/>
      <c r="M51" s="457"/>
      <c r="N51" s="2515"/>
      <c r="O51" s="2515"/>
      <c r="P51" s="2524"/>
      <c r="Q51" s="2503"/>
      <c r="R51" s="2435"/>
      <c r="S51" s="2435"/>
      <c r="T51" s="2435"/>
      <c r="U51" s="2435"/>
      <c r="V51" s="2435"/>
      <c r="W51" s="2435"/>
      <c r="X51" s="2435"/>
      <c r="Y51" s="2435"/>
      <c r="Z51" s="2435"/>
      <c r="AA51" s="2435"/>
      <c r="AB51" s="2435"/>
      <c r="AC51" s="2435"/>
    </row>
    <row r="52" spans="1:29" s="101" customFormat="1" ht="14.4" thickBot="1">
      <c r="A52" s="454"/>
      <c r="B52" s="443"/>
      <c r="C52" s="562">
        <v>100</v>
      </c>
      <c r="D52" s="445"/>
      <c r="E52" s="445"/>
      <c r="F52" s="445"/>
      <c r="G52" s="445"/>
      <c r="H52" s="445"/>
      <c r="I52" s="445"/>
      <c r="J52" s="445"/>
      <c r="K52" s="445"/>
      <c r="L52" s="445"/>
      <c r="M52" s="447"/>
      <c r="N52" s="2515"/>
      <c r="O52" s="2515"/>
      <c r="P52" s="2523"/>
      <c r="Q52" s="2503"/>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4.4"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9.4"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4.4"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4.4"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4.4"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4.4"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4.4"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4.4"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4.4"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 thickTop="1">
      <c r="A65" s="366"/>
      <c r="B65" s="468" t="s">
        <v>1727</v>
      </c>
      <c r="C65" s="508" t="s">
        <v>1721</v>
      </c>
      <c r="D65" s="508" t="s">
        <v>1722</v>
      </c>
      <c r="E65" s="508" t="s">
        <v>1723</v>
      </c>
      <c r="F65" s="508" t="s">
        <v>1724</v>
      </c>
      <c r="G65" s="508" t="s">
        <v>1725</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 thickTop="1">
      <c r="A67" s="366"/>
      <c r="B67" s="476" t="s">
        <v>1813</v>
      </c>
      <c r="C67" s="580" t="s">
        <v>1799</v>
      </c>
      <c r="D67" s="580" t="s">
        <v>1800</v>
      </c>
      <c r="E67" s="580" t="s">
        <v>1801</v>
      </c>
      <c r="F67" s="580" t="s">
        <v>1802</v>
      </c>
      <c r="G67" s="580" t="s">
        <v>1803</v>
      </c>
      <c r="H67" s="469"/>
      <c r="I67" s="469"/>
      <c r="J67" s="469"/>
      <c r="K67" s="469"/>
      <c r="L67" s="469"/>
      <c r="M67" s="1061"/>
      <c r="N67" s="2517"/>
      <c r="O67" s="2517"/>
      <c r="P67" s="2525"/>
      <c r="Q67" s="2503"/>
      <c r="R67" s="2482"/>
      <c r="S67" s="2482"/>
      <c r="T67" s="2482"/>
      <c r="U67" s="2482"/>
      <c r="V67" s="2482"/>
      <c r="W67" s="2482"/>
      <c r="X67" s="2482"/>
      <c r="Y67" s="2482"/>
      <c r="Z67" s="2482"/>
      <c r="AA67" s="2482"/>
      <c r="AB67" s="2482"/>
      <c r="AC67" s="2482"/>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 thickTop="1">
      <c r="A69" s="366"/>
      <c r="B69" s="468" t="s">
        <v>1733</v>
      </c>
      <c r="C69" s="508" t="s">
        <v>1721</v>
      </c>
      <c r="D69" s="508" t="s">
        <v>1722</v>
      </c>
      <c r="E69" s="508" t="s">
        <v>1723</v>
      </c>
      <c r="F69" s="508" t="s">
        <v>1724</v>
      </c>
      <c r="G69" s="508" t="s">
        <v>1725</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 thickTop="1">
      <c r="A71" s="366"/>
      <c r="B71" s="468" t="s">
        <v>1852</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4.4" thickTop="1">
      <c r="A73" s="369"/>
      <c r="B73" s="468">
        <f>B23</f>
        <v>111</v>
      </c>
      <c r="C73" s="479"/>
      <c r="D73" s="479"/>
      <c r="E73" s="479"/>
      <c r="F73" s="479"/>
      <c r="G73" s="484"/>
      <c r="H73" s="484"/>
      <c r="I73" s="484"/>
      <c r="J73" s="484"/>
      <c r="K73" s="484"/>
      <c r="L73" s="509"/>
      <c r="M73" s="510"/>
      <c r="N73" s="2515"/>
      <c r="O73" s="2515"/>
      <c r="P73" s="2525"/>
      <c r="Q73" s="2503"/>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7"/>
      <c r="O74" s="2517"/>
      <c r="P74" s="2525"/>
      <c r="Q74" s="2503"/>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5"/>
      <c r="O75" s="2515"/>
      <c r="P75" s="2525"/>
      <c r="Q75" s="2503"/>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7"/>
      <c r="O76" s="2517"/>
      <c r="P76" s="2525"/>
      <c r="Q76" s="2503"/>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4.4"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9.4" thickTop="1">
      <c r="A79" s="378" t="s">
        <v>1694</v>
      </c>
      <c r="B79" s="459" t="s">
        <v>1853</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6"/>
      <c r="B81" s="468" t="s">
        <v>1854</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4.4"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1740</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1856</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4.4"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1858</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1859</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4.4"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4.4"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4.4"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4.4"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4.4"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4.4"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3329</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7"/>
      <c r="B5" s="348"/>
      <c r="C5" s="3437" t="s">
        <v>1673</v>
      </c>
      <c r="D5" s="3438"/>
      <c r="E5" s="3444" t="s">
        <v>1674</v>
      </c>
      <c r="F5" s="3445"/>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 thickBot="1">
      <c r="A6" s="349"/>
      <c r="B6" s="350"/>
      <c r="C6" s="3435" t="s">
        <v>1677</v>
      </c>
      <c r="D6" s="3436"/>
      <c r="E6" s="3442" t="s">
        <v>1677</v>
      </c>
      <c r="F6" s="3443"/>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 thickBot="1">
      <c r="A7" s="351" t="s">
        <v>1679</v>
      </c>
      <c r="B7" s="352"/>
      <c r="C7" s="353">
        <f>'数据-取费表'!B2</f>
        <v>45715</v>
      </c>
      <c r="D7" s="354">
        <v>100</v>
      </c>
      <c r="E7" s="355"/>
      <c r="F7" s="356">
        <f>SUMIF(46:46,YEAR(E7)&amp;"-"&amp;MONTH(E7),47:47)</f>
        <v>0</v>
      </c>
      <c r="G7" s="1820"/>
      <c r="H7" s="354">
        <f>SUMIF(46:46,YEAR(G7)&amp;"-"&amp;MONTH(G7),47:47)</f>
        <v>0</v>
      </c>
      <c r="I7" s="355"/>
      <c r="J7" s="354">
        <f>SUMIF(46:46,YEAR(I7)&amp;"-"&amp;MONTH(I7),47:47)</f>
        <v>0</v>
      </c>
      <c r="K7" s="37"/>
      <c r="L7" s="2483"/>
      <c r="M7" s="2435"/>
      <c r="N7" s="2435"/>
      <c r="O7" s="2435"/>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3"/>
      <c r="M8" s="2435"/>
      <c r="N8" s="2435"/>
      <c r="O8" s="2435"/>
      <c r="P8" s="3439" t="s">
        <v>1683</v>
      </c>
      <c r="Q8" s="3440"/>
      <c r="R8" s="663" t="s">
        <v>14</v>
      </c>
      <c r="S8" s="664">
        <f t="shared" si="0"/>
        <v>100</v>
      </c>
      <c r="T8" s="663" t="s">
        <v>14</v>
      </c>
      <c r="U8" s="664">
        <f t="shared" si="1"/>
        <v>100</v>
      </c>
      <c r="V8" s="663" t="s">
        <v>14</v>
      </c>
      <c r="W8" s="664">
        <f t="shared" si="2"/>
        <v>100</v>
      </c>
      <c r="X8" s="665"/>
      <c r="Y8" s="3439" t="s">
        <v>1683</v>
      </c>
      <c r="Z8" s="3440"/>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3"/>
      <c r="M9" s="2435"/>
      <c r="N9" s="2435"/>
      <c r="O9" s="2535"/>
      <c r="P9" s="3404" t="s">
        <v>1686</v>
      </c>
      <c r="Q9" s="529" t="str">
        <f t="shared" ref="Q9:Q14" si="6">B9</f>
        <v>用途</v>
      </c>
      <c r="R9" s="663" t="s">
        <v>14</v>
      </c>
      <c r="S9" s="664">
        <f t="shared" si="0"/>
        <v>100</v>
      </c>
      <c r="T9" s="663" t="s">
        <v>14</v>
      </c>
      <c r="U9" s="664">
        <f t="shared" si="1"/>
        <v>100</v>
      </c>
      <c r="V9" s="663" t="s">
        <v>14</v>
      </c>
      <c r="W9" s="664">
        <f t="shared" si="2"/>
        <v>100</v>
      </c>
      <c r="X9" s="665"/>
      <c r="Y9" s="3265" t="s">
        <v>1687</v>
      </c>
      <c r="Z9" s="49" t="str">
        <f t="shared" ref="Z9:Z14" si="7">Q9</f>
        <v>用途</v>
      </c>
      <c r="AA9" s="49">
        <f t="shared" si="3"/>
        <v>1</v>
      </c>
      <c r="AB9" s="49">
        <f t="shared" si="4"/>
        <v>1</v>
      </c>
      <c r="AC9" s="49">
        <f t="shared" si="5"/>
        <v>1</v>
      </c>
    </row>
    <row r="10" spans="1:29" s="365" customFormat="1" ht="28.8">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7"/>
      <c r="L10" s="2484"/>
      <c r="M10" s="2485"/>
      <c r="N10" s="2485"/>
      <c r="O10" s="2536"/>
      <c r="P10" s="3404"/>
      <c r="Q10" s="529" t="str">
        <f t="shared" si="6"/>
        <v>土地使用年限（年）</v>
      </c>
      <c r="R10" s="663" t="s">
        <v>14</v>
      </c>
      <c r="S10" s="664">
        <f t="shared" si="0"/>
        <v>100</v>
      </c>
      <c r="T10" s="663" t="s">
        <v>14</v>
      </c>
      <c r="U10" s="664">
        <f t="shared" si="1"/>
        <v>100</v>
      </c>
      <c r="V10" s="663" t="s">
        <v>14</v>
      </c>
      <c r="W10" s="664">
        <f t="shared" si="2"/>
        <v>100</v>
      </c>
      <c r="X10" s="665"/>
      <c r="Y10" s="3265"/>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4"/>
      <c r="Q11" s="529">
        <f t="shared" si="6"/>
        <v>111</v>
      </c>
      <c r="R11" s="663" t="s">
        <v>14</v>
      </c>
      <c r="S11" s="664">
        <f t="shared" si="0"/>
        <v>100</v>
      </c>
      <c r="T11" s="663" t="s">
        <v>14</v>
      </c>
      <c r="U11" s="664">
        <f t="shared" si="1"/>
        <v>100</v>
      </c>
      <c r="V11" s="663" t="s">
        <v>14</v>
      </c>
      <c r="W11" s="664">
        <f t="shared" si="2"/>
        <v>100</v>
      </c>
      <c r="X11" s="665"/>
      <c r="Y11" s="3265"/>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5"/>
      <c r="N12" s="2435"/>
      <c r="O12" s="2535"/>
      <c r="P12" s="3404"/>
      <c r="Q12" s="529">
        <f t="shared" si="6"/>
        <v>111</v>
      </c>
      <c r="R12" s="663" t="s">
        <v>14</v>
      </c>
      <c r="S12" s="664">
        <f t="shared" si="0"/>
        <v>100</v>
      </c>
      <c r="T12" s="663" t="s">
        <v>14</v>
      </c>
      <c r="U12" s="664">
        <f t="shared" si="1"/>
        <v>100</v>
      </c>
      <c r="V12" s="663" t="s">
        <v>14</v>
      </c>
      <c r="W12" s="664">
        <f t="shared" si="2"/>
        <v>100</v>
      </c>
      <c r="X12" s="665"/>
      <c r="Y12" s="3265"/>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65"/>
      <c r="Z13" s="49">
        <f t="shared" si="7"/>
        <v>111</v>
      </c>
      <c r="AA13" s="49">
        <f t="shared" si="3"/>
        <v>1</v>
      </c>
      <c r="AB13" s="49">
        <f t="shared" si="4"/>
        <v>1</v>
      </c>
      <c r="AC13" s="49">
        <f t="shared" si="5"/>
        <v>1</v>
      </c>
    </row>
    <row r="14" spans="1:29" ht="110.4">
      <c r="A14" s="378" t="s">
        <v>1690</v>
      </c>
      <c r="B14" s="57" t="s">
        <v>1833</v>
      </c>
      <c r="C14" s="1817"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7"/>
      <c r="Q15" s="1261"/>
      <c r="R15" s="666"/>
      <c r="S15" s="667"/>
      <c r="T15" s="666"/>
      <c r="U15" s="667"/>
      <c r="V15" s="666"/>
      <c r="W15" s="667"/>
      <c r="X15" s="1263"/>
      <c r="Y15" s="3407"/>
      <c r="Z15" s="1262"/>
      <c r="AA15" s="1262">
        <v>1</v>
      </c>
      <c r="AB15" s="1262">
        <v>1</v>
      </c>
      <c r="AC15" s="1262">
        <v>1</v>
      </c>
    </row>
    <row r="16" spans="1:29" ht="96.6">
      <c r="A16" s="366"/>
      <c r="B16" s="389" t="s">
        <v>1812</v>
      </c>
      <c r="C16" s="1752"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87"/>
      <c r="M17" s="2482"/>
      <c r="N17" s="2482"/>
      <c r="O17" s="2537"/>
      <c r="P17" s="3407"/>
      <c r="Q17" s="1261"/>
      <c r="R17" s="666"/>
      <c r="S17" s="667"/>
      <c r="T17" s="666"/>
      <c r="U17" s="667"/>
      <c r="V17" s="666"/>
      <c r="W17" s="667"/>
      <c r="X17" s="1263"/>
      <c r="Y17" s="3407"/>
      <c r="Z17" s="1262"/>
      <c r="AA17" s="1262">
        <v>1</v>
      </c>
      <c r="AB17" s="1262">
        <v>1</v>
      </c>
      <c r="AC17" s="1262">
        <v>1</v>
      </c>
    </row>
    <row r="18" spans="1:29" ht="41.4">
      <c r="A18" s="366"/>
      <c r="B18" s="585" t="s">
        <v>1813</v>
      </c>
      <c r="C18" s="1752"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87"/>
      <c r="M19" s="2482"/>
      <c r="N19" s="2482"/>
      <c r="O19" s="2537"/>
      <c r="P19" s="3407"/>
      <c r="Q19" s="1261"/>
      <c r="R19" s="666"/>
      <c r="S19" s="667"/>
      <c r="T19" s="666"/>
      <c r="U19" s="667"/>
      <c r="V19" s="666"/>
      <c r="W19" s="667"/>
      <c r="X19" s="1263"/>
      <c r="Y19" s="3407"/>
      <c r="Z19" s="1262"/>
      <c r="AA19" s="1262">
        <v>1</v>
      </c>
      <c r="AB19" s="1262">
        <v>1</v>
      </c>
      <c r="AC19" s="1262">
        <v>1</v>
      </c>
    </row>
    <row r="20" spans="1:29" ht="96.6">
      <c r="A20" s="366"/>
      <c r="B20" s="389" t="s">
        <v>1834</v>
      </c>
      <c r="C20" s="1752"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7"/>
      <c r="Q21" s="1261"/>
      <c r="R21" s="666"/>
      <c r="S21" s="667"/>
      <c r="T21" s="666"/>
      <c r="U21" s="667"/>
      <c r="V21" s="666"/>
      <c r="W21" s="667"/>
      <c r="X21" s="1263"/>
      <c r="Y21" s="3407"/>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7"/>
      <c r="Q24" s="1261">
        <f t="shared" ref="Q24:Q34" si="11">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6"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3"/>
      <c r="M25" s="2435"/>
      <c r="N25" s="2435"/>
      <c r="O25" s="2535"/>
      <c r="P25" s="3407"/>
      <c r="Q25" s="529">
        <f t="shared" si="11"/>
        <v>111</v>
      </c>
      <c r="R25" s="663" t="s">
        <v>14</v>
      </c>
      <c r="S25" s="664">
        <f>F25</f>
        <v>100</v>
      </c>
      <c r="T25" s="663" t="s">
        <v>14</v>
      </c>
      <c r="U25" s="664">
        <f>H25</f>
        <v>100</v>
      </c>
      <c r="V25" s="663" t="s">
        <v>14</v>
      </c>
      <c r="W25" s="664">
        <f>J25</f>
        <v>100</v>
      </c>
      <c r="X25" s="665"/>
      <c r="Y25" s="3407"/>
      <c r="Z25" s="49">
        <f>Q25</f>
        <v>111</v>
      </c>
      <c r="AA25" s="1262">
        <f>D25/F25</f>
        <v>1</v>
      </c>
      <c r="AB25" s="1262">
        <f>D25/H25</f>
        <v>1</v>
      </c>
      <c r="AC25" s="1262">
        <f>D25/J25</f>
        <v>1</v>
      </c>
    </row>
    <row r="26" spans="1:29" ht="30">
      <c r="A26" s="403" t="s">
        <v>1694</v>
      </c>
      <c r="B26" s="59"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87"/>
      <c r="M26" s="2482"/>
      <c r="N26" s="2482"/>
      <c r="O26" s="2537"/>
      <c r="P26" s="3446"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11"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1"/>
      <c r="Q27" s="530" t="str">
        <f t="shared" si="11"/>
        <v>成新率</v>
      </c>
      <c r="R27" s="668" t="s">
        <v>14</v>
      </c>
      <c r="S27" s="669" t="e">
        <f t="shared" si="12"/>
        <v>#N/A</v>
      </c>
      <c r="T27" s="668" t="s">
        <v>14</v>
      </c>
      <c r="U27" s="669" t="e">
        <f t="shared" si="13"/>
        <v>#N/A</v>
      </c>
      <c r="V27" s="668" t="s">
        <v>14</v>
      </c>
      <c r="W27" s="669" t="e">
        <f t="shared" si="14"/>
        <v>#N/A</v>
      </c>
      <c r="X27" s="670"/>
      <c r="Y27" s="3411"/>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1"/>
      <c r="Q28" s="1261" t="str">
        <f t="shared" si="11"/>
        <v>物业等级</v>
      </c>
      <c r="R28" s="666" t="s">
        <v>14</v>
      </c>
      <c r="S28" s="667">
        <f t="shared" si="12"/>
        <v>100</v>
      </c>
      <c r="T28" s="666" t="s">
        <v>14</v>
      </c>
      <c r="U28" s="667">
        <f t="shared" si="13"/>
        <v>100</v>
      </c>
      <c r="V28" s="666" t="s">
        <v>14</v>
      </c>
      <c r="W28" s="667">
        <f t="shared" si="14"/>
        <v>100</v>
      </c>
      <c r="X28" s="1263"/>
      <c r="Y28" s="3411"/>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1"/>
      <c r="Q29" s="1261" t="str">
        <f t="shared" si="11"/>
        <v>有无电梯</v>
      </c>
      <c r="R29" s="666" t="s">
        <v>14</v>
      </c>
      <c r="S29" s="667">
        <f t="shared" si="12"/>
        <v>100</v>
      </c>
      <c r="T29" s="666" t="s">
        <v>14</v>
      </c>
      <c r="U29" s="667">
        <f t="shared" si="13"/>
        <v>100</v>
      </c>
      <c r="V29" s="666" t="s">
        <v>14</v>
      </c>
      <c r="W29" s="667">
        <f t="shared" si="14"/>
        <v>100</v>
      </c>
      <c r="X29" s="1263"/>
      <c r="Y29" s="3411"/>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1"/>
      <c r="Q30" s="1261" t="str">
        <f t="shared" si="11"/>
        <v>建筑面积</v>
      </c>
      <c r="R30" s="666" t="s">
        <v>14</v>
      </c>
      <c r="S30" s="667" t="e">
        <f t="shared" si="12"/>
        <v>#N/A</v>
      </c>
      <c r="T30" s="666" t="s">
        <v>14</v>
      </c>
      <c r="U30" s="667" t="e">
        <f t="shared" si="13"/>
        <v>#N/A</v>
      </c>
      <c r="V30" s="666" t="s">
        <v>14</v>
      </c>
      <c r="W30" s="667" t="e">
        <f t="shared" si="14"/>
        <v>#N/A</v>
      </c>
      <c r="X30" s="1263"/>
      <c r="Y30" s="3411"/>
      <c r="Z30" s="1262" t="str">
        <f t="shared" si="15"/>
        <v>建筑面积</v>
      </c>
      <c r="AA30" s="1262" t="e">
        <f t="shared" si="3"/>
        <v>#N/A</v>
      </c>
      <c r="AB30" s="1262" t="e">
        <f t="shared" si="4"/>
        <v>#N/A</v>
      </c>
      <c r="AC30" s="1262"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5"/>
      <c r="N31" s="2435"/>
      <c r="O31" s="2535"/>
      <c r="P31" s="3411"/>
      <c r="Q31" s="529" t="str">
        <f t="shared" si="11"/>
        <v>是否封闭</v>
      </c>
      <c r="R31" s="663" t="s">
        <v>14</v>
      </c>
      <c r="S31" s="664">
        <f t="shared" si="12"/>
        <v>100</v>
      </c>
      <c r="T31" s="663" t="s">
        <v>14</v>
      </c>
      <c r="U31" s="664">
        <f t="shared" si="13"/>
        <v>100</v>
      </c>
      <c r="V31" s="663" t="s">
        <v>14</v>
      </c>
      <c r="W31" s="664">
        <f t="shared" si="14"/>
        <v>100</v>
      </c>
      <c r="X31" s="665"/>
      <c r="Y31" s="3411"/>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1" t="s">
        <v>1696</v>
      </c>
      <c r="Q32" s="1261">
        <f t="shared" si="11"/>
        <v>111</v>
      </c>
      <c r="R32" s="666" t="s">
        <v>14</v>
      </c>
      <c r="S32" s="667">
        <f t="shared" si="12"/>
        <v>100</v>
      </c>
      <c r="T32" s="666" t="s">
        <v>14</v>
      </c>
      <c r="U32" s="667">
        <f t="shared" si="13"/>
        <v>100</v>
      </c>
      <c r="V32" s="666" t="s">
        <v>14</v>
      </c>
      <c r="W32" s="667">
        <f t="shared" si="14"/>
        <v>100</v>
      </c>
      <c r="X32" s="1263"/>
      <c r="Y32" s="3411"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1"/>
      <c r="Q33" s="1261">
        <f t="shared" si="11"/>
        <v>111</v>
      </c>
      <c r="R33" s="666" t="s">
        <v>14</v>
      </c>
      <c r="S33" s="667">
        <f t="shared" si="12"/>
        <v>100</v>
      </c>
      <c r="T33" s="666" t="s">
        <v>14</v>
      </c>
      <c r="U33" s="667">
        <f t="shared" si="13"/>
        <v>100</v>
      </c>
      <c r="V33" s="666" t="s">
        <v>14</v>
      </c>
      <c r="W33" s="667">
        <f t="shared" si="14"/>
        <v>100</v>
      </c>
      <c r="X33" s="1263"/>
      <c r="Y33" s="3411"/>
      <c r="Z33" s="1262">
        <f t="shared" si="15"/>
        <v>111</v>
      </c>
      <c r="AA33" s="1262">
        <f t="shared" si="3"/>
        <v>1</v>
      </c>
      <c r="AB33" s="1262">
        <f t="shared" si="4"/>
        <v>1</v>
      </c>
      <c r="AC33" s="1262">
        <f t="shared" si="5"/>
        <v>1</v>
      </c>
    </row>
    <row r="34" spans="1:30" ht="15.6"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87"/>
      <c r="M34" s="2482"/>
      <c r="N34" s="2482"/>
      <c r="O34" s="2537"/>
      <c r="P34" s="3411"/>
      <c r="Q34" s="1261">
        <f t="shared" si="11"/>
        <v>111</v>
      </c>
      <c r="R34" s="666" t="s">
        <v>14</v>
      </c>
      <c r="S34" s="667">
        <f t="shared" si="12"/>
        <v>100</v>
      </c>
      <c r="T34" s="666" t="s">
        <v>14</v>
      </c>
      <c r="U34" s="667">
        <f t="shared" si="13"/>
        <v>100</v>
      </c>
      <c r="V34" s="666" t="s">
        <v>14</v>
      </c>
      <c r="W34" s="667">
        <f t="shared" si="14"/>
        <v>100</v>
      </c>
      <c r="X34" s="1263"/>
      <c r="Y34" s="3411"/>
      <c r="Z34" s="1262">
        <f t="shared" si="15"/>
        <v>111</v>
      </c>
      <c r="AA34" s="1262">
        <f t="shared" si="3"/>
        <v>1</v>
      </c>
      <c r="AB34" s="1262">
        <f t="shared" si="4"/>
        <v>1</v>
      </c>
      <c r="AC34" s="1262">
        <f t="shared" si="5"/>
        <v>1</v>
      </c>
    </row>
    <row r="35" spans="1:30" ht="14.4">
      <c r="A35" s="415" t="s">
        <v>1708</v>
      </c>
      <c r="B35" s="416"/>
      <c r="C35" s="1079" t="s">
        <v>0</v>
      </c>
      <c r="D35" s="417"/>
      <c r="E35" s="418"/>
      <c r="F35" s="419"/>
      <c r="G35" s="420"/>
      <c r="H35" s="421"/>
      <c r="I35" s="418"/>
      <c r="J35" s="421"/>
      <c r="K35" s="673"/>
      <c r="L35" s="2489"/>
      <c r="M35" s="2482"/>
      <c r="N35" s="2482"/>
      <c r="O35" s="2482"/>
      <c r="P35" s="3404" t="str">
        <f>A35</f>
        <v>成交单价（元/平方米）</v>
      </c>
      <c r="Q35" s="3404"/>
      <c r="R35" s="3405">
        <f>E35</f>
        <v>0</v>
      </c>
      <c r="S35" s="3405"/>
      <c r="T35" s="3405">
        <f>G35</f>
        <v>0</v>
      </c>
      <c r="U35" s="3405"/>
      <c r="V35" s="3405">
        <f>I35</f>
        <v>0</v>
      </c>
      <c r="W35" s="3405"/>
      <c r="X35" s="384"/>
      <c r="Y35" s="672"/>
      <c r="Z35" s="384"/>
      <c r="AA35" s="384"/>
      <c r="AB35" s="384"/>
      <c r="AC35" s="384"/>
    </row>
    <row r="36" spans="1:30" ht="15" thickBot="1">
      <c r="A36" s="422" t="s">
        <v>1793</v>
      </c>
      <c r="B36" s="423"/>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9"/>
      <c r="M37" s="2482"/>
      <c r="N37" s="2482"/>
      <c r="O37" s="2482"/>
      <c r="P37" s="3401" t="str">
        <f>A37</f>
        <v>估价对象XX用房的比较价值（楼面单价，元/平方米）</v>
      </c>
      <c r="Q37" s="3402"/>
      <c r="R37" s="3447" t="e">
        <f>IF(F1="售价",ROUND(IF(D36="简单平均",AVERAGE(R36:W36),R36*F36+T36*H36+V36*J36),0),ROUND(IF(D36="简单平均",AVERAGE(R36:V36),R36*F36+T36*H36+V36*J36),1))</f>
        <v>#DIV/0!</v>
      </c>
      <c r="S37" s="3447"/>
      <c r="T37" s="3447"/>
      <c r="U37" s="3447"/>
      <c r="V37" s="3447"/>
      <c r="W37" s="3447"/>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4.4">
      <c r="A46" s="439" t="s">
        <v>1679</v>
      </c>
      <c r="B46" s="440"/>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5"/>
      <c r="Q46" s="2505"/>
      <c r="R46" s="2505"/>
      <c r="S46" s="2505"/>
      <c r="T46" s="2505"/>
      <c r="U46" s="2505"/>
      <c r="V46" s="2505"/>
      <c r="W46" s="2505"/>
      <c r="X46" s="2505"/>
      <c r="Y46" s="2505"/>
      <c r="Z46" s="2505"/>
      <c r="AA46" s="2505"/>
      <c r="AB46" s="2505"/>
      <c r="AC46" s="2505"/>
      <c r="AD46" s="2505"/>
    </row>
    <row r="47" spans="1:30" s="101" customFormat="1">
      <c r="A47" s="442"/>
      <c r="B47" s="443"/>
      <c r="C47" s="1100">
        <v>100</v>
      </c>
      <c r="D47" s="445"/>
      <c r="E47" s="445"/>
      <c r="F47" s="445"/>
      <c r="G47" s="445"/>
      <c r="H47" s="445"/>
      <c r="I47" s="445"/>
      <c r="J47" s="445"/>
      <c r="K47" s="445"/>
      <c r="L47" s="445"/>
      <c r="M47" s="446"/>
      <c r="N47" s="445"/>
      <c r="O47" s="447"/>
      <c r="P47" s="2503"/>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3"/>
      <c r="Q48" s="2503"/>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0"/>
      <c r="E49" s="30"/>
      <c r="F49" s="30"/>
      <c r="G49" s="30"/>
      <c r="H49" s="30"/>
      <c r="I49" s="30"/>
      <c r="J49" s="30"/>
      <c r="K49" s="30"/>
      <c r="L49" s="456"/>
      <c r="M49" s="457"/>
      <c r="N49" s="2515"/>
      <c r="O49" s="2515"/>
      <c r="P49" s="2539"/>
      <c r="Q49" s="2503"/>
      <c r="R49" s="2435"/>
      <c r="S49" s="2435"/>
      <c r="T49" s="2435"/>
      <c r="U49" s="2435"/>
      <c r="V49" s="2435"/>
      <c r="W49" s="2435"/>
      <c r="X49" s="2435"/>
      <c r="Y49" s="2435"/>
      <c r="Z49" s="2435"/>
      <c r="AA49" s="2435"/>
      <c r="AB49" s="2435"/>
      <c r="AC49" s="2435"/>
      <c r="AD49" s="2435"/>
    </row>
    <row r="50" spans="1:30" s="101" customFormat="1" ht="14.4" thickBot="1">
      <c r="A50" s="454"/>
      <c r="B50" s="443"/>
      <c r="C50" s="562">
        <v>100</v>
      </c>
      <c r="D50" s="445"/>
      <c r="E50" s="445"/>
      <c r="F50" s="445"/>
      <c r="G50" s="445"/>
      <c r="H50" s="445"/>
      <c r="I50" s="445"/>
      <c r="J50" s="445"/>
      <c r="K50" s="445"/>
      <c r="L50" s="445"/>
      <c r="M50" s="447"/>
      <c r="N50" s="2515"/>
      <c r="O50" s="2515"/>
      <c r="P50" s="2503"/>
      <c r="Q50" s="2503"/>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4.4"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9.4"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4.4"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4.4"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4.4"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4.4"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4.4"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4.4"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4.4"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9.4" thickTop="1">
      <c r="A63" s="366"/>
      <c r="B63" s="468" t="s">
        <v>1863</v>
      </c>
      <c r="C63" s="508" t="s">
        <v>1721</v>
      </c>
      <c r="D63" s="508" t="s">
        <v>1722</v>
      </c>
      <c r="E63" s="508" t="s">
        <v>1723</v>
      </c>
      <c r="F63" s="508" t="s">
        <v>1724</v>
      </c>
      <c r="G63" s="508" t="s">
        <v>1725</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 thickTop="1">
      <c r="A65" s="366"/>
      <c r="B65" s="476" t="s">
        <v>1813</v>
      </c>
      <c r="C65" s="580" t="s">
        <v>1799</v>
      </c>
      <c r="D65" s="580" t="s">
        <v>1800</v>
      </c>
      <c r="E65" s="580" t="s">
        <v>1801</v>
      </c>
      <c r="F65" s="580" t="s">
        <v>1802</v>
      </c>
      <c r="G65" s="580" t="s">
        <v>1803</v>
      </c>
      <c r="H65" s="469"/>
      <c r="I65" s="469"/>
      <c r="J65" s="469"/>
      <c r="K65" s="469"/>
      <c r="L65" s="469"/>
      <c r="M65" s="1061"/>
      <c r="N65" s="2517"/>
      <c r="O65" s="2517"/>
      <c r="P65" s="2515"/>
      <c r="Q65" s="2503"/>
      <c r="R65" s="2482"/>
      <c r="S65" s="2482"/>
      <c r="T65" s="2482"/>
      <c r="U65" s="2482"/>
      <c r="V65" s="2482"/>
      <c r="W65" s="2482"/>
      <c r="X65" s="2482"/>
      <c r="Y65" s="2482"/>
      <c r="Z65" s="2482"/>
      <c r="AA65" s="2482"/>
      <c r="AB65" s="2482"/>
      <c r="AC65" s="2482"/>
      <c r="AD65" s="2482"/>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 thickTop="1">
      <c r="A67" s="366"/>
      <c r="B67" s="468" t="s">
        <v>1733</v>
      </c>
      <c r="C67" s="508" t="s">
        <v>1721</v>
      </c>
      <c r="D67" s="508" t="s">
        <v>1722</v>
      </c>
      <c r="E67" s="508" t="s">
        <v>1723</v>
      </c>
      <c r="F67" s="508" t="s">
        <v>1724</v>
      </c>
      <c r="G67" s="508" t="s">
        <v>1725</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 thickTop="1">
      <c r="A69" s="366"/>
      <c r="B69" s="468" t="s">
        <v>1852</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4.4"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4.4" thickTop="1">
      <c r="A71" s="369"/>
      <c r="B71" s="468">
        <f>B23</f>
        <v>111</v>
      </c>
      <c r="C71" s="479"/>
      <c r="D71" s="479"/>
      <c r="E71" s="479"/>
      <c r="F71" s="479"/>
      <c r="G71" s="484"/>
      <c r="H71" s="484"/>
      <c r="I71" s="484"/>
      <c r="J71" s="484"/>
      <c r="K71" s="484"/>
      <c r="L71" s="509"/>
      <c r="M71" s="510"/>
      <c r="N71" s="2515"/>
      <c r="O71" s="2515"/>
      <c r="P71" s="2515"/>
      <c r="Q71" s="2503"/>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7"/>
      <c r="O72" s="2517"/>
      <c r="P72" s="2515"/>
      <c r="Q72" s="2503"/>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5"/>
      <c r="O73" s="2515"/>
      <c r="P73" s="2515"/>
      <c r="Q73" s="2503"/>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7"/>
      <c r="O74" s="2517"/>
      <c r="P74" s="2515"/>
      <c r="Q74" s="2503"/>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4.4"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1740</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1856</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1864</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4.4"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1866</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4.4"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4.4"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4.4"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4.4"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4.4"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4.4"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4.4"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受贵公司委托，我公司对北京市顺义新顺南大街8号院1幢房地产抵押价值进行了预评估。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估价对象为北京市顺义新顺南大街8号院1幢房地产，为所有。根据《国有土地使用证》[]，估价对象（分摊）出让国有建设用地使用权面积为37387.29平方米，建筑面积为135843.08平方米。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2025年2月27日（评估专业人员实地查勘之日）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7"/>
      <c r="B5" s="348"/>
      <c r="C5" s="3437" t="s">
        <v>1673</v>
      </c>
      <c r="D5" s="3438"/>
      <c r="E5" s="3444" t="s">
        <v>1674</v>
      </c>
      <c r="F5" s="3445"/>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 thickBot="1">
      <c r="A6" s="349"/>
      <c r="B6" s="350"/>
      <c r="C6" s="3435" t="s">
        <v>1677</v>
      </c>
      <c r="D6" s="3436"/>
      <c r="E6" s="3442" t="s">
        <v>1677</v>
      </c>
      <c r="F6" s="3443"/>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 thickBot="1">
      <c r="A7" s="351" t="s">
        <v>1679</v>
      </c>
      <c r="B7" s="352"/>
      <c r="C7" s="353">
        <f>'数据-取费表'!B2</f>
        <v>45715</v>
      </c>
      <c r="D7" s="354">
        <v>100</v>
      </c>
      <c r="E7" s="355"/>
      <c r="F7" s="356">
        <f>SUMIF(69:69,YEAR(E7)&amp;"-"&amp;INT((MONTH(E7)+2)/3),70:70)</f>
        <v>0</v>
      </c>
      <c r="G7" s="1820"/>
      <c r="H7" s="354">
        <f>SUMIF(69:69,YEAR(G7)&amp;"-"&amp;INT((MONTH(G7)+2)/3),70:70)</f>
        <v>0</v>
      </c>
      <c r="I7" s="1820"/>
      <c r="J7" s="354">
        <f>SUMIF(69:69,YEAR(I7)&amp;"-"&amp;INT((MONTH(I7)+2)/3),70:70)</f>
        <v>0</v>
      </c>
      <c r="K7" s="37"/>
      <c r="L7" s="2483"/>
      <c r="M7" s="2435"/>
      <c r="N7" s="2435"/>
      <c r="O7" s="2435"/>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3"/>
      <c r="M8" s="2435"/>
      <c r="N8" s="2435"/>
      <c r="O8" s="2435"/>
      <c r="P8" s="3439" t="s">
        <v>1683</v>
      </c>
      <c r="Q8" s="3440"/>
      <c r="R8" s="663" t="s">
        <v>14</v>
      </c>
      <c r="S8" s="664">
        <f t="shared" si="0"/>
        <v>0</v>
      </c>
      <c r="T8" s="663" t="s">
        <v>14</v>
      </c>
      <c r="U8" s="664">
        <f t="shared" si="1"/>
        <v>0</v>
      </c>
      <c r="V8" s="663" t="s">
        <v>14</v>
      </c>
      <c r="W8" s="664">
        <f t="shared" si="2"/>
        <v>0</v>
      </c>
      <c r="X8" s="665"/>
      <c r="Y8" s="3439" t="s">
        <v>1683</v>
      </c>
      <c r="Z8" s="3440"/>
      <c r="AA8" s="49" t="e">
        <f t="shared" ref="AA8:AA45" si="3">D8/F8</f>
        <v>#DIV/0!</v>
      </c>
      <c r="AB8" s="49" t="e">
        <f t="shared" ref="AB8:AB45" si="4">D8/H8</f>
        <v>#DIV/0!</v>
      </c>
      <c r="AC8" s="49" t="e">
        <f t="shared" ref="AC8:AC45" si="5">D8/J8</f>
        <v>#DIV/0!</v>
      </c>
    </row>
    <row r="9" spans="1:29" s="101" customFormat="1" ht="14.4">
      <c r="A9" s="358" t="s">
        <v>1684</v>
      </c>
      <c r="B9" s="59" t="s">
        <v>1685</v>
      </c>
      <c r="C9" s="1823"/>
      <c r="D9" s="58">
        <v>100</v>
      </c>
      <c r="E9" s="1823"/>
      <c r="F9" s="58">
        <f>SUMIF(74:74,E9,75:75)-SUMIF(74:74,C9,75:75)+100</f>
        <v>100</v>
      </c>
      <c r="G9" s="1823"/>
      <c r="H9" s="58">
        <f>SUMIF(74:74,G9,75:75)-SUMIF(74:74,C9,75:75)+100</f>
        <v>100</v>
      </c>
      <c r="I9" s="1823"/>
      <c r="J9" s="58">
        <f>SUMIF(74:74,I9,75:75)-SUMIF(74:74,C9,75:75)+100</f>
        <v>100</v>
      </c>
      <c r="K9" s="37"/>
      <c r="L9" s="2483"/>
      <c r="M9" s="2435"/>
      <c r="N9" s="2435"/>
      <c r="O9" s="2535"/>
      <c r="P9" s="3404" t="s">
        <v>1686</v>
      </c>
      <c r="Q9" s="529" t="str">
        <f t="shared" ref="Q9:Q15" si="6">B9</f>
        <v>用途</v>
      </c>
      <c r="R9" s="663" t="s">
        <v>14</v>
      </c>
      <c r="S9" s="664">
        <f t="shared" si="0"/>
        <v>100</v>
      </c>
      <c r="T9" s="663" t="s">
        <v>14</v>
      </c>
      <c r="U9" s="664">
        <f t="shared" si="1"/>
        <v>100</v>
      </c>
      <c r="V9" s="663" t="s">
        <v>14</v>
      </c>
      <c r="W9" s="664">
        <f t="shared" si="2"/>
        <v>100</v>
      </c>
      <c r="X9" s="665"/>
      <c r="Y9" s="3265"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123</v>
      </c>
      <c r="G10" s="401"/>
      <c r="H10" s="118">
        <f>ROUND(100/'数据-取费表'!G16,0)</f>
        <v>123</v>
      </c>
      <c r="I10" s="401"/>
      <c r="J10" s="118">
        <f>ROUND(100/'数据-取费表'!G16,0)</f>
        <v>123</v>
      </c>
      <c r="K10" s="591"/>
      <c r="L10" s="2484"/>
      <c r="M10" s="2485"/>
      <c r="N10" s="2485"/>
      <c r="O10" s="2536"/>
      <c r="P10" s="3404"/>
      <c r="Q10" s="529" t="str">
        <f t="shared" si="6"/>
        <v>土地使用年限（年）</v>
      </c>
      <c r="R10" s="663" t="s">
        <v>14</v>
      </c>
      <c r="S10" s="664">
        <f t="shared" si="0"/>
        <v>123</v>
      </c>
      <c r="T10" s="663" t="s">
        <v>14</v>
      </c>
      <c r="U10" s="664">
        <f t="shared" si="1"/>
        <v>123</v>
      </c>
      <c r="V10" s="663" t="s">
        <v>14</v>
      </c>
      <c r="W10" s="664">
        <f t="shared" si="2"/>
        <v>123</v>
      </c>
      <c r="X10" s="665"/>
      <c r="Y10" s="3265"/>
      <c r="Z10" s="49" t="str">
        <f t="shared" si="7"/>
        <v>土地使用年限（年）</v>
      </c>
      <c r="AA10" s="49">
        <f t="shared" si="3"/>
        <v>0.81300813008130079</v>
      </c>
      <c r="AB10" s="49">
        <f t="shared" si="4"/>
        <v>0.81300813008130079</v>
      </c>
      <c r="AC10" s="49">
        <f t="shared" si="5"/>
        <v>0.81300813008130079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65"/>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5"/>
      <c r="N12" s="2435"/>
      <c r="O12" s="2535"/>
      <c r="P12" s="3404"/>
      <c r="Q12" s="529" t="str">
        <f t="shared" si="6"/>
        <v>配建</v>
      </c>
      <c r="R12" s="663" t="s">
        <v>14</v>
      </c>
      <c r="S12" s="664">
        <f t="shared" si="0"/>
        <v>100</v>
      </c>
      <c r="T12" s="663" t="s">
        <v>14</v>
      </c>
      <c r="U12" s="664">
        <f t="shared" si="1"/>
        <v>100</v>
      </c>
      <c r="V12" s="663" t="s">
        <v>14</v>
      </c>
      <c r="W12" s="664">
        <f t="shared" si="2"/>
        <v>100</v>
      </c>
      <c r="X12" s="665"/>
      <c r="Y12" s="3265"/>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65"/>
      <c r="Z13" s="49">
        <f t="shared" si="7"/>
        <v>111</v>
      </c>
      <c r="AA13" s="49">
        <f>D13/F13</f>
        <v>1</v>
      </c>
      <c r="AB13" s="49">
        <f>D13/H13</f>
        <v>1</v>
      </c>
      <c r="AC13" s="49">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65"/>
      <c r="Z14" s="49">
        <f t="shared" si="7"/>
        <v>111</v>
      </c>
      <c r="AA14" s="49">
        <f>D14/F14</f>
        <v>1</v>
      </c>
      <c r="AB14" s="49">
        <f>D14/H14</f>
        <v>1</v>
      </c>
      <c r="AC14" s="49">
        <f>D14/J14</f>
        <v>1</v>
      </c>
    </row>
    <row r="15" spans="1:29" ht="15">
      <c r="A15" s="378" t="s">
        <v>1690</v>
      </c>
      <c r="B15" s="57" t="s">
        <v>1257</v>
      </c>
      <c r="C15" s="1748">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6" t="s">
        <v>1691</v>
      </c>
      <c r="Q15" s="1261" t="str">
        <f t="shared" si="6"/>
        <v>居住社区成熟度</v>
      </c>
      <c r="R15" s="666" t="s">
        <v>14</v>
      </c>
      <c r="S15" s="667">
        <f t="shared" si="0"/>
        <v>100</v>
      </c>
      <c r="T15" s="666" t="s">
        <v>14</v>
      </c>
      <c r="U15" s="667">
        <f t="shared" si="1"/>
        <v>100</v>
      </c>
      <c r="V15" s="666" t="s">
        <v>14</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96.6">
      <c r="A17" s="366"/>
      <c r="B17" s="389" t="s">
        <v>1777</v>
      </c>
      <c r="C17" s="1804"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7"/>
      <c r="Q17" s="1261" t="str">
        <f>B17</f>
        <v>商业繁华度</v>
      </c>
      <c r="R17" s="666" t="s">
        <v>14</v>
      </c>
      <c r="S17" s="667">
        <f>F17</f>
        <v>100</v>
      </c>
      <c r="T17" s="666" t="s">
        <v>14</v>
      </c>
      <c r="U17" s="667">
        <f>H17</f>
        <v>100</v>
      </c>
      <c r="V17" s="666" t="s">
        <v>14</v>
      </c>
      <c r="W17" s="667">
        <f>J17</f>
        <v>100</v>
      </c>
      <c r="X17" s="1263"/>
      <c r="Y17" s="3407"/>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138">
      <c r="A19" s="366"/>
      <c r="B19" s="389" t="s">
        <v>1811</v>
      </c>
      <c r="C19" s="1804"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7"/>
      <c r="Q19" s="1261" t="str">
        <f>B19</f>
        <v>办公集聚程度</v>
      </c>
      <c r="R19" s="666" t="s">
        <v>14</v>
      </c>
      <c r="S19" s="667">
        <f>F19</f>
        <v>100</v>
      </c>
      <c r="T19" s="666" t="s">
        <v>14</v>
      </c>
      <c r="U19" s="667">
        <f>H19</f>
        <v>100</v>
      </c>
      <c r="V19" s="666" t="s">
        <v>14</v>
      </c>
      <c r="W19" s="667">
        <f>J19</f>
        <v>100</v>
      </c>
      <c r="X19" s="1263"/>
      <c r="Y19" s="3407"/>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87"/>
      <c r="M20" s="2482"/>
      <c r="N20" s="2482"/>
      <c r="O20" s="2537"/>
      <c r="P20" s="3407"/>
      <c r="Q20" s="1261"/>
      <c r="R20" s="666"/>
      <c r="S20" s="667"/>
      <c r="T20" s="666"/>
      <c r="U20" s="667"/>
      <c r="V20" s="666"/>
      <c r="W20" s="667"/>
      <c r="X20" s="1263"/>
      <c r="Y20" s="3407"/>
      <c r="Z20" s="1262"/>
      <c r="AA20" s="1262">
        <v>1</v>
      </c>
      <c r="AB20" s="1262">
        <v>1</v>
      </c>
      <c r="AC20" s="1262">
        <v>1</v>
      </c>
    </row>
    <row r="21" spans="1:29" ht="110.4">
      <c r="A21" s="366"/>
      <c r="B21" s="389" t="s">
        <v>1833</v>
      </c>
      <c r="C21" s="1752"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7"/>
      <c r="Q21" s="1261" t="str">
        <f>B21</f>
        <v>交通便捷度</v>
      </c>
      <c r="R21" s="666" t="s">
        <v>14</v>
      </c>
      <c r="S21" s="667">
        <f>F21</f>
        <v>100</v>
      </c>
      <c r="T21" s="666" t="s">
        <v>14</v>
      </c>
      <c r="U21" s="667">
        <f>H21</f>
        <v>100</v>
      </c>
      <c r="V21" s="666" t="s">
        <v>14</v>
      </c>
      <c r="W21" s="667">
        <f>J21</f>
        <v>100</v>
      </c>
      <c r="X21" s="1263"/>
      <c r="Y21" s="3407"/>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ht="28.8">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7"/>
      <c r="Q23" s="1261" t="str">
        <f t="shared" ref="Q23:Q37" si="8">B23</f>
        <v>区域土地利用方向</v>
      </c>
      <c r="R23" s="666" t="s">
        <v>14</v>
      </c>
      <c r="S23" s="667">
        <f>F23</f>
        <v>100</v>
      </c>
      <c r="T23" s="666" t="s">
        <v>14</v>
      </c>
      <c r="U23" s="667">
        <f>H23</f>
        <v>100</v>
      </c>
      <c r="V23" s="666" t="s">
        <v>14</v>
      </c>
      <c r="W23" s="667">
        <f>J23</f>
        <v>100</v>
      </c>
      <c r="X23" s="1263"/>
      <c r="Y23" s="3407"/>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87"/>
      <c r="M24" s="2482"/>
      <c r="N24" s="2482"/>
      <c r="O24" s="2537"/>
      <c r="P24" s="3407"/>
      <c r="Q24" s="1261"/>
      <c r="R24" s="666"/>
      <c r="S24" s="667"/>
      <c r="T24" s="666"/>
      <c r="U24" s="667"/>
      <c r="V24" s="666"/>
      <c r="W24" s="667"/>
      <c r="X24" s="1263"/>
      <c r="Y24" s="3407"/>
      <c r="Z24" s="1262"/>
      <c r="AA24" s="1262"/>
      <c r="AB24" s="1262"/>
      <c r="AC24" s="1262"/>
    </row>
    <row r="25" spans="1:29" ht="96.6">
      <c r="A25" s="347"/>
      <c r="B25" s="585" t="s">
        <v>1872</v>
      </c>
      <c r="C25" s="1804"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7"/>
      <c r="Q25" s="1261" t="str">
        <f t="shared" si="8"/>
        <v>自然及人文环境状况</v>
      </c>
      <c r="R25" s="666" t="s">
        <v>14</v>
      </c>
      <c r="S25" s="667">
        <f>F25</f>
        <v>100</v>
      </c>
      <c r="T25" s="666" t="s">
        <v>14</v>
      </c>
      <c r="U25" s="667">
        <f>H25</f>
        <v>100</v>
      </c>
      <c r="V25" s="666" t="s">
        <v>14</v>
      </c>
      <c r="W25" s="667">
        <f>J25</f>
        <v>100</v>
      </c>
      <c r="X25" s="1263"/>
      <c r="Y25" s="3407"/>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87"/>
      <c r="M26" s="2482"/>
      <c r="N26" s="2482"/>
      <c r="O26" s="2537"/>
      <c r="P26" s="3407"/>
      <c r="Q26" s="1261"/>
      <c r="R26" s="666"/>
      <c r="S26" s="667"/>
      <c r="T26" s="666"/>
      <c r="U26" s="667"/>
      <c r="V26" s="666"/>
      <c r="W26" s="667"/>
      <c r="X26" s="1263"/>
      <c r="Y26" s="3407"/>
      <c r="Z26" s="1262"/>
      <c r="AA26" s="1262">
        <v>1</v>
      </c>
      <c r="AB26" s="1262">
        <v>1</v>
      </c>
      <c r="AC26" s="1262">
        <v>1</v>
      </c>
    </row>
    <row r="27" spans="1:29" s="101" customFormat="1" ht="96.6">
      <c r="A27" s="442"/>
      <c r="B27" s="585" t="s">
        <v>1778</v>
      </c>
      <c r="C27" s="1752"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5"/>
      <c r="N27" s="2435"/>
      <c r="O27" s="2535"/>
      <c r="P27" s="3407"/>
      <c r="Q27" s="529" t="str">
        <f t="shared" si="8"/>
        <v>公共配套设施</v>
      </c>
      <c r="R27" s="663" t="s">
        <v>14</v>
      </c>
      <c r="S27" s="664">
        <f>F27</f>
        <v>100</v>
      </c>
      <c r="T27" s="663" t="s">
        <v>14</v>
      </c>
      <c r="U27" s="664">
        <f>H27</f>
        <v>100</v>
      </c>
      <c r="V27" s="663" t="s">
        <v>14</v>
      </c>
      <c r="W27" s="664">
        <f>J27</f>
        <v>100</v>
      </c>
      <c r="X27" s="665"/>
      <c r="Y27" s="3407"/>
      <c r="Z27" s="49" t="str">
        <f>Q27</f>
        <v>公共配套设施</v>
      </c>
      <c r="AA27" s="1262">
        <f>D27/F27</f>
        <v>1</v>
      </c>
      <c r="AB27" s="1262">
        <f>D27/H27</f>
        <v>1</v>
      </c>
      <c r="AC27" s="1262">
        <f>D27/J27</f>
        <v>1</v>
      </c>
    </row>
    <row r="28" spans="1:29" s="101" customFormat="1" ht="15">
      <c r="A28" s="442"/>
      <c r="B28" s="394"/>
      <c r="C28" s="1824"/>
      <c r="D28" s="386"/>
      <c r="E28" s="1756"/>
      <c r="F28" s="386"/>
      <c r="G28" s="1756"/>
      <c r="H28" s="386"/>
      <c r="I28" s="385"/>
      <c r="J28" s="386"/>
      <c r="K28" s="591"/>
      <c r="L28" s="2483"/>
      <c r="M28" s="2435"/>
      <c r="N28" s="2435"/>
      <c r="O28" s="2535"/>
      <c r="P28" s="3407"/>
      <c r="Q28" s="529"/>
      <c r="R28" s="663"/>
      <c r="S28" s="664"/>
      <c r="T28" s="663"/>
      <c r="U28" s="664"/>
      <c r="V28" s="663"/>
      <c r="W28" s="664"/>
      <c r="X28" s="665"/>
      <c r="Y28" s="3407"/>
      <c r="Z28" s="49"/>
      <c r="AA28" s="1262">
        <v>1</v>
      </c>
      <c r="AB28" s="1262">
        <v>1</v>
      </c>
      <c r="AC28" s="1262">
        <v>1</v>
      </c>
    </row>
    <row r="29" spans="1:29" s="101" customFormat="1" ht="41.4">
      <c r="A29" s="442"/>
      <c r="B29" s="585" t="s">
        <v>1779</v>
      </c>
      <c r="C29" s="1752"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5"/>
      <c r="N29" s="2435"/>
      <c r="O29" s="2535"/>
      <c r="P29" s="3407"/>
      <c r="Q29" s="529" t="str">
        <f t="shared" ref="Q29" si="9">B29</f>
        <v>基础设施水平</v>
      </c>
      <c r="R29" s="663" t="s">
        <v>14</v>
      </c>
      <c r="S29" s="664">
        <f>F29</f>
        <v>100</v>
      </c>
      <c r="T29" s="663" t="s">
        <v>14</v>
      </c>
      <c r="U29" s="664">
        <f>H29</f>
        <v>100</v>
      </c>
      <c r="V29" s="663" t="s">
        <v>14</v>
      </c>
      <c r="W29" s="664">
        <f>J29</f>
        <v>100</v>
      </c>
      <c r="X29" s="665"/>
      <c r="Y29" s="3407"/>
      <c r="Z29" s="49" t="str">
        <f>Q29</f>
        <v>基础设施水平</v>
      </c>
      <c r="AA29" s="1262">
        <f>D29/F29</f>
        <v>1</v>
      </c>
      <c r="AB29" s="1262">
        <f>D29/H29</f>
        <v>1</v>
      </c>
      <c r="AC29" s="1262">
        <f>D29/J29</f>
        <v>1</v>
      </c>
    </row>
    <row r="30" spans="1:29" s="101" customFormat="1" ht="15">
      <c r="A30" s="442"/>
      <c r="B30" s="394"/>
      <c r="C30" s="1824"/>
      <c r="D30" s="386"/>
      <c r="E30" s="1825"/>
      <c r="F30" s="386"/>
      <c r="G30" s="1825"/>
      <c r="H30" s="386"/>
      <c r="I30" s="1825"/>
      <c r="J30" s="386"/>
      <c r="K30" s="591"/>
      <c r="L30" s="2483"/>
      <c r="M30" s="2435"/>
      <c r="N30" s="2435"/>
      <c r="O30" s="2535"/>
      <c r="P30" s="3407"/>
      <c r="Q30" s="529"/>
      <c r="R30" s="663"/>
      <c r="S30" s="664"/>
      <c r="T30" s="663"/>
      <c r="U30" s="664"/>
      <c r="V30" s="663"/>
      <c r="W30" s="664"/>
      <c r="X30" s="665"/>
      <c r="Y30" s="3407"/>
      <c r="Z30" s="49"/>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7"/>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07"/>
      <c r="Z31" s="1262" t="str">
        <f t="shared" ref="Z31:Z45" si="13">Q31</f>
        <v>临街状况</v>
      </c>
      <c r="AA31" s="1262">
        <f t="shared" si="3"/>
        <v>1</v>
      </c>
      <c r="AB31" s="1262">
        <f t="shared" si="4"/>
        <v>1</v>
      </c>
      <c r="AC31" s="1262">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7"/>
      <c r="Q32" s="1261" t="str">
        <f t="shared" si="8"/>
        <v>毗邻道路的类型与等级</v>
      </c>
      <c r="R32" s="666" t="s">
        <v>14</v>
      </c>
      <c r="S32" s="667">
        <f t="shared" si="10"/>
        <v>100</v>
      </c>
      <c r="T32" s="666" t="s">
        <v>14</v>
      </c>
      <c r="U32" s="667">
        <f t="shared" si="11"/>
        <v>100</v>
      </c>
      <c r="V32" s="666" t="s">
        <v>14</v>
      </c>
      <c r="W32" s="667">
        <f t="shared" si="12"/>
        <v>100</v>
      </c>
      <c r="X32" s="1263"/>
      <c r="Y32" s="3407"/>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87"/>
      <c r="M33" s="2482"/>
      <c r="N33" s="2482"/>
      <c r="O33" s="2537"/>
      <c r="P33" s="3407"/>
      <c r="Q33" s="1261"/>
      <c r="R33" s="666"/>
      <c r="S33" s="667"/>
      <c r="T33" s="666"/>
      <c r="U33" s="667"/>
      <c r="V33" s="666"/>
      <c r="W33" s="667"/>
      <c r="X33" s="1263"/>
      <c r="Y33" s="3407"/>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7"/>
      <c r="Q34" s="1261" t="str">
        <f t="shared" si="8"/>
        <v>土地级别</v>
      </c>
      <c r="R34" s="666" t="s">
        <v>14</v>
      </c>
      <c r="S34" s="667">
        <f t="shared" si="10"/>
        <v>100</v>
      </c>
      <c r="T34" s="666" t="s">
        <v>14</v>
      </c>
      <c r="U34" s="667">
        <f t="shared" si="11"/>
        <v>100</v>
      </c>
      <c r="V34" s="666" t="s">
        <v>14</v>
      </c>
      <c r="W34" s="667">
        <f t="shared" si="12"/>
        <v>100</v>
      </c>
      <c r="X34" s="1263"/>
      <c r="Y34" s="3407"/>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7"/>
      <c r="Q35" s="1261">
        <f t="shared" si="8"/>
        <v>111</v>
      </c>
      <c r="R35" s="666" t="s">
        <v>14</v>
      </c>
      <c r="S35" s="667">
        <f t="shared" si="10"/>
        <v>100</v>
      </c>
      <c r="T35" s="666" t="s">
        <v>14</v>
      </c>
      <c r="U35" s="667">
        <f t="shared" si="11"/>
        <v>100</v>
      </c>
      <c r="V35" s="666" t="s">
        <v>14</v>
      </c>
      <c r="W35" s="667">
        <f t="shared" si="12"/>
        <v>100</v>
      </c>
      <c r="X35" s="1263"/>
      <c r="Y35" s="3407"/>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46" t="s">
        <v>1696</v>
      </c>
      <c r="Q36" s="1261">
        <f t="shared" si="8"/>
        <v>111</v>
      </c>
      <c r="R36" s="666" t="s">
        <v>14</v>
      </c>
      <c r="S36" s="667">
        <f t="shared" si="10"/>
        <v>100</v>
      </c>
      <c r="T36" s="666" t="s">
        <v>14</v>
      </c>
      <c r="U36" s="667">
        <f t="shared" si="11"/>
        <v>100</v>
      </c>
      <c r="V36" s="666" t="s">
        <v>14</v>
      </c>
      <c r="W36" s="667">
        <f t="shared" si="12"/>
        <v>100</v>
      </c>
      <c r="X36" s="1263"/>
      <c r="Y36" s="3411" t="s">
        <v>1696</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1"/>
      <c r="Q37" s="1261">
        <f t="shared" si="8"/>
        <v>111</v>
      </c>
      <c r="R37" s="668" t="s">
        <v>14</v>
      </c>
      <c r="S37" s="669">
        <f t="shared" si="10"/>
        <v>100</v>
      </c>
      <c r="T37" s="668" t="s">
        <v>14</v>
      </c>
      <c r="U37" s="669">
        <f t="shared" si="11"/>
        <v>100</v>
      </c>
      <c r="V37" s="668" t="s">
        <v>14</v>
      </c>
      <c r="W37" s="669">
        <f t="shared" si="12"/>
        <v>100</v>
      </c>
      <c r="X37" s="670"/>
      <c r="Y37" s="3411"/>
      <c r="Z37" s="671">
        <f t="shared" si="13"/>
        <v>111</v>
      </c>
      <c r="AA37" s="1262">
        <f t="shared" si="3"/>
        <v>1</v>
      </c>
      <c r="AB37" s="1262">
        <f t="shared" si="4"/>
        <v>1</v>
      </c>
      <c r="AC37" s="1262">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1"/>
      <c r="Q38" s="1261" t="str">
        <f>B38</f>
        <v>宗地面积</v>
      </c>
      <c r="R38" s="666" t="s">
        <v>14</v>
      </c>
      <c r="S38" s="667" t="e">
        <f t="shared" si="10"/>
        <v>#N/A</v>
      </c>
      <c r="T38" s="666" t="s">
        <v>14</v>
      </c>
      <c r="U38" s="667" t="e">
        <f t="shared" si="11"/>
        <v>#N/A</v>
      </c>
      <c r="V38" s="666" t="s">
        <v>14</v>
      </c>
      <c r="W38" s="667" t="e">
        <f t="shared" si="12"/>
        <v>#N/A</v>
      </c>
      <c r="X38" s="1263"/>
      <c r="Y38" s="3411"/>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87"/>
      <c r="M39" s="2482"/>
      <c r="N39" s="2482"/>
      <c r="O39" s="2537"/>
      <c r="P39" s="3411"/>
      <c r="Q39" s="1261" t="str">
        <f t="shared" ref="Q39:Q45" si="14">B39</f>
        <v>宗地形状</v>
      </c>
      <c r="R39" s="666" t="s">
        <v>14</v>
      </c>
      <c r="S39" s="667">
        <f t="shared" si="10"/>
        <v>100</v>
      </c>
      <c r="T39" s="666" t="s">
        <v>14</v>
      </c>
      <c r="U39" s="667">
        <f t="shared" si="11"/>
        <v>100</v>
      </c>
      <c r="V39" s="666" t="s">
        <v>14</v>
      </c>
      <c r="W39" s="667">
        <f t="shared" si="12"/>
        <v>100</v>
      </c>
      <c r="X39" s="1263"/>
      <c r="Y39" s="3411"/>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87"/>
      <c r="M40" s="2482"/>
      <c r="N40" s="2482"/>
      <c r="O40" s="2537"/>
      <c r="P40" s="3411"/>
      <c r="Q40" s="1261" t="str">
        <f t="shared" si="14"/>
        <v>临街宽度及深度</v>
      </c>
      <c r="R40" s="666" t="s">
        <v>14</v>
      </c>
      <c r="S40" s="667">
        <f t="shared" si="10"/>
        <v>100</v>
      </c>
      <c r="T40" s="666" t="s">
        <v>14</v>
      </c>
      <c r="U40" s="667">
        <f t="shared" si="11"/>
        <v>100</v>
      </c>
      <c r="V40" s="666" t="s">
        <v>14</v>
      </c>
      <c r="W40" s="667">
        <f t="shared" si="12"/>
        <v>100</v>
      </c>
      <c r="X40" s="1263"/>
      <c r="Y40" s="3411"/>
      <c r="Z40" s="1262" t="str">
        <f t="shared" si="13"/>
        <v>临街宽度及深度</v>
      </c>
      <c r="AA40" s="1262">
        <f t="shared" si="3"/>
        <v>1</v>
      </c>
      <c r="AB40" s="1262">
        <f t="shared" si="4"/>
        <v>1</v>
      </c>
      <c r="AC40" s="1262">
        <f t="shared" si="5"/>
        <v>1</v>
      </c>
    </row>
    <row r="41" spans="1:29" s="101" customFormat="1" ht="1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3"/>
      <c r="M41" s="2435"/>
      <c r="N41" s="2435"/>
      <c r="O41" s="2535"/>
      <c r="P41" s="3411"/>
      <c r="Q41" s="1261" t="str">
        <f t="shared" si="14"/>
        <v>宗地开发程度</v>
      </c>
      <c r="R41" s="663" t="s">
        <v>14</v>
      </c>
      <c r="S41" s="664">
        <f t="shared" si="10"/>
        <v>100</v>
      </c>
      <c r="T41" s="663" t="s">
        <v>14</v>
      </c>
      <c r="U41" s="664">
        <f t="shared" si="11"/>
        <v>100</v>
      </c>
      <c r="V41" s="663" t="s">
        <v>14</v>
      </c>
      <c r="W41" s="664">
        <f t="shared" si="12"/>
        <v>100</v>
      </c>
      <c r="X41" s="665"/>
      <c r="Y41" s="3411"/>
      <c r="Z41" s="49" t="str">
        <f t="shared" si="13"/>
        <v>宗地开发程度</v>
      </c>
      <c r="AA41" s="49">
        <f t="shared" si="3"/>
        <v>1</v>
      </c>
      <c r="AB41" s="49">
        <f t="shared" si="4"/>
        <v>1</v>
      </c>
      <c r="AC41" s="49">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87"/>
      <c r="M42" s="2482"/>
      <c r="N42" s="2482"/>
      <c r="O42" s="2537"/>
      <c r="P42" s="3411" t="s">
        <v>1696</v>
      </c>
      <c r="Q42" s="1261" t="str">
        <f t="shared" si="14"/>
        <v>工程地质条件</v>
      </c>
      <c r="R42" s="666" t="s">
        <v>14</v>
      </c>
      <c r="S42" s="667">
        <f t="shared" si="10"/>
        <v>100</v>
      </c>
      <c r="T42" s="666" t="s">
        <v>14</v>
      </c>
      <c r="U42" s="667">
        <f t="shared" si="11"/>
        <v>100</v>
      </c>
      <c r="V42" s="666" t="s">
        <v>14</v>
      </c>
      <c r="W42" s="667">
        <f t="shared" si="12"/>
        <v>100</v>
      </c>
      <c r="X42" s="1263"/>
      <c r="Y42" s="3411" t="s">
        <v>1696</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1"/>
      <c r="Q43" s="1261">
        <f t="shared" si="14"/>
        <v>111</v>
      </c>
      <c r="R43" s="666" t="s">
        <v>14</v>
      </c>
      <c r="S43" s="667">
        <f t="shared" si="10"/>
        <v>100</v>
      </c>
      <c r="T43" s="666" t="s">
        <v>14</v>
      </c>
      <c r="U43" s="667">
        <f t="shared" si="11"/>
        <v>100</v>
      </c>
      <c r="V43" s="666" t="s">
        <v>14</v>
      </c>
      <c r="W43" s="667">
        <f t="shared" si="12"/>
        <v>100</v>
      </c>
      <c r="X43" s="1263"/>
      <c r="Y43" s="3411"/>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1"/>
      <c r="Q44" s="1261">
        <f t="shared" si="14"/>
        <v>111</v>
      </c>
      <c r="R44" s="666" t="s">
        <v>14</v>
      </c>
      <c r="S44" s="667">
        <f t="shared" si="10"/>
        <v>100</v>
      </c>
      <c r="T44" s="666" t="s">
        <v>14</v>
      </c>
      <c r="U44" s="667">
        <f t="shared" si="11"/>
        <v>100</v>
      </c>
      <c r="V44" s="666" t="s">
        <v>14</v>
      </c>
      <c r="W44" s="667">
        <f t="shared" si="12"/>
        <v>100</v>
      </c>
      <c r="X44" s="1263"/>
      <c r="Y44" s="3411"/>
      <c r="Z44" s="1262">
        <f t="shared" si="13"/>
        <v>111</v>
      </c>
      <c r="AA44" s="1262">
        <f t="shared" si="3"/>
        <v>1</v>
      </c>
      <c r="AB44" s="1262">
        <f t="shared" si="4"/>
        <v>1</v>
      </c>
      <c r="AC44" s="1262">
        <f t="shared" si="5"/>
        <v>1</v>
      </c>
    </row>
    <row r="45" spans="1:29" s="407" customFormat="1" ht="15.6"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1"/>
      <c r="Q45" s="1261">
        <f t="shared" si="14"/>
        <v>111</v>
      </c>
      <c r="R45" s="668" t="s">
        <v>14</v>
      </c>
      <c r="S45" s="669">
        <f t="shared" si="10"/>
        <v>100</v>
      </c>
      <c r="T45" s="668" t="s">
        <v>14</v>
      </c>
      <c r="U45" s="669">
        <f t="shared" si="11"/>
        <v>100</v>
      </c>
      <c r="V45" s="668" t="s">
        <v>14</v>
      </c>
      <c r="W45" s="669">
        <f t="shared" si="12"/>
        <v>100</v>
      </c>
      <c r="X45" s="670"/>
      <c r="Y45" s="3411"/>
      <c r="Z45" s="671">
        <f t="shared" si="13"/>
        <v>111</v>
      </c>
      <c r="AA45" s="1262">
        <f t="shared" si="3"/>
        <v>1</v>
      </c>
      <c r="AB45" s="1262">
        <f t="shared" si="4"/>
        <v>1</v>
      </c>
      <c r="AC45" s="1262">
        <f t="shared" si="5"/>
        <v>1</v>
      </c>
    </row>
    <row r="46" spans="1:29" ht="14.4">
      <c r="A46" s="415" t="s">
        <v>1844</v>
      </c>
      <c r="B46" s="1828" t="s">
        <v>1879</v>
      </c>
      <c r="C46" s="601" t="s">
        <v>0</v>
      </c>
      <c r="D46" s="417"/>
      <c r="E46" s="418"/>
      <c r="F46" s="419"/>
      <c r="G46" s="420"/>
      <c r="H46" s="421"/>
      <c r="I46" s="418"/>
      <c r="J46" s="421"/>
      <c r="K46" s="673"/>
      <c r="L46" s="2489"/>
      <c r="M46" s="2482"/>
      <c r="N46" s="2482"/>
      <c r="O46" s="2482"/>
      <c r="P46" s="3404" t="str">
        <f>A46</f>
        <v>成交单价</v>
      </c>
      <c r="Q46" s="3404"/>
      <c r="R46" s="3405">
        <f>E46</f>
        <v>0</v>
      </c>
      <c r="S46" s="3405"/>
      <c r="T46" s="3405">
        <f>G46</f>
        <v>0</v>
      </c>
      <c r="U46" s="3405"/>
      <c r="V46" s="3405">
        <f>I46</f>
        <v>0</v>
      </c>
      <c r="W46" s="3405"/>
      <c r="X46" s="384"/>
      <c r="Y46" s="672"/>
      <c r="Z46" s="384"/>
      <c r="AA46" s="384"/>
      <c r="AB46" s="384"/>
      <c r="AC46" s="384"/>
    </row>
    <row r="47" spans="1:29" ht="15" thickBot="1">
      <c r="A47" s="422" t="s">
        <v>1793</v>
      </c>
      <c r="B47" s="602"/>
      <c r="C47" s="425" t="e">
        <f>R48</f>
        <v>#DIV/0!</v>
      </c>
      <c r="D47" s="2139" t="s">
        <v>2138</v>
      </c>
      <c r="E47" s="425" t="e">
        <f>R47</f>
        <v>#DIV/0!</v>
      </c>
      <c r="F47" s="2140"/>
      <c r="G47" s="424" t="e">
        <f>T47</f>
        <v>#DIV/0!</v>
      </c>
      <c r="H47" s="2140"/>
      <c r="I47" s="425" t="e">
        <f>V47</f>
        <v>#DIV/0!</v>
      </c>
      <c r="J47" s="2140"/>
      <c r="K47" s="2142">
        <f>F47+H47+J47</f>
        <v>0</v>
      </c>
      <c r="L47" s="2489"/>
      <c r="M47" s="2482"/>
      <c r="N47" s="2482"/>
      <c r="O47" s="2482"/>
      <c r="P47" s="3404" t="str">
        <f>A47</f>
        <v>比较价值（元/平方米）</v>
      </c>
      <c r="Q47" s="3404"/>
      <c r="R47" s="3448" t="e">
        <f>ROUND(PRODUCT(R46,AA7:AA45),0)</f>
        <v>#DIV/0!</v>
      </c>
      <c r="S47" s="3448"/>
      <c r="T47" s="3448" t="e">
        <f>ROUND(PRODUCT(T46,AB7:AB45),0)</f>
        <v>#DIV/0!</v>
      </c>
      <c r="U47" s="3448"/>
      <c r="V47" s="3448" t="e">
        <f>ROUND(PRODUCT(V46,AC7:AC45),0)</f>
        <v>#DIV/0!</v>
      </c>
      <c r="W47" s="3448"/>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9"/>
      <c r="M48" s="2482"/>
      <c r="N48" s="2482"/>
      <c r="O48" s="2482"/>
      <c r="P48" s="3401" t="str">
        <f>A48</f>
        <v>估价对象XX用房的比较价值（楼面单价，元/平方米）</v>
      </c>
      <c r="Q48" s="3402"/>
      <c r="R48" s="3449" t="e">
        <f>ROUND(IF(D47="简单平均",AVERAGE(R47:W47),R47*F47+T47*H47+V47*J47),0)</f>
        <v>#DIV/0!</v>
      </c>
      <c r="S48" s="3449"/>
      <c r="T48" s="3449"/>
      <c r="U48" s="3449"/>
      <c r="V48" s="3449"/>
      <c r="W48" s="3449"/>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9" t="s">
        <v>1883</v>
      </c>
      <c r="D55" s="1830" t="s">
        <v>1884</v>
      </c>
      <c r="E55" s="605" t="s">
        <v>1885</v>
      </c>
      <c r="F55" s="836" t="s">
        <v>1886</v>
      </c>
      <c r="G55" s="3419" t="s">
        <v>1887</v>
      </c>
      <c r="H55" s="3450"/>
      <c r="I55" s="126"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9">
        <v>1</v>
      </c>
      <c r="E56" s="609">
        <f>'数据-汇总表'!E8+'数据-汇总表'!E9</f>
        <v>79247.164000000004</v>
      </c>
      <c r="F56" s="832" t="e">
        <f t="shared" ref="F56:F64" si="15">ROUND(B56*E56/10000,0)</f>
        <v>#DIV/0!</v>
      </c>
      <c r="G56" s="3415"/>
      <c r="H56" s="340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1891</v>
      </c>
      <c r="B57" s="209" t="e">
        <f>ROUND($C$48*C57*D57,0)</f>
        <v>#DIV/0!</v>
      </c>
      <c r="C57" s="162">
        <f t="shared" ref="C57:C64" si="16">IF($C$55="北京市系数",I57,J57)</f>
        <v>0.6</v>
      </c>
      <c r="D57" s="890">
        <v>0.25</v>
      </c>
      <c r="E57" s="613"/>
      <c r="F57" s="832" t="e">
        <f t="shared" si="15"/>
        <v>#DIV/0!</v>
      </c>
      <c r="G57" s="2745" t="s">
        <v>1892</v>
      </c>
      <c r="H57" s="833" t="str">
        <f>项目基本情况!B37</f>
        <v>七级</v>
      </c>
      <c r="I57" s="837">
        <f>SUMIF(修正!A57:A68,H57,修正!B57:B68)</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1893</v>
      </c>
      <c r="B58" s="209" t="e">
        <f t="shared" ref="B58:B64" si="17">ROUND($C$48*C58*D58,0)</f>
        <v>#DIV/0!</v>
      </c>
      <c r="C58" s="162">
        <f t="shared" si="16"/>
        <v>0.3</v>
      </c>
      <c r="D58" s="890">
        <v>0.25</v>
      </c>
      <c r="E58" s="613"/>
      <c r="F58" s="832" t="e">
        <f t="shared" si="15"/>
        <v>#DIV/0!</v>
      </c>
      <c r="G58" s="2746"/>
      <c r="H58" s="833" t="str">
        <f>项目基本情况!B37</f>
        <v>七级</v>
      </c>
      <c r="I58" s="837">
        <f>SUMIF(修正!A57:A68,H58,修正!C57:C68)</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1894</v>
      </c>
      <c r="B59" s="209" t="e">
        <f t="shared" si="17"/>
        <v>#DIV/0!</v>
      </c>
      <c r="C59" s="162">
        <f t="shared" si="16"/>
        <v>0.25</v>
      </c>
      <c r="D59" s="890">
        <v>0.25</v>
      </c>
      <c r="E59" s="613"/>
      <c r="F59" s="832" t="e">
        <f t="shared" si="15"/>
        <v>#DIV/0!</v>
      </c>
      <c r="G59" s="2746"/>
      <c r="H59" s="833" t="str">
        <f>项目基本情况!B37</f>
        <v>七级</v>
      </c>
      <c r="I59" s="837">
        <f>SUMIF(修正!A57:A68,H59,修正!D57:D68)</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1895</v>
      </c>
      <c r="B60" s="209" t="e">
        <f t="shared" si="17"/>
        <v>#DIV/0!</v>
      </c>
      <c r="C60" s="162">
        <f t="shared" si="16"/>
        <v>0.25</v>
      </c>
      <c r="D60" s="890">
        <v>0.25</v>
      </c>
      <c r="E60" s="208">
        <f>'数据-汇总表'!E11</f>
        <v>0</v>
      </c>
      <c r="F60" s="832" t="e">
        <f t="shared" si="15"/>
        <v>#DIV/0!</v>
      </c>
      <c r="G60" s="1833" t="s">
        <v>1896</v>
      </c>
      <c r="H60" s="833" t="str">
        <f>项目基本情况!C37</f>
        <v>七级</v>
      </c>
      <c r="I60" s="837">
        <f>SUMIF(修正!A57:A68,H60,修正!E57:E68)</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1897</v>
      </c>
      <c r="B61" s="209" t="e">
        <f t="shared" si="17"/>
        <v>#DIV/0!</v>
      </c>
      <c r="C61" s="162">
        <f t="shared" si="16"/>
        <v>0.25</v>
      </c>
      <c r="D61" s="890">
        <v>0.25</v>
      </c>
      <c r="E61" s="208">
        <f>'数据-汇总表'!E12</f>
        <v>0</v>
      </c>
      <c r="F61" s="832" t="e">
        <f t="shared" si="15"/>
        <v>#DIV/0!</v>
      </c>
      <c r="G61" s="838" t="s">
        <v>1898</v>
      </c>
      <c r="H61" s="833" t="str">
        <f>IF(G61="商业",项目基本情况!B37,IF(G61="办公",项目基本情况!C37,IF(G61="住宅",项目基本情况!D37,项目基本情况!E37)))</f>
        <v>七级</v>
      </c>
      <c r="I61" s="837">
        <f>SUMIF(修正!A57:A68,H61,修正!F57:F68)</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1901</v>
      </c>
      <c r="B63" s="209" t="e">
        <f t="shared" si="17"/>
        <v>#DIV/0!</v>
      </c>
      <c r="C63" s="162">
        <f t="shared" si="16"/>
        <v>0.15</v>
      </c>
      <c r="D63" s="890">
        <v>0.25</v>
      </c>
      <c r="E63" s="208">
        <f>'数据-汇总表'!E14</f>
        <v>35216.51</v>
      </c>
      <c r="F63" s="832" t="e">
        <f t="shared" si="15"/>
        <v>#DIV/0!</v>
      </c>
      <c r="G63" s="1833" t="s">
        <v>1892</v>
      </c>
      <c r="H63" s="833" t="str">
        <f>项目基本情况!B37</f>
        <v>七级</v>
      </c>
      <c r="I63" s="837">
        <f>SUMIF(修正!A57:A68,H63,修正!G57:G68)</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4.4" thickBot="1">
      <c r="A64" s="612" t="s">
        <v>1902</v>
      </c>
      <c r="B64" s="209" t="e">
        <f t="shared" si="17"/>
        <v>#DIV/0!</v>
      </c>
      <c r="C64" s="162">
        <f t="shared" si="16"/>
        <v>0.15</v>
      </c>
      <c r="D64" s="890">
        <v>0.25</v>
      </c>
      <c r="E64" s="208">
        <f>'数据-汇总表'!E15</f>
        <v>0</v>
      </c>
      <c r="F64" s="832" t="e">
        <f t="shared" si="15"/>
        <v>#DIV/0!</v>
      </c>
      <c r="G64" s="1834" t="s">
        <v>1896</v>
      </c>
      <c r="H64" s="843" t="str">
        <f>项目基本情况!C37</f>
        <v>七级</v>
      </c>
      <c r="I64" s="839">
        <f>SUMIF(修正!A57:A68,H64,修正!G57:G68)</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thickBot="1">
      <c r="A65" s="614" t="s">
        <v>1903</v>
      </c>
      <c r="B65" s="615" t="s">
        <v>22</v>
      </c>
      <c r="C65" s="615" t="s">
        <v>23</v>
      </c>
      <c r="D65" s="615" t="s">
        <v>392</v>
      </c>
      <c r="E65" s="615">
        <f>IF(B46="楼面地价",SUM(E56:E64),'数据-汇总表'!D3)</f>
        <v>114463.674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2"/>
      <c r="Q67" s="2482"/>
      <c r="R67" s="2482"/>
      <c r="S67" s="2482"/>
      <c r="T67" s="2482"/>
      <c r="U67" s="2482"/>
      <c r="V67" s="2482"/>
      <c r="W67" s="2482"/>
      <c r="X67" s="2482"/>
      <c r="Y67" s="2482"/>
      <c r="Z67" s="2482"/>
      <c r="AA67" s="2482"/>
      <c r="AB67" s="2482"/>
      <c r="AC67" s="2482"/>
    </row>
    <row r="68" spans="1:29" ht="22.2" thickBot="1">
      <c r="A68" s="657" t="s">
        <v>1798</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4.4">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8"/>
      <c r="P71" s="2503"/>
      <c r="Q71" s="2503"/>
      <c r="R71" s="2435"/>
      <c r="S71" s="2435"/>
      <c r="T71" s="2435"/>
      <c r="U71" s="2435"/>
      <c r="V71" s="2435"/>
      <c r="W71" s="2435"/>
      <c r="X71" s="2435"/>
      <c r="Y71" s="2435"/>
      <c r="Z71" s="2435"/>
      <c r="AA71" s="2435"/>
      <c r="AB71" s="2435"/>
      <c r="AC71" s="2435"/>
    </row>
    <row r="72" spans="1:29" s="101" customFormat="1" ht="14.4">
      <c r="A72" s="454" t="s">
        <v>1681</v>
      </c>
      <c r="B72" s="443"/>
      <c r="C72" s="455" t="s">
        <v>1776</v>
      </c>
      <c r="D72" s="30"/>
      <c r="E72" s="30"/>
      <c r="F72" s="30"/>
      <c r="G72" s="30"/>
      <c r="H72" s="30"/>
      <c r="I72" s="30"/>
      <c r="J72" s="30"/>
      <c r="K72" s="30"/>
      <c r="L72" s="456"/>
      <c r="M72" s="457"/>
      <c r="N72" s="2515"/>
      <c r="O72" s="2515"/>
      <c r="P72" s="2539"/>
      <c r="Q72" s="2503"/>
      <c r="R72" s="2435"/>
      <c r="S72" s="2435"/>
      <c r="T72" s="2435"/>
      <c r="U72" s="2435"/>
      <c r="V72" s="2435"/>
      <c r="W72" s="2435"/>
      <c r="X72" s="2435"/>
      <c r="Y72" s="2435"/>
      <c r="Z72" s="2435"/>
      <c r="AA72" s="2435"/>
      <c r="AB72" s="2435"/>
      <c r="AC72" s="2435"/>
    </row>
    <row r="73" spans="1:29" s="101" customFormat="1" ht="14.4" thickBot="1">
      <c r="A73" s="454"/>
      <c r="B73" s="443"/>
      <c r="C73" s="562">
        <v>100</v>
      </c>
      <c r="D73" s="445"/>
      <c r="E73" s="445"/>
      <c r="F73" s="445"/>
      <c r="G73" s="445"/>
      <c r="H73" s="445"/>
      <c r="I73" s="445"/>
      <c r="J73" s="445"/>
      <c r="K73" s="445"/>
      <c r="L73" s="445"/>
      <c r="M73" s="447"/>
      <c r="N73" s="2515"/>
      <c r="O73" s="2515"/>
      <c r="P73" s="2503"/>
      <c r="Q73" s="2503"/>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4.4"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9.4"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4.4"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7"/>
      <c r="O80" s="2517"/>
      <c r="P80" s="2515"/>
      <c r="Q80" s="2503"/>
      <c r="R80" s="2482"/>
      <c r="S80" s="2482"/>
      <c r="T80" s="2482"/>
      <c r="U80" s="2482"/>
      <c r="V80" s="2482"/>
      <c r="W80" s="2482"/>
      <c r="X80" s="2482"/>
      <c r="Y80" s="2482"/>
      <c r="Z80" s="2482"/>
      <c r="AA80" s="2482"/>
      <c r="AB80" s="2482"/>
      <c r="AC80" s="2482"/>
    </row>
    <row r="81" spans="1:29" s="407" customFormat="1" ht="14.4"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4.4"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4.4"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4.4"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4.4" thickTop="1">
      <c r="A85" s="483"/>
      <c r="B85" s="476">
        <f>B14</f>
        <v>111</v>
      </c>
      <c r="C85" s="30"/>
      <c r="D85" s="30"/>
      <c r="E85" s="30"/>
      <c r="F85" s="30"/>
      <c r="G85" s="30"/>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4.4"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ht="14.4">
      <c r="A87" s="378" t="s">
        <v>1690</v>
      </c>
      <c r="B87" s="459" t="s">
        <v>1720</v>
      </c>
      <c r="C87" s="503" t="s">
        <v>1721</v>
      </c>
      <c r="D87" s="503" t="s">
        <v>1722</v>
      </c>
      <c r="E87" s="503" t="s">
        <v>1723</v>
      </c>
      <c r="F87" s="503" t="s">
        <v>1724</v>
      </c>
      <c r="G87" s="503" t="s">
        <v>1725</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 thickTop="1">
      <c r="A89" s="366"/>
      <c r="B89" s="468" t="s">
        <v>1906</v>
      </c>
      <c r="C89" s="508" t="s">
        <v>1721</v>
      </c>
      <c r="D89" s="508" t="s">
        <v>1722</v>
      </c>
      <c r="E89" s="508" t="s">
        <v>1723</v>
      </c>
      <c r="F89" s="508" t="s">
        <v>1724</v>
      </c>
      <c r="G89" s="508" t="s">
        <v>1725</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 thickTop="1">
      <c r="A91" s="366"/>
      <c r="B91" s="468" t="s">
        <v>1821</v>
      </c>
      <c r="C91" s="508" t="s">
        <v>1721</v>
      </c>
      <c r="D91" s="508" t="s">
        <v>1722</v>
      </c>
      <c r="E91" s="508" t="s">
        <v>1723</v>
      </c>
      <c r="F91" s="508" t="s">
        <v>1724</v>
      </c>
      <c r="G91" s="508" t="s">
        <v>1725</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 thickTop="1">
      <c r="A93" s="366"/>
      <c r="B93" s="468" t="s">
        <v>1726</v>
      </c>
      <c r="C93" s="508" t="s">
        <v>1721</v>
      </c>
      <c r="D93" s="508" t="s">
        <v>1722</v>
      </c>
      <c r="E93" s="508" t="s">
        <v>1723</v>
      </c>
      <c r="F93" s="508" t="s">
        <v>1724</v>
      </c>
      <c r="G93" s="508" t="s">
        <v>1725</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5"/>
      <c r="O95" s="2515"/>
      <c r="P95" s="2515"/>
      <c r="Q95" s="2503"/>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5"/>
      <c r="O97" s="2515"/>
      <c r="P97" s="2515"/>
      <c r="Q97" s="2503"/>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3"/>
      <c r="N101" s="2518"/>
      <c r="O101" s="2518"/>
      <c r="P101" s="2518"/>
      <c r="Q101" s="2510"/>
      <c r="R101" s="2488"/>
      <c r="S101" s="2488"/>
      <c r="T101" s="2488"/>
      <c r="U101" s="2488"/>
      <c r="V101" s="2488"/>
      <c r="W101" s="2488"/>
      <c r="X101" s="2488"/>
      <c r="Y101" s="2488"/>
      <c r="Z101" s="2488"/>
      <c r="AA101" s="2488"/>
      <c r="AB101" s="2488"/>
      <c r="AC101" s="2488"/>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18"/>
      <c r="O102" s="2518"/>
      <c r="P102" s="2518"/>
      <c r="Q102" s="2510"/>
      <c r="R102" s="2488"/>
      <c r="S102" s="2488"/>
      <c r="T102" s="2488"/>
      <c r="U102" s="2488"/>
      <c r="V102" s="2488"/>
      <c r="W102" s="2488"/>
      <c r="X102" s="2488"/>
      <c r="Y102" s="2488"/>
      <c r="Z102" s="2488"/>
      <c r="AA102" s="2488"/>
      <c r="AB102" s="2488"/>
      <c r="AC102" s="2488"/>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6"/>
      <c r="B105" s="468" t="s">
        <v>1815</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6"/>
      <c r="B107" s="468" t="s">
        <v>1873</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4.4"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4.4" thickTop="1">
      <c r="A111" s="594"/>
      <c r="B111" s="468">
        <f>B36</f>
        <v>111</v>
      </c>
      <c r="C111" s="30"/>
      <c r="D111" s="30"/>
      <c r="E111" s="30"/>
      <c r="F111" s="30"/>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4.4"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4.4"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4.4"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4.4"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1914</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1915</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1916</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1917</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4.4"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4.4" thickTop="1">
      <c r="A128" s="408"/>
      <c r="B128" s="468">
        <f>B44</f>
        <v>111</v>
      </c>
      <c r="C128" s="30"/>
      <c r="D128" s="30"/>
      <c r="E128" s="30"/>
      <c r="F128" s="30"/>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4.4"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4.4" thickTop="1">
      <c r="A130" s="405"/>
      <c r="B130" s="468">
        <f>B45</f>
        <v>111</v>
      </c>
      <c r="C130" s="30"/>
      <c r="D130" s="30"/>
      <c r="E130" s="30"/>
      <c r="F130" s="30"/>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4.4"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7"/>
      <c r="B5" s="348"/>
      <c r="C5" s="3437" t="s">
        <v>1673</v>
      </c>
      <c r="D5" s="3438"/>
      <c r="E5" s="3444" t="s">
        <v>1674</v>
      </c>
      <c r="F5" s="3445"/>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 thickBot="1">
      <c r="A6" s="349"/>
      <c r="B6" s="350"/>
      <c r="C6" s="3451" t="s">
        <v>1919</v>
      </c>
      <c r="D6" s="3452"/>
      <c r="E6" s="3453" t="s">
        <v>1919</v>
      </c>
      <c r="F6" s="3454"/>
      <c r="G6" s="3451" t="s">
        <v>1919</v>
      </c>
      <c r="H6" s="3452"/>
      <c r="I6" s="3451" t="s">
        <v>1919</v>
      </c>
      <c r="J6" s="3452"/>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 thickBot="1">
      <c r="A7" s="351" t="s">
        <v>1679</v>
      </c>
      <c r="B7" s="352"/>
      <c r="C7" s="353">
        <f>'数据-取费表'!B2</f>
        <v>45715</v>
      </c>
      <c r="D7" s="354">
        <v>100</v>
      </c>
      <c r="E7" s="355"/>
      <c r="F7" s="356">
        <f>SUMIF(65:65,YEAR(E7)&amp;"-"&amp;INT((MONTH(E7)+2)/3),66:66)</f>
        <v>0</v>
      </c>
      <c r="G7" s="1820"/>
      <c r="H7" s="354">
        <f>SUMIF(65:65,YEAR(G7)&amp;"-"&amp;INT((MONTH(G7)+2)/3),66:66)</f>
        <v>0</v>
      </c>
      <c r="I7" s="1820"/>
      <c r="J7" s="354">
        <f>SUMIF(65:65,YEAR(I7)&amp;"-"&amp;INT((MONTH(I7)+2)/3),66:66)</f>
        <v>0</v>
      </c>
      <c r="K7" s="37"/>
      <c r="L7" s="2483"/>
      <c r="M7" s="2435"/>
      <c r="N7" s="2435"/>
      <c r="O7" s="2435"/>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3"/>
      <c r="M8" s="2435"/>
      <c r="N8" s="2435"/>
      <c r="O8" s="2435"/>
      <c r="P8" s="3439" t="s">
        <v>1683</v>
      </c>
      <c r="Q8" s="3440"/>
      <c r="R8" s="663" t="s">
        <v>14</v>
      </c>
      <c r="S8" s="664">
        <f t="shared" si="0"/>
        <v>0</v>
      </c>
      <c r="T8" s="663" t="s">
        <v>14</v>
      </c>
      <c r="U8" s="664">
        <f t="shared" si="1"/>
        <v>0</v>
      </c>
      <c r="V8" s="663" t="s">
        <v>14</v>
      </c>
      <c r="W8" s="664">
        <f t="shared" si="2"/>
        <v>0</v>
      </c>
      <c r="X8" s="665"/>
      <c r="Y8" s="3439" t="s">
        <v>1683</v>
      </c>
      <c r="Z8" s="3440"/>
      <c r="AA8" s="49" t="e">
        <f t="shared" ref="AA8:AA40" si="3">D8/F8</f>
        <v>#DIV/0!</v>
      </c>
      <c r="AB8" s="49" t="e">
        <f t="shared" ref="AB8:AB40" si="4">D8/H8</f>
        <v>#DIV/0!</v>
      </c>
      <c r="AC8" s="49" t="e">
        <f t="shared" ref="AC8:AC40" si="5">D8/J8</f>
        <v>#DIV/0!</v>
      </c>
    </row>
    <row r="9" spans="1:29" s="101" customFormat="1" ht="14.4">
      <c r="A9" s="358" t="s">
        <v>1684</v>
      </c>
      <c r="B9" s="59" t="s">
        <v>1685</v>
      </c>
      <c r="C9" s="1823"/>
      <c r="D9" s="58">
        <v>100</v>
      </c>
      <c r="E9" s="1823"/>
      <c r="F9" s="58">
        <f>SUMIF(70:70,E9,71:71)-SUMIF(70:70,C9,71:71)+100</f>
        <v>100</v>
      </c>
      <c r="G9" s="1823"/>
      <c r="H9" s="58">
        <f>SUMIF(70:70,G9,71:71)-SUMIF(70:70,C9,71:71)+100</f>
        <v>100</v>
      </c>
      <c r="I9" s="1823"/>
      <c r="J9" s="58">
        <f>SUMIF(70:70,I9,71:71)-SUMIF(70:70,C9,71:71)+100</f>
        <v>100</v>
      </c>
      <c r="K9" s="37"/>
      <c r="L9" s="2483"/>
      <c r="M9" s="2435"/>
      <c r="N9" s="2435"/>
      <c r="O9" s="2535"/>
      <c r="P9" s="3404" t="s">
        <v>1686</v>
      </c>
      <c r="Q9" s="529" t="str">
        <f t="shared" ref="Q9:Q15" si="6">B9</f>
        <v>用途</v>
      </c>
      <c r="R9" s="663" t="s">
        <v>14</v>
      </c>
      <c r="S9" s="664">
        <f t="shared" si="0"/>
        <v>100</v>
      </c>
      <c r="T9" s="663" t="s">
        <v>14</v>
      </c>
      <c r="U9" s="664">
        <f t="shared" si="1"/>
        <v>100</v>
      </c>
      <c r="V9" s="663" t="s">
        <v>14</v>
      </c>
      <c r="W9" s="664">
        <f t="shared" si="2"/>
        <v>100</v>
      </c>
      <c r="X9" s="665"/>
      <c r="Y9" s="3265"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123</v>
      </c>
      <c r="G10" s="370"/>
      <c r="H10" s="118">
        <f>ROUND(100/'数据-取费表'!G16,0)</f>
        <v>123</v>
      </c>
      <c r="I10" s="370"/>
      <c r="J10" s="118">
        <f>ROUND(100/'数据-取费表'!G16,0)</f>
        <v>123</v>
      </c>
      <c r="K10" s="591"/>
      <c r="L10" s="2484"/>
      <c r="M10" s="2485"/>
      <c r="N10" s="2485"/>
      <c r="O10" s="2536"/>
      <c r="P10" s="3404"/>
      <c r="Q10" s="529" t="str">
        <f t="shared" si="6"/>
        <v>土地使用年限（年）</v>
      </c>
      <c r="R10" s="663" t="s">
        <v>14</v>
      </c>
      <c r="S10" s="664">
        <f t="shared" si="0"/>
        <v>123</v>
      </c>
      <c r="T10" s="663" t="s">
        <v>14</v>
      </c>
      <c r="U10" s="664">
        <f t="shared" si="1"/>
        <v>123</v>
      </c>
      <c r="V10" s="663" t="s">
        <v>14</v>
      </c>
      <c r="W10" s="664">
        <f t="shared" si="2"/>
        <v>123</v>
      </c>
      <c r="X10" s="665"/>
      <c r="Y10" s="3265"/>
      <c r="Z10" s="49" t="str">
        <f t="shared" si="7"/>
        <v>土地使用年限（年）</v>
      </c>
      <c r="AA10" s="49">
        <f t="shared" si="3"/>
        <v>0.81300813008130079</v>
      </c>
      <c r="AB10" s="49">
        <f t="shared" si="4"/>
        <v>0.81300813008130079</v>
      </c>
      <c r="AC10" s="49">
        <f t="shared" si="5"/>
        <v>0.81300813008130079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65"/>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5"/>
      <c r="N12" s="2435"/>
      <c r="O12" s="2535"/>
      <c r="P12" s="3404"/>
      <c r="Q12" s="529">
        <f t="shared" si="6"/>
        <v>111</v>
      </c>
      <c r="R12" s="663" t="s">
        <v>14</v>
      </c>
      <c r="S12" s="664">
        <f t="shared" si="0"/>
        <v>100</v>
      </c>
      <c r="T12" s="663" t="s">
        <v>14</v>
      </c>
      <c r="U12" s="664">
        <f t="shared" si="1"/>
        <v>100</v>
      </c>
      <c r="V12" s="663" t="s">
        <v>14</v>
      </c>
      <c r="W12" s="664">
        <f t="shared" si="2"/>
        <v>100</v>
      </c>
      <c r="X12" s="665"/>
      <c r="Y12" s="3265"/>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65"/>
      <c r="Z13" s="49">
        <f t="shared" si="7"/>
        <v>111</v>
      </c>
      <c r="AA13" s="49">
        <f t="shared" si="3"/>
        <v>1</v>
      </c>
      <c r="AB13" s="49">
        <f t="shared" si="4"/>
        <v>1</v>
      </c>
      <c r="AC13" s="49">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65"/>
      <c r="Z14" s="49">
        <f t="shared" si="7"/>
        <v>111</v>
      </c>
      <c r="AA14" s="49">
        <f t="shared" si="3"/>
        <v>1</v>
      </c>
      <c r="AB14" s="49">
        <f t="shared" si="4"/>
        <v>1</v>
      </c>
      <c r="AC14" s="49">
        <f t="shared" si="5"/>
        <v>1</v>
      </c>
    </row>
    <row r="15" spans="1:29" ht="69">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96.6">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28.8">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7"/>
      <c r="Q19" s="1261" t="str">
        <f t="shared" ref="Q19:Q33" si="8">B19</f>
        <v>区域土地利用方向</v>
      </c>
      <c r="R19" s="666" t="s">
        <v>14</v>
      </c>
      <c r="S19" s="667">
        <f>F19</f>
        <v>100</v>
      </c>
      <c r="T19" s="666" t="s">
        <v>14</v>
      </c>
      <c r="U19" s="667">
        <f>H19</f>
        <v>100</v>
      </c>
      <c r="V19" s="666" t="s">
        <v>14</v>
      </c>
      <c r="W19" s="667">
        <f>J19</f>
        <v>100</v>
      </c>
      <c r="X19" s="1263"/>
      <c r="Y19" s="3407"/>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87"/>
      <c r="M20" s="2482"/>
      <c r="N20" s="2482"/>
      <c r="O20" s="2537"/>
      <c r="P20" s="3407"/>
      <c r="Q20" s="1261"/>
      <c r="R20" s="666"/>
      <c r="S20" s="667"/>
      <c r="T20" s="666"/>
      <c r="U20" s="667"/>
      <c r="V20" s="666"/>
      <c r="W20" s="667"/>
      <c r="X20" s="1263"/>
      <c r="Y20" s="3407"/>
      <c r="Z20" s="1262"/>
      <c r="AA20" s="1262"/>
      <c r="AB20" s="1262"/>
      <c r="AC20" s="1262"/>
    </row>
    <row r="21" spans="1:29" ht="82.8">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7"/>
      <c r="Q21" s="1261" t="str">
        <f t="shared" si="8"/>
        <v>环境状况</v>
      </c>
      <c r="R21" s="666" t="s">
        <v>14</v>
      </c>
      <c r="S21" s="667">
        <f>F21</f>
        <v>100</v>
      </c>
      <c r="T21" s="666" t="s">
        <v>14</v>
      </c>
      <c r="U21" s="667">
        <f>H21</f>
        <v>100</v>
      </c>
      <c r="V21" s="666" t="s">
        <v>14</v>
      </c>
      <c r="W21" s="667">
        <f>J21</f>
        <v>100</v>
      </c>
      <c r="X21" s="1263"/>
      <c r="Y21" s="3407"/>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s="101" customFormat="1" ht="41.4">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5"/>
      <c r="N23" s="2435"/>
      <c r="O23" s="2535"/>
      <c r="P23" s="3407"/>
      <c r="Q23" s="529" t="str">
        <f t="shared" si="8"/>
        <v>公共配套设施</v>
      </c>
      <c r="R23" s="663" t="s">
        <v>14</v>
      </c>
      <c r="S23" s="664">
        <f>F23</f>
        <v>100</v>
      </c>
      <c r="T23" s="663" t="s">
        <v>14</v>
      </c>
      <c r="U23" s="664">
        <f>H23</f>
        <v>100</v>
      </c>
      <c r="V23" s="663" t="s">
        <v>14</v>
      </c>
      <c r="W23" s="664">
        <f>J23</f>
        <v>100</v>
      </c>
      <c r="X23" s="665"/>
      <c r="Y23" s="3407"/>
      <c r="Z23" s="49" t="str">
        <f>Q23</f>
        <v>公共配套设施</v>
      </c>
      <c r="AA23" s="1262">
        <f>D23/F23</f>
        <v>1</v>
      </c>
      <c r="AB23" s="1262">
        <f>D23/H23</f>
        <v>1</v>
      </c>
      <c r="AC23" s="1262">
        <f>D23/J23</f>
        <v>1</v>
      </c>
    </row>
    <row r="24" spans="1:29" s="101" customFormat="1" ht="15">
      <c r="A24" s="442"/>
      <c r="B24" s="400"/>
      <c r="C24" s="1824"/>
      <c r="D24" s="386"/>
      <c r="E24" s="1756"/>
      <c r="F24" s="386"/>
      <c r="G24" s="1756"/>
      <c r="H24" s="386"/>
      <c r="I24" s="385"/>
      <c r="J24" s="386"/>
      <c r="K24" s="591"/>
      <c r="L24" s="2483"/>
      <c r="M24" s="2435"/>
      <c r="N24" s="2435"/>
      <c r="O24" s="2535"/>
      <c r="P24" s="3407"/>
      <c r="Q24" s="529"/>
      <c r="R24" s="663"/>
      <c r="S24" s="664"/>
      <c r="T24" s="663"/>
      <c r="U24" s="664"/>
      <c r="V24" s="663"/>
      <c r="W24" s="664"/>
      <c r="X24" s="665"/>
      <c r="Y24" s="3407"/>
      <c r="Z24" s="49"/>
      <c r="AA24" s="49">
        <v>1</v>
      </c>
      <c r="AB24" s="49">
        <v>1</v>
      </c>
      <c r="AC24" s="49">
        <v>1</v>
      </c>
    </row>
    <row r="25" spans="1:29" s="101" customFormat="1" ht="41.4">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5"/>
      <c r="N25" s="2435"/>
      <c r="O25" s="2535"/>
      <c r="P25" s="3407"/>
      <c r="Q25" s="529" t="str">
        <f t="shared" ref="Q25" si="9">B25</f>
        <v>基础设施水平</v>
      </c>
      <c r="R25" s="663" t="s">
        <v>14</v>
      </c>
      <c r="S25" s="664">
        <f>F25</f>
        <v>100</v>
      </c>
      <c r="T25" s="663" t="s">
        <v>14</v>
      </c>
      <c r="U25" s="664">
        <f>H25</f>
        <v>100</v>
      </c>
      <c r="V25" s="663" t="s">
        <v>14</v>
      </c>
      <c r="W25" s="664">
        <f>J25</f>
        <v>100</v>
      </c>
      <c r="X25" s="665"/>
      <c r="Y25" s="3407"/>
      <c r="Z25" s="49" t="str">
        <f>Q25</f>
        <v>基础设施水平</v>
      </c>
      <c r="AA25" s="1262">
        <f>D25/F25</f>
        <v>1</v>
      </c>
      <c r="AB25" s="1262">
        <f>D25/H25</f>
        <v>1</v>
      </c>
      <c r="AC25" s="1262">
        <f>D25/J25</f>
        <v>1</v>
      </c>
    </row>
    <row r="26" spans="1:29" s="101" customFormat="1" ht="15">
      <c r="A26" s="442"/>
      <c r="B26" s="400"/>
      <c r="C26" s="1824"/>
      <c r="D26" s="386"/>
      <c r="E26" s="1825"/>
      <c r="F26" s="386"/>
      <c r="G26" s="1825"/>
      <c r="H26" s="386"/>
      <c r="I26" s="1825"/>
      <c r="J26" s="386"/>
      <c r="K26" s="591"/>
      <c r="L26" s="2483"/>
      <c r="M26" s="2435"/>
      <c r="N26" s="2435"/>
      <c r="O26" s="2535"/>
      <c r="P26" s="3407"/>
      <c r="Q26" s="529"/>
      <c r="R26" s="663"/>
      <c r="S26" s="664"/>
      <c r="T26" s="663"/>
      <c r="U26" s="664"/>
      <c r="V26" s="663"/>
      <c r="W26" s="664"/>
      <c r="X26" s="665"/>
      <c r="Y26" s="3407"/>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7"/>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07"/>
      <c r="Z27" s="1262" t="str">
        <f t="shared" ref="Z27:Z40" si="13">Q27</f>
        <v>临街状况</v>
      </c>
      <c r="AA27" s="1262">
        <f t="shared" si="3"/>
        <v>1</v>
      </c>
      <c r="AB27" s="1262">
        <f t="shared" si="4"/>
        <v>1</v>
      </c>
      <c r="AC27" s="1262">
        <f t="shared" si="5"/>
        <v>1</v>
      </c>
    </row>
    <row r="28" spans="1:29" ht="28.8">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7"/>
      <c r="Q28" s="1261" t="str">
        <f t="shared" si="8"/>
        <v>毗邻道路的类型与等级</v>
      </c>
      <c r="R28" s="666" t="s">
        <v>14</v>
      </c>
      <c r="S28" s="667">
        <f t="shared" si="10"/>
        <v>100</v>
      </c>
      <c r="T28" s="666" t="s">
        <v>14</v>
      </c>
      <c r="U28" s="667">
        <f t="shared" si="11"/>
        <v>100</v>
      </c>
      <c r="V28" s="666" t="s">
        <v>14</v>
      </c>
      <c r="W28" s="667">
        <f t="shared" si="12"/>
        <v>100</v>
      </c>
      <c r="X28" s="1263"/>
      <c r="Y28" s="3407"/>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87"/>
      <c r="M29" s="2482"/>
      <c r="N29" s="2482"/>
      <c r="O29" s="2537"/>
      <c r="P29" s="3407"/>
      <c r="Q29" s="1261"/>
      <c r="R29" s="666"/>
      <c r="S29" s="667"/>
      <c r="T29" s="666"/>
      <c r="U29" s="667"/>
      <c r="V29" s="666"/>
      <c r="W29" s="667"/>
      <c r="X29" s="1263"/>
      <c r="Y29" s="3407"/>
      <c r="Z29" s="1262"/>
      <c r="AA29" s="1262">
        <v>1</v>
      </c>
      <c r="AB29" s="1262">
        <v>1</v>
      </c>
      <c r="AC29" s="1262">
        <v>1</v>
      </c>
    </row>
    <row r="30" spans="1:29" ht="15">
      <c r="A30" s="366"/>
      <c r="B30" s="118"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7"/>
      <c r="Q30" s="1261" t="str">
        <f t="shared" si="8"/>
        <v>土地级别</v>
      </c>
      <c r="R30" s="666" t="s">
        <v>14</v>
      </c>
      <c r="S30" s="667">
        <f t="shared" si="10"/>
        <v>100</v>
      </c>
      <c r="T30" s="666" t="s">
        <v>14</v>
      </c>
      <c r="U30" s="667">
        <f t="shared" si="11"/>
        <v>100</v>
      </c>
      <c r="V30" s="666" t="s">
        <v>14</v>
      </c>
      <c r="W30" s="667">
        <f t="shared" si="12"/>
        <v>100</v>
      </c>
      <c r="X30" s="1263"/>
      <c r="Y30" s="3407"/>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7"/>
      <c r="Q31" s="1261">
        <f t="shared" si="8"/>
        <v>111</v>
      </c>
      <c r="R31" s="666" t="s">
        <v>14</v>
      </c>
      <c r="S31" s="667">
        <f t="shared" si="10"/>
        <v>100</v>
      </c>
      <c r="T31" s="666" t="s">
        <v>14</v>
      </c>
      <c r="U31" s="667">
        <f t="shared" si="11"/>
        <v>100</v>
      </c>
      <c r="V31" s="666" t="s">
        <v>14</v>
      </c>
      <c r="W31" s="667">
        <f t="shared" si="12"/>
        <v>100</v>
      </c>
      <c r="X31" s="1263"/>
      <c r="Y31" s="3407"/>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46" t="s">
        <v>1696</v>
      </c>
      <c r="Q32" s="1261">
        <f t="shared" si="8"/>
        <v>111</v>
      </c>
      <c r="R32" s="666" t="s">
        <v>14</v>
      </c>
      <c r="S32" s="667">
        <f t="shared" si="10"/>
        <v>100</v>
      </c>
      <c r="T32" s="666" t="s">
        <v>14</v>
      </c>
      <c r="U32" s="667">
        <f t="shared" si="11"/>
        <v>100</v>
      </c>
      <c r="V32" s="666" t="s">
        <v>14</v>
      </c>
      <c r="W32" s="667">
        <f t="shared" si="12"/>
        <v>100</v>
      </c>
      <c r="X32" s="1263"/>
      <c r="Y32" s="3411" t="s">
        <v>1696</v>
      </c>
      <c r="Z32" s="1262">
        <f t="shared" si="13"/>
        <v>111</v>
      </c>
      <c r="AA32" s="1262">
        <f t="shared" si="3"/>
        <v>1</v>
      </c>
      <c r="AB32" s="1262">
        <f t="shared" si="4"/>
        <v>1</v>
      </c>
      <c r="AC32" s="1262">
        <f t="shared" si="5"/>
        <v>1</v>
      </c>
    </row>
    <row r="33" spans="1:31" s="407" customFormat="1" ht="15.6"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1"/>
      <c r="Q33" s="1261">
        <f t="shared" si="8"/>
        <v>111</v>
      </c>
      <c r="R33" s="668" t="s">
        <v>14</v>
      </c>
      <c r="S33" s="669">
        <f t="shared" si="10"/>
        <v>100</v>
      </c>
      <c r="T33" s="668" t="s">
        <v>14</v>
      </c>
      <c r="U33" s="669">
        <f t="shared" si="11"/>
        <v>100</v>
      </c>
      <c r="V33" s="668" t="s">
        <v>14</v>
      </c>
      <c r="W33" s="669">
        <f t="shared" si="12"/>
        <v>100</v>
      </c>
      <c r="X33" s="670"/>
      <c r="Y33" s="3411"/>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1"/>
      <c r="Q34" s="1261" t="str">
        <f>B34</f>
        <v>宗地面积</v>
      </c>
      <c r="R34" s="666" t="s">
        <v>14</v>
      </c>
      <c r="S34" s="667" t="e">
        <f t="shared" si="10"/>
        <v>#N/A</v>
      </c>
      <c r="T34" s="666" t="s">
        <v>14</v>
      </c>
      <c r="U34" s="667" t="e">
        <f t="shared" si="11"/>
        <v>#N/A</v>
      </c>
      <c r="V34" s="666" t="s">
        <v>14</v>
      </c>
      <c r="W34" s="667" t="e">
        <f t="shared" si="12"/>
        <v>#N/A</v>
      </c>
      <c r="X34" s="1263"/>
      <c r="Y34" s="3411"/>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87"/>
      <c r="M35" s="2482"/>
      <c r="N35" s="2482"/>
      <c r="O35" s="2537"/>
      <c r="P35" s="3411"/>
      <c r="Q35" s="1261" t="str">
        <f t="shared" ref="Q35:Q40" si="14">B35</f>
        <v>宗地形状</v>
      </c>
      <c r="R35" s="666" t="s">
        <v>14</v>
      </c>
      <c r="S35" s="667">
        <f t="shared" si="10"/>
        <v>100</v>
      </c>
      <c r="T35" s="666" t="s">
        <v>14</v>
      </c>
      <c r="U35" s="667">
        <f t="shared" si="11"/>
        <v>100</v>
      </c>
      <c r="V35" s="666" t="s">
        <v>14</v>
      </c>
      <c r="W35" s="667">
        <f t="shared" si="12"/>
        <v>100</v>
      </c>
      <c r="X35" s="1263"/>
      <c r="Y35" s="3411"/>
      <c r="Z35" s="1262" t="str">
        <f t="shared" si="13"/>
        <v>宗地形状</v>
      </c>
      <c r="AA35" s="1262">
        <f t="shared" si="3"/>
        <v>1</v>
      </c>
      <c r="AB35" s="1262">
        <f t="shared" si="4"/>
        <v>1</v>
      </c>
      <c r="AC35" s="1262">
        <f t="shared" si="5"/>
        <v>1</v>
      </c>
    </row>
    <row r="36" spans="1:31" s="101"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3"/>
      <c r="M36" s="2435"/>
      <c r="N36" s="2435"/>
      <c r="O36" s="2535"/>
      <c r="P36" s="3411"/>
      <c r="Q36" s="1261" t="str">
        <f t="shared" si="14"/>
        <v>宗地开发程度</v>
      </c>
      <c r="R36" s="663" t="s">
        <v>14</v>
      </c>
      <c r="S36" s="664">
        <f t="shared" si="10"/>
        <v>100</v>
      </c>
      <c r="T36" s="663" t="s">
        <v>14</v>
      </c>
      <c r="U36" s="664">
        <f t="shared" si="11"/>
        <v>100</v>
      </c>
      <c r="V36" s="663" t="s">
        <v>14</v>
      </c>
      <c r="W36" s="664">
        <f t="shared" si="12"/>
        <v>100</v>
      </c>
      <c r="X36" s="665"/>
      <c r="Y36" s="3411"/>
      <c r="Z36" s="49" t="str">
        <f t="shared" si="13"/>
        <v>宗地开发程度</v>
      </c>
      <c r="AA36" s="49">
        <f t="shared" si="3"/>
        <v>1</v>
      </c>
      <c r="AB36" s="49">
        <f t="shared" si="4"/>
        <v>1</v>
      </c>
      <c r="AC36" s="49">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87"/>
      <c r="M37" s="2482"/>
      <c r="N37" s="2482"/>
      <c r="O37" s="2537"/>
      <c r="P37" s="3411" t="s">
        <v>1696</v>
      </c>
      <c r="Q37" s="1261" t="str">
        <f t="shared" si="14"/>
        <v>工程地质条件</v>
      </c>
      <c r="R37" s="666" t="s">
        <v>14</v>
      </c>
      <c r="S37" s="667">
        <f t="shared" si="10"/>
        <v>100</v>
      </c>
      <c r="T37" s="666" t="s">
        <v>14</v>
      </c>
      <c r="U37" s="667">
        <f t="shared" si="11"/>
        <v>100</v>
      </c>
      <c r="V37" s="666" t="s">
        <v>14</v>
      </c>
      <c r="W37" s="667">
        <f t="shared" si="12"/>
        <v>100</v>
      </c>
      <c r="X37" s="1263"/>
      <c r="Y37" s="3411" t="s">
        <v>1696</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1"/>
      <c r="Q38" s="1261">
        <f t="shared" si="14"/>
        <v>111</v>
      </c>
      <c r="R38" s="666" t="s">
        <v>14</v>
      </c>
      <c r="S38" s="667">
        <f t="shared" si="10"/>
        <v>100</v>
      </c>
      <c r="T38" s="666" t="s">
        <v>14</v>
      </c>
      <c r="U38" s="667">
        <f t="shared" si="11"/>
        <v>100</v>
      </c>
      <c r="V38" s="666" t="s">
        <v>14</v>
      </c>
      <c r="W38" s="667">
        <f t="shared" si="12"/>
        <v>100</v>
      </c>
      <c r="X38" s="1263"/>
      <c r="Y38" s="3411"/>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1"/>
      <c r="Q39" s="1261">
        <f t="shared" si="14"/>
        <v>111</v>
      </c>
      <c r="R39" s="666" t="s">
        <v>14</v>
      </c>
      <c r="S39" s="667">
        <f t="shared" si="10"/>
        <v>100</v>
      </c>
      <c r="T39" s="666" t="s">
        <v>14</v>
      </c>
      <c r="U39" s="667">
        <f t="shared" si="11"/>
        <v>100</v>
      </c>
      <c r="V39" s="666" t="s">
        <v>14</v>
      </c>
      <c r="W39" s="667">
        <f t="shared" si="12"/>
        <v>100</v>
      </c>
      <c r="X39" s="1263"/>
      <c r="Y39" s="3411"/>
      <c r="Z39" s="1262">
        <f t="shared" si="13"/>
        <v>111</v>
      </c>
      <c r="AA39" s="1262">
        <f t="shared" si="3"/>
        <v>1</v>
      </c>
      <c r="AB39" s="1262">
        <f t="shared" si="4"/>
        <v>1</v>
      </c>
      <c r="AC39" s="1262">
        <f t="shared" si="5"/>
        <v>1</v>
      </c>
    </row>
    <row r="40" spans="1:31" s="407" customFormat="1" ht="15.6"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1"/>
      <c r="Q40" s="1261">
        <f t="shared" si="14"/>
        <v>111</v>
      </c>
      <c r="R40" s="668" t="s">
        <v>14</v>
      </c>
      <c r="S40" s="669">
        <f t="shared" si="10"/>
        <v>100</v>
      </c>
      <c r="T40" s="668" t="s">
        <v>14</v>
      </c>
      <c r="U40" s="669">
        <f t="shared" si="11"/>
        <v>100</v>
      </c>
      <c r="V40" s="668" t="s">
        <v>14</v>
      </c>
      <c r="W40" s="669">
        <f t="shared" si="12"/>
        <v>100</v>
      </c>
      <c r="X40" s="670"/>
      <c r="Y40" s="3411"/>
      <c r="Z40" s="671">
        <f t="shared" si="13"/>
        <v>111</v>
      </c>
      <c r="AA40" s="1262">
        <f t="shared" si="3"/>
        <v>1</v>
      </c>
      <c r="AB40" s="1262">
        <f t="shared" si="4"/>
        <v>1</v>
      </c>
      <c r="AC40" s="1262">
        <f t="shared" si="5"/>
        <v>1</v>
      </c>
    </row>
    <row r="41" spans="1:31" ht="14.4">
      <c r="A41" s="415" t="s">
        <v>1844</v>
      </c>
      <c r="B41" s="1828" t="s">
        <v>1922</v>
      </c>
      <c r="C41" s="601" t="s">
        <v>0</v>
      </c>
      <c r="D41" s="417"/>
      <c r="E41" s="418"/>
      <c r="F41" s="419"/>
      <c r="G41" s="420"/>
      <c r="H41" s="421"/>
      <c r="I41" s="418"/>
      <c r="J41" s="421"/>
      <c r="K41" s="673"/>
      <c r="L41" s="2489"/>
      <c r="M41" s="2482"/>
      <c r="N41" s="2482"/>
      <c r="O41" s="2482"/>
      <c r="P41" s="3404" t="str">
        <f>A41</f>
        <v>成交单价</v>
      </c>
      <c r="Q41" s="3404"/>
      <c r="R41" s="3405">
        <f>E41</f>
        <v>0</v>
      </c>
      <c r="S41" s="3405"/>
      <c r="T41" s="3405">
        <f>G41</f>
        <v>0</v>
      </c>
      <c r="U41" s="3405"/>
      <c r="V41" s="3405">
        <f>I41</f>
        <v>0</v>
      </c>
      <c r="W41" s="3405"/>
      <c r="X41" s="384"/>
      <c r="Y41" s="672"/>
      <c r="Z41" s="384"/>
      <c r="AA41" s="384"/>
      <c r="AB41" s="384"/>
      <c r="AC41" s="384"/>
    </row>
    <row r="42" spans="1:31" ht="15" thickBot="1">
      <c r="A42" s="422" t="s">
        <v>1793</v>
      </c>
      <c r="B42" s="602"/>
      <c r="C42" s="425" t="e">
        <f>R43</f>
        <v>#DIV/0!</v>
      </c>
      <c r="D42" s="2139" t="s">
        <v>2138</v>
      </c>
      <c r="E42" s="425" t="e">
        <f>R42</f>
        <v>#DIV/0!</v>
      </c>
      <c r="F42" s="2140"/>
      <c r="G42" s="424" t="e">
        <f>T42</f>
        <v>#DIV/0!</v>
      </c>
      <c r="H42" s="2140"/>
      <c r="I42" s="425" t="e">
        <f>V42</f>
        <v>#DIV/0!</v>
      </c>
      <c r="J42" s="2140"/>
      <c r="K42" s="2142">
        <f>F42+H42+J42</f>
        <v>0</v>
      </c>
      <c r="L42" s="2489"/>
      <c r="M42" s="2482"/>
      <c r="N42" s="2482"/>
      <c r="O42" s="2482"/>
      <c r="P42" s="3404" t="str">
        <f>A42</f>
        <v>比较价值（元/平方米）</v>
      </c>
      <c r="Q42" s="3404"/>
      <c r="R42" s="3448" t="e">
        <f>ROUND(PRODUCT(R41,AA7:AA40),0)</f>
        <v>#DIV/0!</v>
      </c>
      <c r="S42" s="3448"/>
      <c r="T42" s="3448" t="e">
        <f>ROUND(PRODUCT(T41,AB7:AB40),0)</f>
        <v>#DIV/0!</v>
      </c>
      <c r="U42" s="3448"/>
      <c r="V42" s="3448" t="e">
        <f>ROUND(PRODUCT(V41,AC7:AC40),0)</f>
        <v>#DIV/0!</v>
      </c>
      <c r="W42" s="3448"/>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89"/>
      <c r="M43" s="2482"/>
      <c r="N43" s="2482"/>
      <c r="O43" s="2482"/>
      <c r="P43" s="3401" t="str">
        <f>A43</f>
        <v>估价对象XX用房的比较价值（楼面单价，元/平方米）</v>
      </c>
      <c r="Q43" s="3402"/>
      <c r="R43" s="3449" t="e">
        <f>ROUND(IF(D42="简单平均",AVERAGE(R42:W42),R42*F42+T42*H42+V42*J42),0)</f>
        <v>#DIV/0!</v>
      </c>
      <c r="S43" s="3449"/>
      <c r="T43" s="3449"/>
      <c r="U43" s="3449"/>
      <c r="V43" s="3449"/>
      <c r="W43" s="3449"/>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3" t="s">
        <v>1881</v>
      </c>
      <c r="B50" s="604" t="s">
        <v>1882</v>
      </c>
      <c r="C50" s="1829" t="s">
        <v>1883</v>
      </c>
      <c r="D50" s="1830" t="s">
        <v>1884</v>
      </c>
      <c r="E50" s="605" t="s">
        <v>1885</v>
      </c>
      <c r="F50" s="606" t="s">
        <v>1886</v>
      </c>
      <c r="G50" s="3419" t="s">
        <v>1887</v>
      </c>
      <c r="H50" s="3450"/>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9">
        <v>1</v>
      </c>
      <c r="E51" s="609">
        <f>'数据-汇总表'!E8+'数据-汇总表'!E9</f>
        <v>79247.164000000004</v>
      </c>
      <c r="F51" s="610" t="e">
        <f t="shared" ref="F51:F60" si="15">ROUND(B51*E51/10000,0)</f>
        <v>#DIV/0!</v>
      </c>
      <c r="G51" s="3415"/>
      <c r="H51" s="340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1891</v>
      </c>
      <c r="B52" s="209" t="e">
        <f>ROUND($C$43*C52*D52,0)</f>
        <v>#DIV/0!</v>
      </c>
      <c r="C52" s="162">
        <f t="shared" ref="C52:C60" si="16">IF($C$50="北京市系数",I52,J52)</f>
        <v>0.6</v>
      </c>
      <c r="D52" s="890">
        <v>0.25</v>
      </c>
      <c r="E52" s="613"/>
      <c r="F52" s="610" t="e">
        <f t="shared" si="15"/>
        <v>#DIV/0!</v>
      </c>
      <c r="G52" s="2745" t="s">
        <v>1892</v>
      </c>
      <c r="H52" s="833" t="str">
        <f>项目基本情况!B37</f>
        <v>七级</v>
      </c>
      <c r="I52" s="726">
        <f>SUMIF(修正!A57:A68,H52,修正!B57:B68)</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1893</v>
      </c>
      <c r="B53" s="209" t="e">
        <f t="shared" ref="B53:B60" si="17">ROUND($C$43*C53*D53,0)</f>
        <v>#DIV/0!</v>
      </c>
      <c r="C53" s="162">
        <f t="shared" si="16"/>
        <v>0.3</v>
      </c>
      <c r="D53" s="890">
        <v>0.25</v>
      </c>
      <c r="E53" s="613"/>
      <c r="F53" s="610" t="e">
        <f t="shared" si="15"/>
        <v>#DIV/0!</v>
      </c>
      <c r="G53" s="2746"/>
      <c r="H53" s="833" t="str">
        <f>项目基本情况!B37</f>
        <v>七级</v>
      </c>
      <c r="I53" s="726">
        <f>SUMIF(修正!A57:A68,H53,修正!C57:C68)</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1894</v>
      </c>
      <c r="B54" s="209" t="e">
        <f t="shared" si="17"/>
        <v>#DIV/0!</v>
      </c>
      <c r="C54" s="162">
        <f t="shared" si="16"/>
        <v>0.25</v>
      </c>
      <c r="D54" s="890">
        <v>0.25</v>
      </c>
      <c r="E54" s="613"/>
      <c r="F54" s="610" t="e">
        <f t="shared" si="15"/>
        <v>#DIV/0!</v>
      </c>
      <c r="G54" s="2746"/>
      <c r="H54" s="833" t="str">
        <f>项目基本情况!B37</f>
        <v>七级</v>
      </c>
      <c r="I54" s="726">
        <f>SUMIF(修正!A57:A68,H54,修正!D57:D68)</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1895</v>
      </c>
      <c r="B56" s="209" t="e">
        <f t="shared" si="17"/>
        <v>#DIV/0!</v>
      </c>
      <c r="C56" s="162">
        <f t="shared" si="16"/>
        <v>0.25</v>
      </c>
      <c r="D56" s="890">
        <v>0.25</v>
      </c>
      <c r="E56" s="208">
        <f>'数据-汇总表'!E11</f>
        <v>0</v>
      </c>
      <c r="F56" s="610" t="e">
        <f t="shared" si="15"/>
        <v>#DIV/0!</v>
      </c>
      <c r="G56" s="1833" t="s">
        <v>1896</v>
      </c>
      <c r="H56" s="833" t="str">
        <f>项目基本情况!C37</f>
        <v>七级</v>
      </c>
      <c r="I56" s="726">
        <f>SUMIF(修正!A57:A68,H56,修正!E57:E68)</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1897</v>
      </c>
      <c r="B57" s="209" t="e">
        <f t="shared" si="17"/>
        <v>#DIV/0!</v>
      </c>
      <c r="C57" s="162">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七级</v>
      </c>
      <c r="I57" s="726">
        <f>SUMIF(修正!A57:A68,H57,修正!F57:F68)</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1901</v>
      </c>
      <c r="B59" s="209" t="e">
        <f t="shared" si="17"/>
        <v>#DIV/0!</v>
      </c>
      <c r="C59" s="162">
        <f t="shared" si="16"/>
        <v>0.15</v>
      </c>
      <c r="D59" s="890">
        <v>0.25</v>
      </c>
      <c r="E59" s="208">
        <f>'数据-汇总表'!E14</f>
        <v>35216.51</v>
      </c>
      <c r="F59" s="610" t="e">
        <f t="shared" si="15"/>
        <v>#DIV/0!</v>
      </c>
      <c r="G59" s="1833" t="s">
        <v>1892</v>
      </c>
      <c r="H59" s="833" t="str">
        <f>项目基本情况!B37</f>
        <v>七级</v>
      </c>
      <c r="I59" s="726">
        <f>SUMIF(修正!A57:A68,H59,修正!G57:G68)</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4.4" thickBot="1">
      <c r="A60" s="612" t="s">
        <v>1902</v>
      </c>
      <c r="B60" s="209" t="e">
        <f t="shared" si="17"/>
        <v>#DIV/0!</v>
      </c>
      <c r="C60" s="162">
        <f t="shared" si="16"/>
        <v>0.15</v>
      </c>
      <c r="D60" s="890">
        <v>0.25</v>
      </c>
      <c r="E60" s="208">
        <f>'数据-汇总表'!E15</f>
        <v>0</v>
      </c>
      <c r="F60" s="610" t="e">
        <f t="shared" si="15"/>
        <v>#DIV/0!</v>
      </c>
      <c r="G60" s="1834" t="s">
        <v>1896</v>
      </c>
      <c r="H60" s="843" t="str">
        <f>项目基本情况!C37</f>
        <v>七级</v>
      </c>
      <c r="I60" s="726">
        <f>SUMIF(修正!A57:A68,H60,修正!G57:G68)</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4.4" thickBot="1">
      <c r="A61" s="614" t="s">
        <v>1903</v>
      </c>
      <c r="B61" s="615" t="s">
        <v>22</v>
      </c>
      <c r="C61" s="615" t="s">
        <v>23</v>
      </c>
      <c r="D61" s="615" t="s">
        <v>392</v>
      </c>
      <c r="E61" s="615">
        <f>IF(B41="楼面地价",SUM(E51:E60),'数据-汇总表'!D3)</f>
        <v>37387.29</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4.4">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3"/>
      <c r="Q67" s="2503"/>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0"/>
      <c r="E68" s="30"/>
      <c r="F68" s="30"/>
      <c r="G68" s="30"/>
      <c r="H68" s="30"/>
      <c r="I68" s="30"/>
      <c r="J68" s="30"/>
      <c r="K68" s="30"/>
      <c r="L68" s="456"/>
      <c r="M68" s="457"/>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4.4" thickBot="1">
      <c r="A69" s="454"/>
      <c r="B69" s="443"/>
      <c r="C69" s="562">
        <v>100</v>
      </c>
      <c r="D69" s="445"/>
      <c r="E69" s="445"/>
      <c r="F69" s="445"/>
      <c r="G69" s="445"/>
      <c r="H69" s="445"/>
      <c r="I69" s="445"/>
      <c r="J69" s="445"/>
      <c r="K69" s="445"/>
      <c r="L69" s="445"/>
      <c r="M69" s="447"/>
      <c r="N69" s="2515"/>
      <c r="O69" s="2515"/>
      <c r="P69" s="2503"/>
      <c r="Q69" s="2503"/>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4.4"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4.4"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4.4"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4.4"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4.4" thickTop="1">
      <c r="A81" s="483"/>
      <c r="B81" s="476">
        <f>B14</f>
        <v>111</v>
      </c>
      <c r="C81" s="30"/>
      <c r="D81" s="30"/>
      <c r="E81" s="30"/>
      <c r="F81" s="30"/>
      <c r="G81" s="30"/>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4.4"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ht="14.4">
      <c r="A83" s="378" t="s">
        <v>1690</v>
      </c>
      <c r="B83" s="459" t="s">
        <v>1829</v>
      </c>
      <c r="C83" s="503" t="s">
        <v>1721</v>
      </c>
      <c r="D83" s="503" t="s">
        <v>1722</v>
      </c>
      <c r="E83" s="503" t="s">
        <v>1723</v>
      </c>
      <c r="F83" s="503" t="s">
        <v>1724</v>
      </c>
      <c r="G83" s="503" t="s">
        <v>1725</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6"/>
      <c r="B85" s="468" t="s">
        <v>1726</v>
      </c>
      <c r="C85" s="508" t="s">
        <v>1721</v>
      </c>
      <c r="D85" s="508" t="s">
        <v>1722</v>
      </c>
      <c r="E85" s="508" t="s">
        <v>1723</v>
      </c>
      <c r="F85" s="508" t="s">
        <v>1724</v>
      </c>
      <c r="G85" s="508" t="s">
        <v>1725</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6"/>
      <c r="B97" s="468" t="s">
        <v>1815</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6"/>
      <c r="B99" s="468" t="s">
        <v>1873</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4.4" thickTop="1">
      <c r="A105" s="405"/>
      <c r="B105" s="522">
        <f>B33</f>
        <v>111</v>
      </c>
      <c r="C105" s="30"/>
      <c r="D105" s="30"/>
      <c r="E105" s="30"/>
      <c r="F105" s="30"/>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4.4"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1914</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1916</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1917</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4.4" thickTop="1">
      <c r="A120" s="405"/>
      <c r="B120" s="468">
        <f>B40</f>
        <v>111</v>
      </c>
      <c r="C120" s="30"/>
      <c r="D120" s="30"/>
      <c r="E120" s="30"/>
      <c r="F120" s="30"/>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4.4"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58" t="s">
        <v>2084</v>
      </c>
      <c r="D1" s="3459"/>
      <c r="E1" s="3459"/>
      <c r="F1" s="3459"/>
      <c r="G1" s="3459"/>
      <c r="H1" s="3459"/>
      <c r="I1" s="3459"/>
      <c r="J1" s="3459"/>
      <c r="K1" s="3459"/>
      <c r="L1" s="3459"/>
      <c r="M1" s="3459"/>
      <c r="N1" s="3459"/>
      <c r="O1" s="3459"/>
      <c r="P1" s="3459"/>
      <c r="Q1" s="3459"/>
      <c r="R1" s="3459"/>
      <c r="S1" s="3460"/>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2095</v>
      </c>
      <c r="E19" s="1251"/>
      <c r="F19" s="1251"/>
      <c r="G19" s="1251"/>
      <c r="H19" s="994"/>
      <c r="I19" s="150"/>
      <c r="J19" s="150"/>
      <c r="K19" s="150"/>
      <c r="L19" s="150"/>
      <c r="M19" s="150"/>
      <c r="N19" s="150"/>
      <c r="O19" s="150"/>
      <c r="P19" s="150"/>
      <c r="Q19" s="150"/>
      <c r="R19" s="150"/>
      <c r="S19" s="120"/>
    </row>
    <row r="20" spans="1:45" ht="16.2"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55" t="s">
        <v>27</v>
      </c>
      <c r="D22" s="3456"/>
      <c r="E22" s="3456"/>
      <c r="F22" s="3456"/>
      <c r="G22" s="3456"/>
      <c r="H22" s="3456"/>
      <c r="I22" s="3456"/>
      <c r="J22" s="3456"/>
      <c r="K22" s="3456"/>
      <c r="L22" s="3456"/>
      <c r="M22" s="3456"/>
      <c r="N22" s="3456"/>
      <c r="O22" s="3456"/>
      <c r="P22" s="3456"/>
      <c r="Q22" s="3457"/>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2081</v>
      </c>
      <c r="B1" s="4"/>
      <c r="C1" s="4"/>
      <c r="D1" s="4"/>
      <c r="E1" s="4"/>
      <c r="F1" s="2539"/>
      <c r="G1" s="2539"/>
      <c r="H1" s="2539"/>
      <c r="I1" s="2539"/>
      <c r="J1" s="2539"/>
      <c r="K1" s="2539"/>
      <c r="L1" s="2539"/>
      <c r="M1" s="2539"/>
      <c r="N1" s="2539"/>
      <c r="O1" s="2539"/>
      <c r="P1" s="2539"/>
    </row>
    <row r="2" spans="1:16" ht="15.6">
      <c r="A2" s="1982" t="s">
        <v>2073</v>
      </c>
      <c r="B2" s="2383">
        <f ca="1">SUMIF(B6:B13,"&lt;&gt;#ref!",B6:B13)</f>
        <v>93300</v>
      </c>
      <c r="C2" s="1982" t="s">
        <v>2074</v>
      </c>
      <c r="D2" s="1982" t="s">
        <v>2075</v>
      </c>
      <c r="E2" s="2393">
        <f ca="1">SUMIF(E6:E13,"&lt;&gt;#ref!",E6:E13)</f>
        <v>56595.915999999997</v>
      </c>
      <c r="F2" s="2539"/>
      <c r="G2" s="2539"/>
      <c r="H2" s="2539"/>
      <c r="I2" s="2539"/>
      <c r="J2" s="2539"/>
      <c r="K2" s="2539"/>
      <c r="L2" s="2539"/>
      <c r="M2" s="2539"/>
      <c r="N2" s="2539"/>
      <c r="O2" s="2539"/>
      <c r="P2" s="2539"/>
    </row>
    <row r="3" spans="1:16" ht="15.6">
      <c r="A3" s="1982" t="s">
        <v>2076</v>
      </c>
      <c r="B3" s="2383">
        <f ca="1">ROUND(B2*10000/E2,0)</f>
        <v>16485</v>
      </c>
      <c r="C3" s="1982"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3"/>
      <c r="D5" s="2539"/>
      <c r="E5" s="2392" t="s">
        <v>2079</v>
      </c>
      <c r="F5" s="2539"/>
      <c r="G5" s="2539"/>
      <c r="H5" s="2539"/>
      <c r="I5" s="2539"/>
      <c r="J5" s="2539"/>
      <c r="K5" s="2539"/>
      <c r="L5" s="2539"/>
      <c r="M5" s="2539"/>
      <c r="N5" s="2539"/>
      <c r="O5" s="2539"/>
      <c r="P5" s="2539"/>
    </row>
    <row r="6" spans="1:16" ht="15.6">
      <c r="A6" s="2390" t="s">
        <v>2080</v>
      </c>
      <c r="B6" s="2383">
        <f ca="1">SUMIF(INDIRECT("'"&amp;A6&amp;"'"&amp;"!A:A"),"总价",INDIRECT("'"&amp;A6&amp;"'"&amp;"!B:B"))</f>
        <v>93300</v>
      </c>
      <c r="C6" s="1982" t="s">
        <v>2074</v>
      </c>
      <c r="D6" s="2539"/>
      <c r="E6" s="2393">
        <f ca="1">SUMIF(INDIRECT("'"&amp;A6&amp;"'"&amp;"!C:C"),"建筑面积",INDIRECT("'"&amp;A6&amp;"'"&amp;"!D:D"))</f>
        <v>56595.915999999997</v>
      </c>
      <c r="F6" s="2539"/>
      <c r="G6" s="2539"/>
      <c r="H6" s="2539"/>
      <c r="I6" s="2539"/>
      <c r="J6" s="2539"/>
      <c r="K6" s="2539"/>
      <c r="L6" s="2539"/>
      <c r="M6" s="2539"/>
      <c r="N6" s="2539"/>
      <c r="O6" s="2539"/>
      <c r="P6" s="2539"/>
    </row>
    <row r="7" spans="1:16" ht="15.6">
      <c r="A7" s="2390"/>
      <c r="B7" s="2383" t="e">
        <f ca="1">SUMIF(INDIRECT("'"&amp;A7&amp;"'"&amp;"!A:A"),"总价",INDIRECT("'"&amp;A7&amp;"'"&amp;"!B:B"))</f>
        <v>#REF!</v>
      </c>
      <c r="C7" s="1982"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2"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2"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2"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2"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2"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2"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1810</v>
      </c>
      <c r="C1" s="1139" t="s">
        <v>1662</v>
      </c>
      <c r="D1" s="1140" t="s">
        <v>21</v>
      </c>
      <c r="E1" s="3126" t="s">
        <v>3419</v>
      </c>
      <c r="F1" s="1733" t="s">
        <v>3420</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19816</v>
      </c>
      <c r="C3" s="343" t="s">
        <v>1768</v>
      </c>
      <c r="D3" s="342">
        <f>IF(D1="",'数据-汇总表'!E3,SUMIF('数据-汇总表'!$C19:$C33,D1,'数据-汇总表'!$E19:$E33))</f>
        <v>0</v>
      </c>
      <c r="E3" s="1803"/>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67" t="s">
        <v>1775</v>
      </c>
      <c r="Q4" s="3468"/>
      <c r="R4" s="3471" t="s">
        <v>1771</v>
      </c>
      <c r="S4" s="3472"/>
      <c r="T4" s="3471" t="s">
        <v>1772</v>
      </c>
      <c r="U4" s="3472"/>
      <c r="V4" s="3473" t="s">
        <v>1773</v>
      </c>
      <c r="W4" s="3473"/>
      <c r="X4" s="1807"/>
      <c r="Y4" s="3471" t="s">
        <v>1775</v>
      </c>
      <c r="Z4" s="3472"/>
      <c r="AA4" s="3479" t="s">
        <v>1771</v>
      </c>
      <c r="AB4" s="3479" t="s">
        <v>1772</v>
      </c>
      <c r="AC4" s="3464" t="s">
        <v>1773</v>
      </c>
    </row>
    <row r="5" spans="1:29" ht="13.95" customHeight="1">
      <c r="A5" s="347"/>
      <c r="B5" s="348"/>
      <c r="C5" s="3477" t="s">
        <v>3468</v>
      </c>
      <c r="D5" s="3478"/>
      <c r="E5" s="3477" t="s">
        <v>3468</v>
      </c>
      <c r="F5" s="3478"/>
      <c r="G5" s="3474" t="s">
        <v>3470</v>
      </c>
      <c r="H5" s="3475"/>
      <c r="I5" s="3474" t="s">
        <v>3471</v>
      </c>
      <c r="J5" s="3475"/>
      <c r="K5" s="536"/>
      <c r="L5" s="2481"/>
      <c r="M5" s="2482"/>
      <c r="N5" s="2482"/>
      <c r="O5" s="2482"/>
      <c r="P5" s="3469"/>
      <c r="Q5" s="3426"/>
      <c r="R5" s="3431"/>
      <c r="S5" s="3432"/>
      <c r="T5" s="3431"/>
      <c r="U5" s="3432"/>
      <c r="V5" s="3405"/>
      <c r="W5" s="3405"/>
      <c r="X5" s="1263"/>
      <c r="Y5" s="3431"/>
      <c r="Z5" s="3432"/>
      <c r="AA5" s="3417"/>
      <c r="AB5" s="3417"/>
      <c r="AC5" s="3465"/>
    </row>
    <row r="6" spans="1:29" ht="15" thickBot="1">
      <c r="A6" s="349"/>
      <c r="B6" s="350"/>
      <c r="C6" s="3435" t="s">
        <v>1677</v>
      </c>
      <c r="D6" s="3436"/>
      <c r="E6" s="3442" t="s">
        <v>1677</v>
      </c>
      <c r="F6" s="3443"/>
      <c r="G6" s="3435" t="s">
        <v>1677</v>
      </c>
      <c r="H6" s="3436"/>
      <c r="I6" s="3435" t="s">
        <v>1677</v>
      </c>
      <c r="J6" s="3436"/>
      <c r="K6" s="536" t="s">
        <v>1678</v>
      </c>
      <c r="L6" s="2481"/>
      <c r="M6" s="2482"/>
      <c r="N6" s="2482"/>
      <c r="O6" s="2482"/>
      <c r="P6" s="3470"/>
      <c r="Q6" s="3428"/>
      <c r="R6" s="3431"/>
      <c r="S6" s="3432"/>
      <c r="T6" s="3433"/>
      <c r="U6" s="3434"/>
      <c r="V6" s="3405"/>
      <c r="W6" s="3405"/>
      <c r="X6" s="1263"/>
      <c r="Y6" s="3433"/>
      <c r="Z6" s="3434"/>
      <c r="AA6" s="3418"/>
      <c r="AB6" s="3418"/>
      <c r="AC6" s="3466"/>
    </row>
    <row r="7" spans="1:29" s="101" customFormat="1" ht="15" thickBot="1">
      <c r="A7" s="351" t="s">
        <v>1679</v>
      </c>
      <c r="B7" s="352"/>
      <c r="C7" s="353">
        <f>'数据-取费表'!B2</f>
        <v>45715</v>
      </c>
      <c r="D7" s="354">
        <v>100</v>
      </c>
      <c r="E7" s="355">
        <f>C7</f>
        <v>45715</v>
      </c>
      <c r="F7" s="356">
        <f>SUMIF(59:59,YEAR(E7)&amp;"-"&amp;MONTH(E7),60:60)</f>
        <v>100</v>
      </c>
      <c r="G7" s="355">
        <f>C7</f>
        <v>45715</v>
      </c>
      <c r="H7" s="354">
        <f>SUMIF(59:59,YEAR(G7)&amp;"-"&amp;MONTH(G7),60:60)</f>
        <v>100</v>
      </c>
      <c r="I7" s="355">
        <f>G7</f>
        <v>45715</v>
      </c>
      <c r="J7" s="354">
        <f>SUMIF(59:59,YEAR(I7)&amp;"-"&amp;MONTH(I7),60:60)</f>
        <v>100</v>
      </c>
      <c r="K7" s="37"/>
      <c r="L7" s="2483"/>
      <c r="M7" s="2435"/>
      <c r="N7" s="2435"/>
      <c r="O7" s="2435"/>
      <c r="P7" s="3476" t="s">
        <v>1680</v>
      </c>
      <c r="Q7" s="3441"/>
      <c r="R7" s="663" t="s">
        <v>14</v>
      </c>
      <c r="S7" s="664">
        <f t="shared" ref="S7:S15" si="0">F7</f>
        <v>100</v>
      </c>
      <c r="T7" s="663" t="s">
        <v>14</v>
      </c>
      <c r="U7" s="664">
        <f t="shared" ref="U7:U15" si="1">H7</f>
        <v>100</v>
      </c>
      <c r="V7" s="663" t="s">
        <v>14</v>
      </c>
      <c r="W7" s="664">
        <f t="shared" ref="W7:W15" si="2">J7</f>
        <v>100</v>
      </c>
      <c r="X7" s="665"/>
      <c r="Y7" s="3439" t="s">
        <v>1680</v>
      </c>
      <c r="Z7" s="3440"/>
      <c r="AA7" s="49">
        <f>D7/F7</f>
        <v>1</v>
      </c>
      <c r="AB7" s="49">
        <f>D7/H7</f>
        <v>1</v>
      </c>
      <c r="AC7" s="801">
        <f>D7/J7</f>
        <v>1</v>
      </c>
    </row>
    <row r="8" spans="1:29" s="101" customFormat="1" ht="15" thickBot="1">
      <c r="A8" s="351" t="s">
        <v>1681</v>
      </c>
      <c r="B8" s="352"/>
      <c r="C8" s="357" t="s">
        <v>3421</v>
      </c>
      <c r="D8" s="354">
        <v>100</v>
      </c>
      <c r="E8" s="357" t="s">
        <v>3431</v>
      </c>
      <c r="F8" s="356">
        <f>SUMIF(62:62,E8,63:63)-SUMIF(62:62,C8,63:63)+100</f>
        <v>102</v>
      </c>
      <c r="G8" s="357" t="s">
        <v>3431</v>
      </c>
      <c r="H8" s="354">
        <f>SUMIF(62:62,G8,63:63)-SUMIF(62:62,C8,63:63)+100</f>
        <v>102</v>
      </c>
      <c r="I8" s="357" t="s">
        <v>3431</v>
      </c>
      <c r="J8" s="354">
        <f>SUMIF(62:62,I8,63:63)-SUMIF(62:62,C8,63:63)+100</f>
        <v>102</v>
      </c>
      <c r="K8" s="37"/>
      <c r="L8" s="2483"/>
      <c r="M8" s="2435"/>
      <c r="N8" s="2435"/>
      <c r="O8" s="2435"/>
      <c r="P8" s="3476" t="s">
        <v>1683</v>
      </c>
      <c r="Q8" s="3440"/>
      <c r="R8" s="663" t="s">
        <v>14</v>
      </c>
      <c r="S8" s="664">
        <f t="shared" si="0"/>
        <v>102</v>
      </c>
      <c r="T8" s="663" t="s">
        <v>14</v>
      </c>
      <c r="U8" s="664">
        <f t="shared" si="1"/>
        <v>102</v>
      </c>
      <c r="V8" s="663" t="s">
        <v>14</v>
      </c>
      <c r="W8" s="664">
        <f t="shared" si="2"/>
        <v>102</v>
      </c>
      <c r="X8" s="665"/>
      <c r="Y8" s="3439" t="s">
        <v>1683</v>
      </c>
      <c r="Z8" s="3440"/>
      <c r="AA8" s="49">
        <f t="shared" ref="AA8:AA47" si="3">D8/F8</f>
        <v>0.98039215686274506</v>
      </c>
      <c r="AB8" s="49">
        <f t="shared" ref="AB8:AB47" si="4">D8/H8</f>
        <v>0.98039215686274506</v>
      </c>
      <c r="AC8" s="801">
        <f t="shared" ref="AC8:AC47" si="5">D8/J8</f>
        <v>0.98039215686274506</v>
      </c>
    </row>
    <row r="9" spans="1:29" s="101" customFormat="1" ht="15" thickBot="1">
      <c r="A9" s="358" t="s">
        <v>1684</v>
      </c>
      <c r="B9" s="59" t="s">
        <v>1685</v>
      </c>
      <c r="C9" s="3150" t="s">
        <v>3422</v>
      </c>
      <c r="D9" s="58">
        <v>100</v>
      </c>
      <c r="E9" s="361" t="s">
        <v>21</v>
      </c>
      <c r="F9" s="58">
        <f>SUMIF(64:64,E9,65:65)-SUMIF(64:64,C9,65:65)+100</f>
        <v>100</v>
      </c>
      <c r="G9" s="360" t="s">
        <v>21</v>
      </c>
      <c r="H9" s="58">
        <f>SUMIF(64:64,G9,65:65)-SUMIF(64:64,C9,65:65)+100</f>
        <v>100</v>
      </c>
      <c r="I9" s="360" t="s">
        <v>21</v>
      </c>
      <c r="J9" s="58">
        <f>SUMIF(64:64,I9,65:65)-SUMIF(64:64,C9,65:65)+100</f>
        <v>100</v>
      </c>
      <c r="K9" s="37"/>
      <c r="L9" s="2483"/>
      <c r="M9" s="2435"/>
      <c r="N9" s="2435"/>
      <c r="O9" s="2435"/>
      <c r="P9" s="3415" t="s">
        <v>1686</v>
      </c>
      <c r="Q9" s="529" t="str">
        <f t="shared" ref="Q9:Q15" si="6">B9</f>
        <v>用途</v>
      </c>
      <c r="R9" s="663" t="s">
        <v>14</v>
      </c>
      <c r="S9" s="664">
        <f t="shared" si="0"/>
        <v>100</v>
      </c>
      <c r="T9" s="663" t="s">
        <v>14</v>
      </c>
      <c r="U9" s="664">
        <f t="shared" si="1"/>
        <v>100</v>
      </c>
      <c r="V9" s="663" t="s">
        <v>14</v>
      </c>
      <c r="W9" s="664">
        <f t="shared" si="2"/>
        <v>100</v>
      </c>
      <c r="X9" s="665"/>
      <c r="Y9" s="3265" t="s">
        <v>1687</v>
      </c>
      <c r="Z9" s="49" t="str">
        <f t="shared" ref="Z9:Z15" si="7">Q9</f>
        <v>用途</v>
      </c>
      <c r="AA9" s="49">
        <f t="shared" si="3"/>
        <v>1</v>
      </c>
      <c r="AB9" s="49">
        <f t="shared" si="4"/>
        <v>1</v>
      </c>
      <c r="AC9" s="801">
        <f t="shared" si="5"/>
        <v>1</v>
      </c>
    </row>
    <row r="10" spans="1:29" s="365" customFormat="1" ht="29.4" thickTop="1">
      <c r="A10" s="362"/>
      <c r="B10" s="363" t="s">
        <v>1688</v>
      </c>
      <c r="C10" s="512" t="s">
        <v>3428</v>
      </c>
      <c r="D10" s="118">
        <v>100</v>
      </c>
      <c r="E10" s="512" t="s">
        <v>3428</v>
      </c>
      <c r="F10" s="118">
        <f>SUMIF(66:66,E10,67:67)-SUMIF(66:66,C10,67:67)+100</f>
        <v>100</v>
      </c>
      <c r="G10" s="512" t="s">
        <v>3428</v>
      </c>
      <c r="H10" s="118">
        <f>SUMIF(66:66,G10,67:67)-SUMIF(66:66,C10,67:67)+100</f>
        <v>100</v>
      </c>
      <c r="I10" s="512" t="s">
        <v>3428</v>
      </c>
      <c r="J10" s="118">
        <f>SUMIF(66:66,I10,67:67)-SUMIF(66:66,C10,67:67)+100</f>
        <v>100</v>
      </c>
      <c r="K10" s="37"/>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65"/>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5"/>
      <c r="Q11" s="529" t="str">
        <f t="shared" si="6"/>
        <v>容积率</v>
      </c>
      <c r="R11" s="663" t="s">
        <v>14</v>
      </c>
      <c r="S11" s="664">
        <f t="shared" si="0"/>
        <v>100</v>
      </c>
      <c r="T11" s="663" t="s">
        <v>14</v>
      </c>
      <c r="U11" s="664">
        <f t="shared" si="1"/>
        <v>100</v>
      </c>
      <c r="V11" s="663" t="s">
        <v>14</v>
      </c>
      <c r="W11" s="664">
        <f t="shared" si="2"/>
        <v>100</v>
      </c>
      <c r="X11" s="665"/>
      <c r="Y11" s="3265"/>
      <c r="Z11" s="49" t="str">
        <f t="shared" si="7"/>
        <v>容积率</v>
      </c>
      <c r="AA11" s="49">
        <f t="shared" si="3"/>
        <v>1</v>
      </c>
      <c r="AB11" s="49">
        <f t="shared" si="4"/>
        <v>1</v>
      </c>
      <c r="AC11" s="801">
        <f t="shared" si="5"/>
        <v>1</v>
      </c>
    </row>
    <row r="12" spans="1:29" s="101" customFormat="1" ht="15">
      <c r="A12" s="369"/>
      <c r="B12" s="446">
        <v>111</v>
      </c>
      <c r="C12" s="370">
        <v>2005</v>
      </c>
      <c r="D12" s="371">
        <v>100</v>
      </c>
      <c r="E12" s="370">
        <v>2005</v>
      </c>
      <c r="F12" s="118">
        <f>SUMIF(71:71,E12,72:72)-SUMIF(71:71,C12,72:72)+100</f>
        <v>100</v>
      </c>
      <c r="G12" s="1808">
        <v>2006</v>
      </c>
      <c r="H12" s="118">
        <f>SUMIF(71:71,G12,72:72)-SUMIF(71:71,C12,72:72)+100</f>
        <v>100</v>
      </c>
      <c r="I12" s="370">
        <v>2005</v>
      </c>
      <c r="J12" s="118">
        <f>SUMIF(71:71,I12,72:72)-SUMIF(71:71,C12,72:72)+100</f>
        <v>100</v>
      </c>
      <c r="K12" s="538"/>
      <c r="L12" s="2483"/>
      <c r="M12" s="2435"/>
      <c r="N12" s="2435"/>
      <c r="O12" s="2435"/>
      <c r="P12" s="3415"/>
      <c r="Q12" s="529">
        <f t="shared" si="6"/>
        <v>111</v>
      </c>
      <c r="R12" s="663" t="s">
        <v>14</v>
      </c>
      <c r="S12" s="664">
        <f t="shared" si="0"/>
        <v>100</v>
      </c>
      <c r="T12" s="663" t="s">
        <v>14</v>
      </c>
      <c r="U12" s="664">
        <f t="shared" si="1"/>
        <v>100</v>
      </c>
      <c r="V12" s="663" t="s">
        <v>14</v>
      </c>
      <c r="W12" s="664">
        <f t="shared" si="2"/>
        <v>100</v>
      </c>
      <c r="X12" s="665"/>
      <c r="Y12" s="3265"/>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65"/>
      <c r="Z13" s="49">
        <f t="shared" si="7"/>
        <v>111</v>
      </c>
      <c r="AA13" s="49">
        <f t="shared" si="3"/>
        <v>1</v>
      </c>
      <c r="AB13" s="49">
        <f t="shared" si="4"/>
        <v>1</v>
      </c>
      <c r="AC13" s="801">
        <f t="shared" si="5"/>
        <v>1</v>
      </c>
    </row>
    <row r="14" spans="1:29" ht="15.6"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65"/>
      <c r="Z14" s="49">
        <f t="shared" si="7"/>
        <v>111</v>
      </c>
      <c r="AA14" s="49">
        <f t="shared" si="3"/>
        <v>1</v>
      </c>
      <c r="AB14" s="49">
        <f t="shared" si="4"/>
        <v>1</v>
      </c>
      <c r="AC14" s="801">
        <f t="shared" si="5"/>
        <v>1</v>
      </c>
    </row>
    <row r="15" spans="1:29" ht="124.2">
      <c r="A15" s="378" t="s">
        <v>1690</v>
      </c>
      <c r="B15" s="553" t="s">
        <v>1811</v>
      </c>
      <c r="C15" s="1809"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7"/>
      <c r="M15" s="2482"/>
      <c r="N15" s="2482"/>
      <c r="O15" s="2482"/>
      <c r="P15" s="3413" t="s">
        <v>1691</v>
      </c>
      <c r="Q15" s="1261" t="str">
        <f t="shared" si="6"/>
        <v>办公集聚程度</v>
      </c>
      <c r="R15" s="666" t="s">
        <v>14</v>
      </c>
      <c r="S15" s="667">
        <f t="shared" si="0"/>
        <v>100</v>
      </c>
      <c r="T15" s="666" t="s">
        <v>14</v>
      </c>
      <c r="U15" s="667">
        <f t="shared" si="1"/>
        <v>100</v>
      </c>
      <c r="V15" s="666" t="s">
        <v>14</v>
      </c>
      <c r="W15" s="667">
        <f t="shared" si="2"/>
        <v>100</v>
      </c>
      <c r="X15" s="1263"/>
      <c r="Y15" s="3406" t="s">
        <v>1691</v>
      </c>
      <c r="Z15" s="1262" t="str">
        <f t="shared" si="7"/>
        <v>办公集聚程度</v>
      </c>
      <c r="AA15" s="1262">
        <f t="shared" si="3"/>
        <v>1</v>
      </c>
      <c r="AB15" s="1262">
        <f t="shared" si="4"/>
        <v>1</v>
      </c>
      <c r="AC15" s="1810">
        <f t="shared" si="5"/>
        <v>1</v>
      </c>
    </row>
    <row r="16" spans="1:29" ht="15">
      <c r="A16" s="366"/>
      <c r="B16" s="554"/>
      <c r="C16" s="1756" t="s">
        <v>3412</v>
      </c>
      <c r="D16" s="386"/>
      <c r="E16" s="1756" t="s">
        <v>3412</v>
      </c>
      <c r="F16" s="386"/>
      <c r="G16" s="1756" t="s">
        <v>3412</v>
      </c>
      <c r="H16" s="388"/>
      <c r="I16" s="1756" t="s">
        <v>3412</v>
      </c>
      <c r="J16" s="386"/>
      <c r="K16" s="540"/>
      <c r="L16" s="2487"/>
      <c r="M16" s="2482"/>
      <c r="N16" s="2482"/>
      <c r="O16" s="2482"/>
      <c r="P16" s="3414"/>
      <c r="Q16" s="1261"/>
      <c r="R16" s="666"/>
      <c r="S16" s="667"/>
      <c r="T16" s="666"/>
      <c r="U16" s="667"/>
      <c r="V16" s="666"/>
      <c r="W16" s="667"/>
      <c r="X16" s="1263"/>
      <c r="Y16" s="3407"/>
      <c r="Z16" s="1262"/>
      <c r="AA16" s="1262">
        <v>1</v>
      </c>
      <c r="AB16" s="1262">
        <v>1</v>
      </c>
      <c r="AC16" s="1810">
        <v>1</v>
      </c>
    </row>
    <row r="17" spans="1:29" ht="96.6">
      <c r="A17" s="366"/>
      <c r="B17" s="555" t="s">
        <v>1259</v>
      </c>
      <c r="C17" s="1811"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810">
        <f t="shared" si="5"/>
        <v>1</v>
      </c>
    </row>
    <row r="18" spans="1:29" ht="15">
      <c r="A18" s="366"/>
      <c r="B18" s="400"/>
      <c r="C18" s="1812" t="s">
        <v>3412</v>
      </c>
      <c r="D18" s="388"/>
      <c r="E18" s="1754" t="s">
        <v>3412</v>
      </c>
      <c r="F18" s="388"/>
      <c r="G18" s="1755" t="s">
        <v>3412</v>
      </c>
      <c r="H18" s="386"/>
      <c r="I18" s="1755" t="s">
        <v>3412</v>
      </c>
      <c r="J18" s="386"/>
      <c r="K18" s="540"/>
      <c r="L18" s="2487"/>
      <c r="M18" s="2482"/>
      <c r="N18" s="2482"/>
      <c r="O18" s="2482"/>
      <c r="P18" s="3414"/>
      <c r="Q18" s="1261"/>
      <c r="R18" s="666"/>
      <c r="S18" s="667"/>
      <c r="T18" s="666"/>
      <c r="U18" s="667"/>
      <c r="V18" s="666"/>
      <c r="W18" s="667"/>
      <c r="X18" s="1263"/>
      <c r="Y18" s="3407"/>
      <c r="Z18" s="1262"/>
      <c r="AA18" s="1262">
        <v>1</v>
      </c>
      <c r="AB18" s="1262">
        <v>1</v>
      </c>
      <c r="AC18" s="1810">
        <v>1</v>
      </c>
    </row>
    <row r="19" spans="1:29" ht="82.8">
      <c r="A19" s="366"/>
      <c r="B19" s="555" t="s">
        <v>1812</v>
      </c>
      <c r="C19" s="1811"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100</v>
      </c>
      <c r="I19" s="395"/>
      <c r="J19" s="388">
        <f>SUMIF(81:81,I20,82:82)-SUMIF(81:81,C20,82:82)+100</f>
        <v>100</v>
      </c>
      <c r="K19" s="539">
        <v>2</v>
      </c>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810">
        <f t="shared" si="5"/>
        <v>1</v>
      </c>
    </row>
    <row r="20" spans="1:29" ht="15">
      <c r="A20" s="366"/>
      <c r="B20" s="400"/>
      <c r="C20" s="1756" t="s">
        <v>3412</v>
      </c>
      <c r="D20" s="386"/>
      <c r="E20" s="1749" t="s">
        <v>3412</v>
      </c>
      <c r="F20" s="386"/>
      <c r="G20" s="1750" t="s">
        <v>3412</v>
      </c>
      <c r="H20" s="386"/>
      <c r="I20" s="1750" t="s">
        <v>3412</v>
      </c>
      <c r="J20" s="386"/>
      <c r="K20" s="540"/>
      <c r="L20" s="2487"/>
      <c r="M20" s="2482"/>
      <c r="N20" s="2482"/>
      <c r="O20" s="2482"/>
      <c r="P20" s="3414"/>
      <c r="Q20" s="1261"/>
      <c r="R20" s="666"/>
      <c r="S20" s="667"/>
      <c r="T20" s="666"/>
      <c r="U20" s="667"/>
      <c r="V20" s="666"/>
      <c r="W20" s="667"/>
      <c r="X20" s="1263"/>
      <c r="Y20" s="3407"/>
      <c r="Z20" s="1262"/>
      <c r="AA20" s="1262">
        <v>1</v>
      </c>
      <c r="AB20" s="1262">
        <v>1</v>
      </c>
      <c r="AC20" s="1810">
        <v>1</v>
      </c>
    </row>
    <row r="21" spans="1:29" ht="41.4">
      <c r="A21" s="366"/>
      <c r="B21" s="556" t="s">
        <v>1813</v>
      </c>
      <c r="C21" s="1811"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 t="shared" ref="AA21" si="8">D21/F21</f>
        <v>1</v>
      </c>
      <c r="AB21" s="1262">
        <f t="shared" ref="AB21" si="9">D21/H21</f>
        <v>1</v>
      </c>
      <c r="AC21" s="1810">
        <f t="shared" ref="AC21" si="10">D21/J21</f>
        <v>1</v>
      </c>
    </row>
    <row r="22" spans="1:29" ht="15">
      <c r="A22" s="366"/>
      <c r="B22" s="556"/>
      <c r="C22" s="1812" t="s">
        <v>3433</v>
      </c>
      <c r="D22" s="386"/>
      <c r="E22" s="385" t="s">
        <v>3433</v>
      </c>
      <c r="F22" s="386"/>
      <c r="G22" s="1756" t="s">
        <v>3433</v>
      </c>
      <c r="H22" s="386"/>
      <c r="I22" s="1756" t="s">
        <v>3433</v>
      </c>
      <c r="J22" s="386"/>
      <c r="K22" s="1062"/>
      <c r="L22" s="2487"/>
      <c r="M22" s="2482"/>
      <c r="N22" s="2482"/>
      <c r="O22" s="2482"/>
      <c r="P22" s="3414"/>
      <c r="Q22" s="1261"/>
      <c r="R22" s="666"/>
      <c r="S22" s="667"/>
      <c r="T22" s="666"/>
      <c r="U22" s="667"/>
      <c r="V22" s="666"/>
      <c r="W22" s="667"/>
      <c r="X22" s="1263"/>
      <c r="Y22" s="3407"/>
      <c r="Z22" s="1262"/>
      <c r="AA22" s="1262">
        <v>1</v>
      </c>
      <c r="AB22" s="1262">
        <v>1</v>
      </c>
      <c r="AC22" s="1810">
        <v>1</v>
      </c>
    </row>
    <row r="23" spans="1:29" ht="82.8">
      <c r="A23" s="366"/>
      <c r="B23" s="555" t="s">
        <v>1814</v>
      </c>
      <c r="C23" s="1811"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100</v>
      </c>
      <c r="I23" s="390"/>
      <c r="J23" s="388">
        <f>SUMIF(85:85,I24,86:86)-SUMIF(85:85,C24,86:86)+100</f>
        <v>100</v>
      </c>
      <c r="K23" s="539">
        <v>2</v>
      </c>
      <c r="L23" s="2487"/>
      <c r="M23" s="2482"/>
      <c r="N23" s="2482"/>
      <c r="O23" s="2482"/>
      <c r="P23" s="3414"/>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810">
        <f t="shared" si="5"/>
        <v>1</v>
      </c>
    </row>
    <row r="24" spans="1:29" ht="15">
      <c r="A24" s="366"/>
      <c r="B24" s="556"/>
      <c r="C24" s="1756" t="s">
        <v>3412</v>
      </c>
      <c r="D24" s="386"/>
      <c r="E24" s="1749" t="s">
        <v>3412</v>
      </c>
      <c r="F24" s="386"/>
      <c r="G24" s="1750" t="s">
        <v>3412</v>
      </c>
      <c r="H24" s="386"/>
      <c r="I24" s="1750" t="s">
        <v>3412</v>
      </c>
      <c r="J24" s="386"/>
      <c r="K24" s="540"/>
      <c r="L24" s="2487"/>
      <c r="M24" s="2482"/>
      <c r="N24" s="2482"/>
      <c r="O24" s="2482"/>
      <c r="P24" s="3414"/>
      <c r="Q24" s="1261"/>
      <c r="R24" s="666"/>
      <c r="S24" s="667"/>
      <c r="T24" s="666"/>
      <c r="U24" s="667"/>
      <c r="V24" s="666"/>
      <c r="W24" s="667"/>
      <c r="X24" s="1263"/>
      <c r="Y24" s="3407"/>
      <c r="Z24" s="1262"/>
      <c r="AA24" s="1262">
        <v>1</v>
      </c>
      <c r="AB24" s="1262">
        <v>1</v>
      </c>
      <c r="AC24" s="1810">
        <v>1</v>
      </c>
    </row>
    <row r="25" spans="1:29" ht="28.8">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v>2</v>
      </c>
      <c r="L25" s="2487"/>
      <c r="M25" s="2482"/>
      <c r="N25" s="2482"/>
      <c r="O25" s="2482"/>
      <c r="P25" s="3414"/>
      <c r="Q25" s="1261" t="str">
        <f>B25</f>
        <v>毗邻道路的类型与等级</v>
      </c>
      <c r="R25" s="666" t="s">
        <v>14</v>
      </c>
      <c r="S25" s="667">
        <f>F25</f>
        <v>100</v>
      </c>
      <c r="T25" s="666" t="s">
        <v>14</v>
      </c>
      <c r="U25" s="667">
        <f>H25</f>
        <v>100</v>
      </c>
      <c r="V25" s="666" t="s">
        <v>14</v>
      </c>
      <c r="W25" s="667">
        <f>J25</f>
        <v>100</v>
      </c>
      <c r="X25" s="1263"/>
      <c r="Y25" s="3407"/>
      <c r="Z25" s="1262" t="str">
        <f>Q25</f>
        <v>毗邻道路的类型与等级</v>
      </c>
      <c r="AA25" s="1262">
        <f t="shared" si="3"/>
        <v>1</v>
      </c>
      <c r="AB25" s="1262">
        <f t="shared" si="4"/>
        <v>1</v>
      </c>
      <c r="AC25" s="1810">
        <f t="shared" si="5"/>
        <v>1</v>
      </c>
    </row>
    <row r="26" spans="1:29" ht="15">
      <c r="A26" s="347"/>
      <c r="B26" s="400"/>
      <c r="C26" s="557" t="s">
        <v>3437</v>
      </c>
      <c r="D26" s="373"/>
      <c r="E26" s="557" t="s">
        <v>3437</v>
      </c>
      <c r="F26" s="373"/>
      <c r="G26" s="557" t="s">
        <v>3437</v>
      </c>
      <c r="H26" s="373"/>
      <c r="I26" s="557" t="s">
        <v>3437</v>
      </c>
      <c r="J26" s="373"/>
      <c r="K26" s="540"/>
      <c r="L26" s="2487"/>
      <c r="M26" s="2482"/>
      <c r="N26" s="2482"/>
      <c r="O26" s="2482"/>
      <c r="P26" s="3414"/>
      <c r="Q26" s="1261"/>
      <c r="R26" s="666"/>
      <c r="S26" s="667"/>
      <c r="T26" s="666"/>
      <c r="U26" s="667"/>
      <c r="V26" s="666"/>
      <c r="W26" s="667"/>
      <c r="X26" s="1263"/>
      <c r="Y26" s="3407"/>
      <c r="Z26" s="1262"/>
      <c r="AA26" s="1262">
        <v>1</v>
      </c>
      <c r="AB26" s="1262">
        <v>1</v>
      </c>
      <c r="AC26" s="1810">
        <v>1</v>
      </c>
    </row>
    <row r="27" spans="1:29" ht="15">
      <c r="A27" s="366"/>
      <c r="B27" s="400" t="s">
        <v>1783</v>
      </c>
      <c r="C27" s="557" t="s">
        <v>3440</v>
      </c>
      <c r="D27" s="373">
        <v>100</v>
      </c>
      <c r="E27" s="557" t="s">
        <v>3442</v>
      </c>
      <c r="F27" s="373">
        <f>SUMIF(89:89,E27,90:90)-SUMIF(89:89,C27,90:90)+100</f>
        <v>96</v>
      </c>
      <c r="G27" s="557" t="s">
        <v>3442</v>
      </c>
      <c r="H27" s="373">
        <f>SUMIF(89:89,G27,90:90)-SUMIF(89:89,C27,90:90)+100</f>
        <v>96</v>
      </c>
      <c r="I27" s="557" t="s">
        <v>3442</v>
      </c>
      <c r="J27" s="373">
        <f>SUMIF(89:89,I27,90:90)-SUMIF(89:89,C27,90:90)+100</f>
        <v>96</v>
      </c>
      <c r="K27" s="537">
        <v>4</v>
      </c>
      <c r="L27" s="2487"/>
      <c r="M27" s="2482"/>
      <c r="N27" s="2482"/>
      <c r="O27" s="2482"/>
      <c r="P27" s="3414"/>
      <c r="Q27" s="1261" t="str">
        <f t="shared" ref="Q27:Q47" si="11">B27</f>
        <v>楼层</v>
      </c>
      <c r="R27" s="666" t="s">
        <v>14</v>
      </c>
      <c r="S27" s="667">
        <f>F27</f>
        <v>96</v>
      </c>
      <c r="T27" s="666" t="s">
        <v>14</v>
      </c>
      <c r="U27" s="667">
        <f>H27</f>
        <v>96</v>
      </c>
      <c r="V27" s="666" t="s">
        <v>14</v>
      </c>
      <c r="W27" s="667">
        <f>J27</f>
        <v>96</v>
      </c>
      <c r="X27" s="1263"/>
      <c r="Y27" s="3407"/>
      <c r="Z27" s="1262" t="str">
        <f>Q27</f>
        <v>楼层</v>
      </c>
      <c r="AA27" s="1262">
        <f t="shared" si="3"/>
        <v>1.0416666666666667</v>
      </c>
      <c r="AB27" s="1262">
        <f t="shared" si="4"/>
        <v>1.0416666666666667</v>
      </c>
      <c r="AC27" s="1810">
        <f t="shared" si="5"/>
        <v>1.0416666666666667</v>
      </c>
    </row>
    <row r="28" spans="1:29" s="101"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3"/>
      <c r="M28" s="2435"/>
      <c r="N28" s="2435"/>
      <c r="O28" s="2435"/>
      <c r="P28" s="3414"/>
      <c r="Q28" s="529" t="str">
        <f t="shared" si="11"/>
        <v>朝向</v>
      </c>
      <c r="R28" s="663" t="s">
        <v>14</v>
      </c>
      <c r="S28" s="664">
        <f>F28</f>
        <v>100</v>
      </c>
      <c r="T28" s="663" t="s">
        <v>14</v>
      </c>
      <c r="U28" s="664">
        <f>H28</f>
        <v>100</v>
      </c>
      <c r="V28" s="663" t="s">
        <v>14</v>
      </c>
      <c r="W28" s="664">
        <f>J28</f>
        <v>100</v>
      </c>
      <c r="X28" s="665"/>
      <c r="Y28" s="3407"/>
      <c r="Z28" s="49"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87"/>
      <c r="M29" s="2482"/>
      <c r="N29" s="2482"/>
      <c r="O29" s="2482"/>
      <c r="P29" s="3414"/>
      <c r="Q29" s="1261">
        <f t="shared" si="11"/>
        <v>111</v>
      </c>
      <c r="R29" s="666" t="s">
        <v>14</v>
      </c>
      <c r="S29" s="667">
        <f t="shared" ref="S29:S47" si="12">F29</f>
        <v>100</v>
      </c>
      <c r="T29" s="666" t="s">
        <v>14</v>
      </c>
      <c r="U29" s="667">
        <f t="shared" ref="U29:U47" si="13">H29</f>
        <v>100</v>
      </c>
      <c r="V29" s="666" t="s">
        <v>14</v>
      </c>
      <c r="W29" s="667">
        <f t="shared" ref="W29:W47" si="14">J29</f>
        <v>100</v>
      </c>
      <c r="X29" s="1263"/>
      <c r="Y29" s="3407"/>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87"/>
      <c r="M30" s="2482"/>
      <c r="N30" s="2482"/>
      <c r="O30" s="2482"/>
      <c r="P30" s="3414"/>
      <c r="Q30" s="1261">
        <f t="shared" si="11"/>
        <v>111</v>
      </c>
      <c r="R30" s="666" t="s">
        <v>14</v>
      </c>
      <c r="S30" s="667">
        <f t="shared" si="12"/>
        <v>100</v>
      </c>
      <c r="T30" s="666" t="s">
        <v>14</v>
      </c>
      <c r="U30" s="667">
        <f t="shared" si="13"/>
        <v>100</v>
      </c>
      <c r="V30" s="666" t="s">
        <v>14</v>
      </c>
      <c r="W30" s="667">
        <f t="shared" si="14"/>
        <v>100</v>
      </c>
      <c r="X30" s="1263"/>
      <c r="Y30" s="3407"/>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87"/>
      <c r="M31" s="2482"/>
      <c r="N31" s="2482"/>
      <c r="O31" s="2482"/>
      <c r="P31" s="3414"/>
      <c r="Q31" s="1261">
        <f t="shared" si="11"/>
        <v>111</v>
      </c>
      <c r="R31" s="666" t="s">
        <v>14</v>
      </c>
      <c r="S31" s="667">
        <f t="shared" si="12"/>
        <v>100</v>
      </c>
      <c r="T31" s="666" t="s">
        <v>14</v>
      </c>
      <c r="U31" s="667">
        <f t="shared" si="13"/>
        <v>100</v>
      </c>
      <c r="V31" s="666" t="s">
        <v>14</v>
      </c>
      <c r="W31" s="667">
        <f t="shared" si="14"/>
        <v>100</v>
      </c>
      <c r="X31" s="1263"/>
      <c r="Y31" s="3407"/>
      <c r="Z31" s="1262">
        <f t="shared" si="15"/>
        <v>111</v>
      </c>
      <c r="AA31" s="1262">
        <f t="shared" si="3"/>
        <v>1</v>
      </c>
      <c r="AB31" s="1262">
        <f t="shared" si="4"/>
        <v>1</v>
      </c>
      <c r="AC31" s="1810">
        <f t="shared" si="5"/>
        <v>1</v>
      </c>
    </row>
    <row r="32" spans="1:29" ht="15.6"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87"/>
      <c r="M32" s="2482"/>
      <c r="N32" s="2482"/>
      <c r="O32" s="2482"/>
      <c r="P32" s="3414"/>
      <c r="Q32" s="1261">
        <f t="shared" si="11"/>
        <v>111</v>
      </c>
      <c r="R32" s="666" t="s">
        <v>14</v>
      </c>
      <c r="S32" s="667">
        <f t="shared" si="12"/>
        <v>100</v>
      </c>
      <c r="T32" s="666" t="s">
        <v>14</v>
      </c>
      <c r="U32" s="667">
        <f t="shared" si="13"/>
        <v>100</v>
      </c>
      <c r="V32" s="666" t="s">
        <v>14</v>
      </c>
      <c r="W32" s="667">
        <f t="shared" si="14"/>
        <v>100</v>
      </c>
      <c r="X32" s="1263"/>
      <c r="Y32" s="3407"/>
      <c r="Z32" s="1262">
        <f t="shared" si="15"/>
        <v>111</v>
      </c>
      <c r="AA32" s="1262">
        <f t="shared" si="3"/>
        <v>1</v>
      </c>
      <c r="AB32" s="1262">
        <f t="shared" si="4"/>
        <v>1</v>
      </c>
      <c r="AC32" s="1810">
        <f t="shared" si="5"/>
        <v>1</v>
      </c>
    </row>
    <row r="33" spans="1:29" ht="15">
      <c r="A33" s="378" t="s">
        <v>1694</v>
      </c>
      <c r="B33" s="59" t="s">
        <v>1817</v>
      </c>
      <c r="C33" s="1762" t="s">
        <v>3445</v>
      </c>
      <c r="D33" s="404">
        <v>100</v>
      </c>
      <c r="E33" s="1762" t="s">
        <v>3445</v>
      </c>
      <c r="F33" s="399">
        <f>SUMIF(101:101,E33,102:102)-SUMIF(101:101,C33,102:102)+100</f>
        <v>100</v>
      </c>
      <c r="G33" s="1762" t="s">
        <v>3445</v>
      </c>
      <c r="H33" s="373">
        <f>SUMIF(101:101,G33,102:102)-SUMIF(101:101,C33,102:102)+100</f>
        <v>100</v>
      </c>
      <c r="I33" s="1762" t="s">
        <v>3445</v>
      </c>
      <c r="J33" s="404">
        <f>SUMIF(101:101,I33,102:102)-SUMIF(101:101,C33,102:102)+100</f>
        <v>100</v>
      </c>
      <c r="K33" s="537">
        <v>2</v>
      </c>
      <c r="L33" s="2487"/>
      <c r="M33" s="2482"/>
      <c r="N33" s="2482"/>
      <c r="O33" s="2482"/>
      <c r="P33" s="3408" t="s">
        <v>1696</v>
      </c>
      <c r="Q33" s="1261" t="str">
        <f t="shared" si="11"/>
        <v>建筑类型</v>
      </c>
      <c r="R33" s="666" t="s">
        <v>14</v>
      </c>
      <c r="S33" s="667">
        <f t="shared" si="12"/>
        <v>100</v>
      </c>
      <c r="T33" s="666" t="s">
        <v>14</v>
      </c>
      <c r="U33" s="667">
        <f t="shared" si="13"/>
        <v>100</v>
      </c>
      <c r="V33" s="666" t="s">
        <v>14</v>
      </c>
      <c r="W33" s="667">
        <f t="shared" si="14"/>
        <v>100</v>
      </c>
      <c r="X33" s="1263"/>
      <c r="Y33" s="3411" t="s">
        <v>1696</v>
      </c>
      <c r="Z33" s="1262" t="str">
        <f t="shared" si="15"/>
        <v>建筑类型</v>
      </c>
      <c r="AA33" s="1262">
        <f t="shared" si="3"/>
        <v>1</v>
      </c>
      <c r="AB33" s="1262">
        <f t="shared" si="4"/>
        <v>1</v>
      </c>
      <c r="AC33" s="1810">
        <f t="shared" si="5"/>
        <v>1</v>
      </c>
    </row>
    <row r="34" spans="1:29" s="407" customFormat="1" ht="15">
      <c r="A34" s="405"/>
      <c r="B34" s="363" t="s">
        <v>1697</v>
      </c>
      <c r="C34" s="406">
        <f>'数据-汇总表'!E19</f>
        <v>135843.08000000002</v>
      </c>
      <c r="D34" s="118">
        <v>100</v>
      </c>
      <c r="E34" s="368">
        <v>401</v>
      </c>
      <c r="F34" s="363">
        <f>LOOKUP(E34,104:104,105:105)-LOOKUP(C34,104:104,105:105)+100</f>
        <v>200</v>
      </c>
      <c r="G34" s="367">
        <v>81.64</v>
      </c>
      <c r="H34" s="118">
        <f>LOOKUP(G34,104:104,105:105)-LOOKUP(C34,104:104,105:105)+100</f>
        <v>198</v>
      </c>
      <c r="I34" s="367">
        <v>641</v>
      </c>
      <c r="J34" s="118">
        <f>LOOKUP(I34,104:104,105:105)-LOOKUP(C34,104:104,105:105)+100</f>
        <v>199</v>
      </c>
      <c r="K34" s="538"/>
      <c r="L34" s="2486"/>
      <c r="M34" s="2488"/>
      <c r="N34" s="2488"/>
      <c r="O34" s="2488"/>
      <c r="P34" s="3409"/>
      <c r="Q34" s="530" t="str">
        <f t="shared" si="11"/>
        <v>项目建筑规模</v>
      </c>
      <c r="R34" s="668" t="s">
        <v>14</v>
      </c>
      <c r="S34" s="669">
        <f t="shared" si="12"/>
        <v>200</v>
      </c>
      <c r="T34" s="668" t="s">
        <v>14</v>
      </c>
      <c r="U34" s="669">
        <f t="shared" si="13"/>
        <v>198</v>
      </c>
      <c r="V34" s="668" t="s">
        <v>14</v>
      </c>
      <c r="W34" s="669">
        <f t="shared" si="14"/>
        <v>199</v>
      </c>
      <c r="X34" s="670"/>
      <c r="Y34" s="3411"/>
      <c r="Z34" s="671" t="str">
        <f t="shared" si="15"/>
        <v>项目建筑规模</v>
      </c>
      <c r="AA34" s="1262">
        <f t="shared" si="3"/>
        <v>0.5</v>
      </c>
      <c r="AB34" s="1262">
        <f t="shared" si="4"/>
        <v>0.50505050505050508</v>
      </c>
      <c r="AC34" s="1810">
        <f t="shared" si="5"/>
        <v>0.50251256281407031</v>
      </c>
    </row>
    <row r="35" spans="1:29" ht="15">
      <c r="A35" s="408"/>
      <c r="B35" s="363" t="s">
        <v>1698</v>
      </c>
      <c r="C35" s="398" t="s">
        <v>3417</v>
      </c>
      <c r="D35" s="373">
        <v>100</v>
      </c>
      <c r="E35" s="398" t="s">
        <v>3417</v>
      </c>
      <c r="F35" s="399">
        <f>SUMIF(106:106,E35,107:107)-SUMIF(106:106,C35,107:107)+100</f>
        <v>100</v>
      </c>
      <c r="G35" s="398" t="s">
        <v>3417</v>
      </c>
      <c r="H35" s="373">
        <f>SUMIF(106:106,G35,107:107)-SUMIF(106:106,C35,107:107)+100</f>
        <v>100</v>
      </c>
      <c r="I35" s="398" t="s">
        <v>3417</v>
      </c>
      <c r="J35" s="373">
        <f>SUMIF(106:106,I35,107:107)-SUMIF(106:106,C35,107:107)+100</f>
        <v>100</v>
      </c>
      <c r="K35" s="537">
        <v>2</v>
      </c>
      <c r="L35" s="2487"/>
      <c r="M35" s="2482"/>
      <c r="N35" s="2482"/>
      <c r="O35" s="2482"/>
      <c r="P35" s="3409"/>
      <c r="Q35" s="1261" t="str">
        <f t="shared" si="11"/>
        <v>建筑结构</v>
      </c>
      <c r="R35" s="666" t="s">
        <v>14</v>
      </c>
      <c r="S35" s="667">
        <f t="shared" si="12"/>
        <v>100</v>
      </c>
      <c r="T35" s="666" t="s">
        <v>14</v>
      </c>
      <c r="U35" s="667">
        <f t="shared" si="13"/>
        <v>100</v>
      </c>
      <c r="V35" s="666" t="s">
        <v>14</v>
      </c>
      <c r="W35" s="667">
        <f t="shared" si="14"/>
        <v>100</v>
      </c>
      <c r="X35" s="1263"/>
      <c r="Y35" s="3411"/>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7"/>
      <c r="M36" s="2482"/>
      <c r="N36" s="2482"/>
      <c r="O36" s="2482"/>
      <c r="P36" s="3409"/>
      <c r="Q36" s="1261" t="str">
        <f t="shared" si="11"/>
        <v>公共部分装修</v>
      </c>
      <c r="R36" s="666" t="s">
        <v>14</v>
      </c>
      <c r="S36" s="667">
        <f t="shared" si="12"/>
        <v>100</v>
      </c>
      <c r="T36" s="666" t="s">
        <v>14</v>
      </c>
      <c r="U36" s="667">
        <f t="shared" si="13"/>
        <v>100</v>
      </c>
      <c r="V36" s="666" t="s">
        <v>14</v>
      </c>
      <c r="W36" s="667">
        <f t="shared" si="14"/>
        <v>100</v>
      </c>
      <c r="X36" s="1263"/>
      <c r="Y36" s="3411"/>
      <c r="Z36" s="1262" t="str">
        <f t="shared" si="15"/>
        <v>公共部分装修</v>
      </c>
      <c r="AA36" s="1262">
        <f t="shared" si="3"/>
        <v>1</v>
      </c>
      <c r="AB36" s="1262">
        <f t="shared" si="4"/>
        <v>1</v>
      </c>
      <c r="AC36" s="1810">
        <f t="shared" si="5"/>
        <v>1</v>
      </c>
    </row>
    <row r="37" spans="1:29" ht="15">
      <c r="A37" s="408"/>
      <c r="B37" s="363" t="s">
        <v>1786</v>
      </c>
      <c r="C37" s="410">
        <f>'数据-取费表'!N6</f>
        <v>0.85</v>
      </c>
      <c r="D37" s="373">
        <v>100</v>
      </c>
      <c r="E37" s="410">
        <f>C37</f>
        <v>0.85</v>
      </c>
      <c r="F37" s="399">
        <f>LOOKUP(E37,111:111,112:112)-LOOKUP(C37,111:111,112:112)+100</f>
        <v>100</v>
      </c>
      <c r="G37" s="410">
        <f>C37</f>
        <v>0.85</v>
      </c>
      <c r="H37" s="399">
        <f>LOOKUP(G37,111:111,112:112)-LOOKUP(C37,111:111,112:112)+100</f>
        <v>100</v>
      </c>
      <c r="I37" s="410">
        <f>C37</f>
        <v>0.85</v>
      </c>
      <c r="J37" s="373">
        <f>LOOKUP(I37,111:111,112:112)-LOOKUP(C37,111:111,112:112)+100</f>
        <v>100</v>
      </c>
      <c r="K37" s="537">
        <v>1</v>
      </c>
      <c r="L37" s="2487"/>
      <c r="M37" s="2482"/>
      <c r="N37" s="2482"/>
      <c r="O37" s="2482"/>
      <c r="P37" s="3409"/>
      <c r="Q37" s="1261" t="str">
        <f t="shared" si="11"/>
        <v>成新度</v>
      </c>
      <c r="R37" s="666" t="s">
        <v>14</v>
      </c>
      <c r="S37" s="667">
        <f t="shared" si="12"/>
        <v>100</v>
      </c>
      <c r="T37" s="666" t="s">
        <v>14</v>
      </c>
      <c r="U37" s="667">
        <f t="shared" si="13"/>
        <v>100</v>
      </c>
      <c r="V37" s="666" t="s">
        <v>14</v>
      </c>
      <c r="W37" s="667">
        <f t="shared" si="14"/>
        <v>100</v>
      </c>
      <c r="X37" s="1263"/>
      <c r="Y37" s="3411"/>
      <c r="Z37" s="1262" t="str">
        <f t="shared" si="15"/>
        <v>成新度</v>
      </c>
      <c r="AA37" s="1262">
        <f t="shared" si="3"/>
        <v>1</v>
      </c>
      <c r="AB37" s="1262">
        <f t="shared" si="4"/>
        <v>1</v>
      </c>
      <c r="AC37" s="1810">
        <f t="shared" si="5"/>
        <v>1</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3"/>
      <c r="M38" s="2435"/>
      <c r="N38" s="2435"/>
      <c r="O38" s="2435"/>
      <c r="P38" s="3409"/>
      <c r="Q38" s="529" t="str">
        <f t="shared" si="11"/>
        <v>写字楼等级</v>
      </c>
      <c r="R38" s="663" t="s">
        <v>14</v>
      </c>
      <c r="S38" s="664">
        <f t="shared" si="12"/>
        <v>100</v>
      </c>
      <c r="T38" s="663" t="s">
        <v>14</v>
      </c>
      <c r="U38" s="664">
        <f t="shared" si="13"/>
        <v>100</v>
      </c>
      <c r="V38" s="663" t="s">
        <v>14</v>
      </c>
      <c r="W38" s="664">
        <f t="shared" si="14"/>
        <v>100</v>
      </c>
      <c r="X38" s="665"/>
      <c r="Y38" s="3411"/>
      <c r="Z38" s="49" t="str">
        <f t="shared" si="15"/>
        <v>写字楼等级</v>
      </c>
      <c r="AA38" s="49">
        <f t="shared" si="3"/>
        <v>1</v>
      </c>
      <c r="AB38" s="49">
        <f t="shared" si="4"/>
        <v>1</v>
      </c>
      <c r="AC38" s="801">
        <f t="shared" si="5"/>
        <v>1</v>
      </c>
    </row>
    <row r="39" spans="1:29" ht="15">
      <c r="A39" s="408"/>
      <c r="B39" s="363" t="s">
        <v>1819</v>
      </c>
      <c r="C39" s="398" t="s">
        <v>3453</v>
      </c>
      <c r="D39" s="373">
        <v>100</v>
      </c>
      <c r="E39" s="398" t="s">
        <v>3453</v>
      </c>
      <c r="F39" s="399">
        <f>SUMIF(115:115,E39,116:116)-SUMIF(115:115,C39,116:116)+100</f>
        <v>100</v>
      </c>
      <c r="G39" s="398" t="s">
        <v>3453</v>
      </c>
      <c r="H39" s="373">
        <f>SUMIF(115:115,G39,116:116)-SUMIF(115:115,C39,116:116)+100</f>
        <v>100</v>
      </c>
      <c r="I39" s="398" t="s">
        <v>3453</v>
      </c>
      <c r="J39" s="373">
        <f>SUMIF(115:115,I39,116:116)-SUMIF(115:115,C39,116:116)+100</f>
        <v>100</v>
      </c>
      <c r="K39" s="537">
        <v>2</v>
      </c>
      <c r="L39" s="2487"/>
      <c r="M39" s="2482"/>
      <c r="N39" s="2482"/>
      <c r="O39" s="2482"/>
      <c r="P39" s="3409" t="s">
        <v>1696</v>
      </c>
      <c r="Q39" s="1261" t="str">
        <f t="shared" si="11"/>
        <v>物业管理</v>
      </c>
      <c r="R39" s="666" t="s">
        <v>14</v>
      </c>
      <c r="S39" s="667">
        <f t="shared" si="12"/>
        <v>100</v>
      </c>
      <c r="T39" s="666" t="s">
        <v>14</v>
      </c>
      <c r="U39" s="667">
        <f t="shared" si="13"/>
        <v>100</v>
      </c>
      <c r="V39" s="666" t="s">
        <v>14</v>
      </c>
      <c r="W39" s="667">
        <f t="shared" si="14"/>
        <v>100</v>
      </c>
      <c r="X39" s="1263"/>
      <c r="Y39" s="3411" t="s">
        <v>1696</v>
      </c>
      <c r="Z39" s="1262" t="str">
        <f t="shared" si="15"/>
        <v>物业管理</v>
      </c>
      <c r="AA39" s="1262">
        <f t="shared" si="3"/>
        <v>1</v>
      </c>
      <c r="AB39" s="1262">
        <f t="shared" si="4"/>
        <v>1</v>
      </c>
      <c r="AC39" s="1810">
        <f t="shared" si="5"/>
        <v>1</v>
      </c>
    </row>
    <row r="40" spans="1:29" ht="15">
      <c r="A40" s="408"/>
      <c r="B40" s="363" t="s">
        <v>1787</v>
      </c>
      <c r="C40" s="398" t="s">
        <v>3434</v>
      </c>
      <c r="D40" s="373">
        <v>100</v>
      </c>
      <c r="E40" s="398" t="s">
        <v>3434</v>
      </c>
      <c r="F40" s="399">
        <f>SUMIF(117:117,E40,118:118)-SUMIF(117:117,C40,118:118)+100</f>
        <v>100</v>
      </c>
      <c r="G40" s="398" t="s">
        <v>3434</v>
      </c>
      <c r="H40" s="373">
        <f>SUMIF(117:117,G40,118:118)-SUMIF(117:117,C40,118:118)+100</f>
        <v>100</v>
      </c>
      <c r="I40" s="398" t="s">
        <v>3434</v>
      </c>
      <c r="J40" s="373">
        <f>SUMIF(117:117,I40,118:118)-SUMIF(117:117,C40,118:118)+100</f>
        <v>100</v>
      </c>
      <c r="K40" s="537">
        <v>1</v>
      </c>
      <c r="L40" s="2487"/>
      <c r="M40" s="2482"/>
      <c r="N40" s="2482"/>
      <c r="O40" s="2482"/>
      <c r="P40" s="3409"/>
      <c r="Q40" s="1261" t="str">
        <f t="shared" si="11"/>
        <v>市政基础设施</v>
      </c>
      <c r="R40" s="666" t="s">
        <v>14</v>
      </c>
      <c r="S40" s="667">
        <f t="shared" si="12"/>
        <v>100</v>
      </c>
      <c r="T40" s="666" t="s">
        <v>14</v>
      </c>
      <c r="U40" s="667">
        <f t="shared" si="13"/>
        <v>100</v>
      </c>
      <c r="V40" s="666" t="s">
        <v>14</v>
      </c>
      <c r="W40" s="667">
        <f t="shared" si="14"/>
        <v>100</v>
      </c>
      <c r="X40" s="1263"/>
      <c r="Y40" s="3411"/>
      <c r="Z40" s="1262" t="str">
        <f t="shared" si="15"/>
        <v>市政基础设施</v>
      </c>
      <c r="AA40" s="1262">
        <f t="shared" si="3"/>
        <v>1</v>
      </c>
      <c r="AB40" s="1262">
        <f t="shared" si="4"/>
        <v>1</v>
      </c>
      <c r="AC40" s="1810">
        <f t="shared" si="5"/>
        <v>1</v>
      </c>
    </row>
    <row r="41" spans="1:29" ht="15">
      <c r="A41" s="408"/>
      <c r="B41" s="363" t="s">
        <v>1789</v>
      </c>
      <c r="C41" s="541" t="s">
        <v>3459</v>
      </c>
      <c r="D41" s="373">
        <v>100</v>
      </c>
      <c r="E41" s="541" t="s">
        <v>3459</v>
      </c>
      <c r="F41" s="399">
        <f>SUMIF(119:119,E41,120:120)-SUMIF(119:119,C41,120:120)+100</f>
        <v>100</v>
      </c>
      <c r="G41" s="541" t="s">
        <v>3459</v>
      </c>
      <c r="H41" s="373">
        <f>SUMIF(119:119,G41,120:120)-SUMIF(119:119,C41,120:120)+100</f>
        <v>100</v>
      </c>
      <c r="I41" s="541" t="s">
        <v>3459</v>
      </c>
      <c r="J41" s="373">
        <f>SUMIF(119:119,I41,120:120)-SUMIF(119:119,C41,120:120)+100</f>
        <v>100</v>
      </c>
      <c r="K41" s="537">
        <v>5</v>
      </c>
      <c r="L41" s="2487"/>
      <c r="M41" s="2482"/>
      <c r="N41" s="2482"/>
      <c r="O41" s="2482"/>
      <c r="P41" s="3409"/>
      <c r="Q41" s="1261" t="str">
        <f t="shared" si="11"/>
        <v>层高</v>
      </c>
      <c r="R41" s="666" t="s">
        <v>14</v>
      </c>
      <c r="S41" s="667">
        <f t="shared" si="12"/>
        <v>100</v>
      </c>
      <c r="T41" s="666" t="s">
        <v>14</v>
      </c>
      <c r="U41" s="667">
        <f t="shared" si="13"/>
        <v>100</v>
      </c>
      <c r="V41" s="666" t="s">
        <v>14</v>
      </c>
      <c r="W41" s="667">
        <f t="shared" si="14"/>
        <v>100</v>
      </c>
      <c r="X41" s="1263"/>
      <c r="Y41" s="3411"/>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9"/>
      <c r="Q42" s="530" t="str">
        <f t="shared" si="11"/>
        <v>单套建筑面积</v>
      </c>
      <c r="R42" s="668" t="s">
        <v>14</v>
      </c>
      <c r="S42" s="669">
        <f t="shared" si="12"/>
        <v>100</v>
      </c>
      <c r="T42" s="668" t="s">
        <v>14</v>
      </c>
      <c r="U42" s="669">
        <f t="shared" si="13"/>
        <v>100</v>
      </c>
      <c r="V42" s="668" t="s">
        <v>14</v>
      </c>
      <c r="W42" s="669">
        <f t="shared" si="14"/>
        <v>100</v>
      </c>
      <c r="X42" s="670"/>
      <c r="Y42" s="3411"/>
      <c r="Z42" s="671" t="str">
        <f t="shared" si="15"/>
        <v>单套建筑面积</v>
      </c>
      <c r="AA42" s="1262">
        <f t="shared" si="3"/>
        <v>1</v>
      </c>
      <c r="AB42" s="1262">
        <f t="shared" si="4"/>
        <v>1</v>
      </c>
      <c r="AC42" s="1810">
        <f t="shared" si="5"/>
        <v>1</v>
      </c>
    </row>
    <row r="43" spans="1:29" ht="15">
      <c r="A43" s="408"/>
      <c r="B43" s="363" t="s">
        <v>1792</v>
      </c>
      <c r="C43" s="3157" t="s">
        <v>3449</v>
      </c>
      <c r="D43" s="373">
        <v>100</v>
      </c>
      <c r="E43" s="398" t="s">
        <v>3449</v>
      </c>
      <c r="F43" s="399">
        <f>SUMIF(123:123,E43,124:124)-SUMIF(123:123,C43,124:124)+100</f>
        <v>100</v>
      </c>
      <c r="G43" s="398" t="s">
        <v>3449</v>
      </c>
      <c r="H43" s="373">
        <f>SUMIF(123:123,G43,124:124)-SUMIF(123:123,C43,124:124)+100</f>
        <v>100</v>
      </c>
      <c r="I43" s="398" t="s">
        <v>3449</v>
      </c>
      <c r="J43" s="373">
        <f>SUMIF(123:123,I43,124:124)-SUMIF(123:123,C43,124:124)+100</f>
        <v>100</v>
      </c>
      <c r="K43" s="537">
        <v>2</v>
      </c>
      <c r="L43" s="2487"/>
      <c r="M43" s="2482"/>
      <c r="N43" s="2482"/>
      <c r="O43" s="2482"/>
      <c r="P43" s="3409"/>
      <c r="Q43" s="1261" t="str">
        <f t="shared" si="11"/>
        <v>内部装修</v>
      </c>
      <c r="R43" s="666" t="s">
        <v>14</v>
      </c>
      <c r="S43" s="667">
        <f t="shared" si="12"/>
        <v>100</v>
      </c>
      <c r="T43" s="666" t="s">
        <v>14</v>
      </c>
      <c r="U43" s="667">
        <f t="shared" si="13"/>
        <v>100</v>
      </c>
      <c r="V43" s="666" t="s">
        <v>14</v>
      </c>
      <c r="W43" s="667">
        <f t="shared" si="14"/>
        <v>100</v>
      </c>
      <c r="X43" s="1263"/>
      <c r="Y43" s="3411"/>
      <c r="Z43" s="1262" t="str">
        <f t="shared" si="15"/>
        <v>内部装修</v>
      </c>
      <c r="AA43" s="1262">
        <f t="shared" si="3"/>
        <v>1</v>
      </c>
      <c r="AB43" s="1262">
        <f t="shared" si="4"/>
        <v>1</v>
      </c>
      <c r="AC43" s="1810">
        <f t="shared" si="5"/>
        <v>1</v>
      </c>
    </row>
    <row r="44" spans="1:29" ht="28.8">
      <c r="A44" s="408"/>
      <c r="B44" s="363" t="s">
        <v>1707</v>
      </c>
      <c r="C44" s="398" t="s">
        <v>3412</v>
      </c>
      <c r="D44" s="373">
        <v>100</v>
      </c>
      <c r="E44" s="398" t="s">
        <v>3412</v>
      </c>
      <c r="F44" s="399">
        <f>SUMIF(125:125,E44,126:126)-SUMIF(125:125,C44,126:126)+100</f>
        <v>100</v>
      </c>
      <c r="G44" s="398" t="s">
        <v>3412</v>
      </c>
      <c r="H44" s="373">
        <f>SUMIF(125:125,G44,126:126)-SUMIF(125:125,C44,126:126)+100</f>
        <v>100</v>
      </c>
      <c r="I44" s="398" t="s">
        <v>3412</v>
      </c>
      <c r="J44" s="373">
        <f>SUMIF(125:125,I44,126:126)-SUMIF(125:125,C44,126:126)+100</f>
        <v>100</v>
      </c>
      <c r="K44" s="537">
        <v>2</v>
      </c>
      <c r="L44" s="2487"/>
      <c r="M44" s="2482"/>
      <c r="N44" s="2482"/>
      <c r="O44" s="2482"/>
      <c r="P44" s="3409"/>
      <c r="Q44" s="1261" t="str">
        <f t="shared" si="11"/>
        <v>内部装修维护情况</v>
      </c>
      <c r="R44" s="666" t="s">
        <v>14</v>
      </c>
      <c r="S44" s="667">
        <f t="shared" si="12"/>
        <v>100</v>
      </c>
      <c r="T44" s="666" t="s">
        <v>14</v>
      </c>
      <c r="U44" s="667">
        <f t="shared" si="13"/>
        <v>100</v>
      </c>
      <c r="V44" s="666" t="s">
        <v>14</v>
      </c>
      <c r="W44" s="667">
        <f t="shared" si="14"/>
        <v>100</v>
      </c>
      <c r="X44" s="1263"/>
      <c r="Y44" s="3411"/>
      <c r="Z44" s="1262" t="str">
        <f t="shared" si="15"/>
        <v>内部装修维护情况</v>
      </c>
      <c r="AA44" s="1262">
        <f t="shared" si="3"/>
        <v>1</v>
      </c>
      <c r="AB44" s="1262">
        <f t="shared" si="4"/>
        <v>1</v>
      </c>
      <c r="AC44" s="1810">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5"/>
      <c r="N45" s="2435"/>
      <c r="O45" s="2435"/>
      <c r="P45" s="3409"/>
      <c r="Q45" s="529">
        <f t="shared" si="11"/>
        <v>111</v>
      </c>
      <c r="R45" s="663" t="s">
        <v>14</v>
      </c>
      <c r="S45" s="664">
        <f t="shared" si="12"/>
        <v>100</v>
      </c>
      <c r="T45" s="663" t="s">
        <v>14</v>
      </c>
      <c r="U45" s="664">
        <f t="shared" si="13"/>
        <v>100</v>
      </c>
      <c r="V45" s="663" t="s">
        <v>14</v>
      </c>
      <c r="W45" s="664">
        <f t="shared" si="14"/>
        <v>100</v>
      </c>
      <c r="X45" s="665"/>
      <c r="Y45" s="3411"/>
      <c r="Z45" s="49">
        <f t="shared" si="15"/>
        <v>111</v>
      </c>
      <c r="AA45" s="49">
        <f t="shared" si="3"/>
        <v>1</v>
      </c>
      <c r="AB45" s="49">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9"/>
      <c r="Q46" s="1261">
        <f t="shared" si="11"/>
        <v>111</v>
      </c>
      <c r="R46" s="666" t="s">
        <v>14</v>
      </c>
      <c r="S46" s="667">
        <f t="shared" si="12"/>
        <v>100</v>
      </c>
      <c r="T46" s="666" t="s">
        <v>14</v>
      </c>
      <c r="U46" s="667">
        <f t="shared" si="13"/>
        <v>100</v>
      </c>
      <c r="V46" s="666" t="s">
        <v>14</v>
      </c>
      <c r="W46" s="667">
        <f t="shared" si="14"/>
        <v>100</v>
      </c>
      <c r="X46" s="1263"/>
      <c r="Y46" s="3411"/>
      <c r="Z46" s="1262">
        <f t="shared" si="15"/>
        <v>111</v>
      </c>
      <c r="AA46" s="1262">
        <f t="shared" si="3"/>
        <v>1</v>
      </c>
      <c r="AB46" s="1262">
        <f t="shared" si="4"/>
        <v>1</v>
      </c>
      <c r="AC46" s="1810">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0"/>
      <c r="Q47" s="1261">
        <f t="shared" si="11"/>
        <v>111</v>
      </c>
      <c r="R47" s="666" t="s">
        <v>14</v>
      </c>
      <c r="S47" s="667">
        <f t="shared" si="12"/>
        <v>100</v>
      </c>
      <c r="T47" s="666" t="s">
        <v>14</v>
      </c>
      <c r="U47" s="667">
        <f t="shared" si="13"/>
        <v>100</v>
      </c>
      <c r="V47" s="666" t="s">
        <v>14</v>
      </c>
      <c r="W47" s="667">
        <f t="shared" si="14"/>
        <v>100</v>
      </c>
      <c r="X47" s="1263"/>
      <c r="Y47" s="3412"/>
      <c r="Z47" s="1262">
        <f t="shared" si="15"/>
        <v>111</v>
      </c>
      <c r="AA47" s="1262">
        <f t="shared" si="3"/>
        <v>1</v>
      </c>
      <c r="AB47" s="1262">
        <f t="shared" si="4"/>
        <v>1</v>
      </c>
      <c r="AC47" s="1810">
        <f t="shared" si="5"/>
        <v>1</v>
      </c>
    </row>
    <row r="48" spans="1:29" ht="14.4">
      <c r="A48" s="415" t="s">
        <v>1708</v>
      </c>
      <c r="B48" s="416"/>
      <c r="C48" s="1079" t="s">
        <v>0</v>
      </c>
      <c r="D48" s="417"/>
      <c r="E48" s="418">
        <v>36010</v>
      </c>
      <c r="F48" s="419"/>
      <c r="G48" s="420">
        <v>39809</v>
      </c>
      <c r="H48" s="421"/>
      <c r="I48" s="418">
        <v>40000</v>
      </c>
      <c r="J48" s="421"/>
      <c r="K48" s="673"/>
      <c r="L48" s="2489"/>
      <c r="M48" s="2482"/>
      <c r="N48" s="2482"/>
      <c r="O48" s="2482"/>
      <c r="P48" s="3415" t="str">
        <f>A48</f>
        <v>成交单价（元/平方米）</v>
      </c>
      <c r="Q48" s="3404"/>
      <c r="R48" s="3405">
        <f>E48</f>
        <v>36010</v>
      </c>
      <c r="S48" s="3405"/>
      <c r="T48" s="3405">
        <f>G48</f>
        <v>39809</v>
      </c>
      <c r="U48" s="3405"/>
      <c r="V48" s="3405">
        <f>I48</f>
        <v>40000</v>
      </c>
      <c r="W48" s="3405"/>
      <c r="X48" s="384"/>
      <c r="Y48" s="672"/>
      <c r="Z48" s="384"/>
      <c r="AA48" s="384"/>
      <c r="AB48" s="384"/>
      <c r="AC48" s="554"/>
    </row>
    <row r="49" spans="1:29" ht="15" thickBot="1">
      <c r="A49" s="422" t="s">
        <v>1793</v>
      </c>
      <c r="B49" s="423"/>
      <c r="C49" s="1080">
        <f>R50</f>
        <v>19816</v>
      </c>
      <c r="D49" s="2139" t="s">
        <v>2138</v>
      </c>
      <c r="E49" s="1081">
        <f>R49</f>
        <v>18387</v>
      </c>
      <c r="F49" s="2140"/>
      <c r="G49" s="1080">
        <f>T49</f>
        <v>20533</v>
      </c>
      <c r="H49" s="2140"/>
      <c r="I49" s="1081">
        <f>V49</f>
        <v>20527</v>
      </c>
      <c r="J49" s="2140"/>
      <c r="K49" s="2142">
        <f>F49+H49+J49</f>
        <v>0</v>
      </c>
      <c r="L49" s="2489"/>
      <c r="M49" s="2482"/>
      <c r="N49" s="2482"/>
      <c r="O49" s="2482"/>
      <c r="P49" s="3415" t="str">
        <f>A49</f>
        <v>比较价值（元/平方米）</v>
      </c>
      <c r="Q49" s="3404"/>
      <c r="R49" s="3405">
        <f>IF(F1="售价",ROUND(PRODUCT(R48,AA7:AA47),0),ROUND(PRODUCT(R48,AA7:AA47),1))</f>
        <v>18387</v>
      </c>
      <c r="S49" s="3405"/>
      <c r="T49" s="3405">
        <f>IF(F1="售价",ROUND(PRODUCT(T48,AB7:AB47),0),ROUND(PRODUCT(T48,AB7:AB47),1))</f>
        <v>20533</v>
      </c>
      <c r="U49" s="3405"/>
      <c r="V49" s="3405">
        <f>IF(F1="售价",ROUND(PRODUCT(V48,AC7:AC47),0),ROUND(PRODUCT(V48,AC7:AC47),1))</f>
        <v>20527</v>
      </c>
      <c r="W49" s="3405"/>
      <c r="X49" s="384"/>
      <c r="Y49" s="384"/>
      <c r="Z49" s="384"/>
      <c r="AA49" s="384"/>
      <c r="AB49" s="384"/>
      <c r="AC49" s="554"/>
    </row>
    <row r="50" spans="1:29" ht="15" thickBot="1">
      <c r="A50" s="426" t="s">
        <v>1794</v>
      </c>
      <c r="B50" s="427"/>
      <c r="C50" s="350">
        <f>R50</f>
        <v>19816</v>
      </c>
      <c r="D50" s="350"/>
      <c r="E50" s="350"/>
      <c r="F50" s="350"/>
      <c r="G50" s="350"/>
      <c r="H50" s="350"/>
      <c r="I50" s="350"/>
      <c r="J50" s="428"/>
      <c r="K50" s="674"/>
      <c r="L50" s="2489"/>
      <c r="M50" s="2482"/>
      <c r="N50" s="2482"/>
      <c r="O50" s="2482"/>
      <c r="P50" s="3461" t="str">
        <f>A50</f>
        <v>估价对象XX用房的比较价值（楼面单价，元/平方米）</v>
      </c>
      <c r="Q50" s="3462"/>
      <c r="R50" s="3463">
        <f>IF(F1="售价",ROUND(IF(D49="简单平均",AVERAGE(R49:V49),R49*F49+T49*H49+V49*J49),0),ROUND(IF(D49="简单平均",AVERAGE(R49:V49),R49*F49+T49*H49+V49*J49),1))</f>
        <v>19816</v>
      </c>
      <c r="S50" s="3463"/>
      <c r="T50" s="3463"/>
      <c r="U50" s="3463"/>
      <c r="V50" s="3463"/>
      <c r="W50" s="3463"/>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1795</v>
      </c>
      <c r="D53" s="432"/>
      <c r="E53" s="433">
        <f>IF(E48&lt;E49,E49/E48-1,E48/E49-1)</f>
        <v>0.9584489041170392</v>
      </c>
      <c r="F53" s="434" t="str">
        <f>IF(OR(E53&gt;=0.3,E53&lt;=-0.3),"超过30%","")</f>
        <v>超过30%</v>
      </c>
      <c r="G53" s="433">
        <f>IF(G48&lt;G49,G49/G48-1,G48/G49-1)</f>
        <v>0.93878147372522291</v>
      </c>
      <c r="H53" s="434" t="str">
        <f>IF(OR(G53&gt;=0.3,G53&lt;=-0.3),"超过30%","")</f>
        <v>超过30%</v>
      </c>
      <c r="I53" s="433">
        <f>IF(I48&lt;I49,I49/I48-1,I48/I49-1)</f>
        <v>0.94865299361816136</v>
      </c>
      <c r="J53" s="434"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1796</v>
      </c>
      <c r="D54" s="435"/>
      <c r="E54" s="433">
        <f>IF(E49&lt;G49,G49/E49-1,E49/G49-1)</f>
        <v>0.11671289498014903</v>
      </c>
      <c r="F54" s="434" t="str">
        <f>IF(OR(E54&gt;=0.2,E54&lt;=-0.2),"超过20%","")</f>
        <v/>
      </c>
      <c r="G54" s="433">
        <f>IF(G49&lt;I49,I49/G49-1,G49/I49-1)</f>
        <v>2.9229794904273021E-4</v>
      </c>
      <c r="H54" s="434" t="str">
        <f>IF(OR(G54&gt;=0.2,G54&lt;=-0.2),"超过20%","")</f>
        <v/>
      </c>
      <c r="I54" s="433">
        <f>IF(I49&lt;E49,E49/I49-1,I49/E49-1)</f>
        <v>0.11638657747321468</v>
      </c>
      <c r="J54" s="434"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1798</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4.4">
      <c r="A59" s="439" t="s">
        <v>1679</v>
      </c>
      <c r="B59" s="440"/>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2"/>
      <c r="Q59" s="2505"/>
      <c r="R59" s="2505"/>
      <c r="S59" s="2505"/>
      <c r="T59" s="2505"/>
      <c r="U59" s="2505"/>
      <c r="V59" s="2505"/>
      <c r="W59" s="2505"/>
      <c r="X59" s="2505"/>
      <c r="Y59" s="2505"/>
      <c r="Z59" s="2505"/>
      <c r="AA59" s="2505"/>
      <c r="AB59" s="2505"/>
      <c r="AC59" s="2505"/>
    </row>
    <row r="60" spans="1:29" s="101" customFormat="1">
      <c r="A60" s="442"/>
      <c r="B60" s="443"/>
      <c r="C60" s="1100">
        <v>100</v>
      </c>
      <c r="D60" s="445"/>
      <c r="E60" s="445"/>
      <c r="F60" s="445"/>
      <c r="G60" s="445"/>
      <c r="H60" s="445"/>
      <c r="I60" s="445"/>
      <c r="J60" s="445"/>
      <c r="K60" s="445"/>
      <c r="L60" s="445"/>
      <c r="M60" s="446"/>
      <c r="N60" s="445"/>
      <c r="O60" s="446"/>
      <c r="P60" s="2523"/>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3"/>
      <c r="Q61" s="2503"/>
      <c r="R61" s="2435"/>
      <c r="S61" s="2435"/>
      <c r="T61" s="2435"/>
      <c r="U61" s="2435"/>
      <c r="V61" s="2435"/>
      <c r="W61" s="2435"/>
      <c r="X61" s="2435"/>
      <c r="Y61" s="2435"/>
      <c r="Z61" s="2435"/>
      <c r="AA61" s="2435"/>
      <c r="AB61" s="2435"/>
      <c r="AC61" s="2435"/>
    </row>
    <row r="62" spans="1:29" s="101" customFormat="1" ht="14.4">
      <c r="A62" s="454" t="s">
        <v>1681</v>
      </c>
      <c r="B62" s="443"/>
      <c r="C62" s="455" t="s">
        <v>1776</v>
      </c>
      <c r="D62" s="3152" t="s">
        <v>3432</v>
      </c>
      <c r="E62" s="30"/>
      <c r="F62" s="30"/>
      <c r="G62" s="30"/>
      <c r="H62" s="30"/>
      <c r="I62" s="30"/>
      <c r="J62" s="30"/>
      <c r="K62" s="30"/>
      <c r="L62" s="456"/>
      <c r="M62" s="457"/>
      <c r="N62" s="2515"/>
      <c r="O62" s="2515"/>
      <c r="P62" s="2524"/>
      <c r="Q62" s="2503"/>
      <c r="R62" s="2435"/>
      <c r="S62" s="2435"/>
      <c r="T62" s="2435"/>
      <c r="U62" s="2435"/>
      <c r="V62" s="2435"/>
      <c r="W62" s="2435"/>
      <c r="X62" s="2435"/>
      <c r="Y62" s="2435"/>
      <c r="Z62" s="2435"/>
      <c r="AA62" s="2435"/>
      <c r="AB62" s="2435"/>
      <c r="AC62" s="2435"/>
    </row>
    <row r="63" spans="1:29" s="101" customFormat="1" ht="14.4" thickBot="1">
      <c r="A63" s="454"/>
      <c r="B63" s="443"/>
      <c r="C63" s="444">
        <v>100</v>
      </c>
      <c r="D63" s="445">
        <v>102</v>
      </c>
      <c r="E63" s="445"/>
      <c r="F63" s="445"/>
      <c r="G63" s="445"/>
      <c r="H63" s="445"/>
      <c r="I63" s="445"/>
      <c r="J63" s="445"/>
      <c r="K63" s="445"/>
      <c r="L63" s="445"/>
      <c r="M63" s="447"/>
      <c r="N63" s="2515"/>
      <c r="O63" s="2515"/>
      <c r="P63" s="2523"/>
      <c r="Q63" s="2503"/>
      <c r="R63" s="2435"/>
      <c r="S63" s="2435"/>
      <c r="T63" s="2435"/>
      <c r="U63" s="2435"/>
      <c r="V63" s="2435"/>
      <c r="W63" s="2435"/>
      <c r="X63" s="2435"/>
      <c r="Y63" s="2435"/>
      <c r="Z63" s="2435"/>
      <c r="AA63" s="2435"/>
      <c r="AB63" s="2435"/>
      <c r="AC63" s="2435"/>
    </row>
    <row r="64" spans="1:29" ht="14.4">
      <c r="A64" s="378" t="s">
        <v>1719</v>
      </c>
      <c r="B64" s="459" t="s">
        <v>1685</v>
      </c>
      <c r="C64" s="460" t="str">
        <f>C9</f>
        <v>办公</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4.4"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9.4" thickTop="1">
      <c r="A66" s="366"/>
      <c r="B66" s="468" t="s">
        <v>1688</v>
      </c>
      <c r="C66" s="512" t="s">
        <v>3423</v>
      </c>
      <c r="D66" s="3151" t="s">
        <v>3424</v>
      </c>
      <c r="E66" s="3151" t="s">
        <v>3425</v>
      </c>
      <c r="F66" s="512" t="s">
        <v>3426</v>
      </c>
      <c r="G66" s="512" t="s">
        <v>3427</v>
      </c>
      <c r="H66" s="512" t="s">
        <v>3428</v>
      </c>
      <c r="I66" s="512" t="s">
        <v>3429</v>
      </c>
      <c r="J66" s="512" t="s">
        <v>3430</v>
      </c>
      <c r="K66" s="513"/>
      <c r="L66" s="514"/>
      <c r="M66" s="515"/>
      <c r="N66" s="2516"/>
      <c r="O66" s="2516"/>
      <c r="P66" s="2525"/>
      <c r="Q66" s="2503"/>
      <c r="R66" s="2482"/>
      <c r="S66" s="2482"/>
      <c r="T66" s="2482"/>
      <c r="U66" s="2482"/>
      <c r="V66" s="2482"/>
      <c r="W66" s="2482"/>
      <c r="X66" s="2482"/>
      <c r="Y66" s="2482"/>
      <c r="Z66" s="2482"/>
      <c r="AA66" s="2482"/>
      <c r="AB66" s="2482"/>
      <c r="AC66" s="2482"/>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7"/>
      <c r="O67" s="2517"/>
      <c r="P67" s="2525"/>
      <c r="Q67" s="2503"/>
      <c r="R67" s="2482"/>
      <c r="S67" s="2482"/>
      <c r="T67" s="2482"/>
      <c r="U67" s="2482"/>
      <c r="V67" s="2482"/>
      <c r="W67" s="2482"/>
      <c r="X67" s="2482"/>
      <c r="Y67" s="2482"/>
      <c r="Z67" s="2482"/>
      <c r="AA67" s="2482"/>
      <c r="AB67" s="2482"/>
      <c r="AC67" s="2482"/>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7"/>
      <c r="O70" s="2517"/>
      <c r="P70" s="2525"/>
      <c r="Q70" s="2503"/>
      <c r="R70" s="2482"/>
      <c r="S70" s="2482"/>
      <c r="T70" s="2482"/>
      <c r="U70" s="2482"/>
      <c r="V70" s="2482"/>
      <c r="W70" s="2482"/>
      <c r="X70" s="2482"/>
      <c r="Y70" s="2482"/>
      <c r="Z70" s="2482"/>
      <c r="AA70" s="2482"/>
      <c r="AB70" s="2482"/>
      <c r="AC70" s="2482"/>
    </row>
    <row r="71" spans="1:29" s="407" customFormat="1" ht="14.4"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4.4"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4.4"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4.4"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4.4" thickTop="1">
      <c r="A75" s="483"/>
      <c r="B75" s="476">
        <f>B14</f>
        <v>111</v>
      </c>
      <c r="C75" s="30"/>
      <c r="D75" s="30"/>
      <c r="E75" s="30"/>
      <c r="F75" s="30"/>
      <c r="G75" s="30"/>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4.4"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ht="14.4">
      <c r="A77" s="378" t="s">
        <v>1690</v>
      </c>
      <c r="B77" s="459" t="s">
        <v>1821</v>
      </c>
      <c r="C77" s="503" t="s">
        <v>1721</v>
      </c>
      <c r="D77" s="503" t="s">
        <v>1722</v>
      </c>
      <c r="E77" s="503" t="s">
        <v>1723</v>
      </c>
      <c r="F77" s="503" t="s">
        <v>1724</v>
      </c>
      <c r="G77" s="503" t="s">
        <v>1725</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4.4" thickBot="1">
      <c r="A78" s="366"/>
      <c r="B78" s="473"/>
      <c r="C78" s="474">
        <v>100</v>
      </c>
      <c r="D78" s="474">
        <f>C78-$K15</f>
        <v>97</v>
      </c>
      <c r="E78" s="474">
        <f>D78-$K15</f>
        <v>94</v>
      </c>
      <c r="F78" s="474">
        <f>E78-$K15</f>
        <v>91</v>
      </c>
      <c r="G78" s="474">
        <f>F78-$K15</f>
        <v>88</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 thickTop="1">
      <c r="A79" s="366"/>
      <c r="B79" s="468" t="s">
        <v>1726</v>
      </c>
      <c r="C79" s="508" t="s">
        <v>1721</v>
      </c>
      <c r="D79" s="508" t="s">
        <v>1722</v>
      </c>
      <c r="E79" s="508" t="s">
        <v>1723</v>
      </c>
      <c r="F79" s="508" t="s">
        <v>1724</v>
      </c>
      <c r="G79" s="508" t="s">
        <v>1725</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4.4" thickBot="1">
      <c r="A80" s="366"/>
      <c r="B80" s="473"/>
      <c r="C80" s="474">
        <v>100</v>
      </c>
      <c r="D80" s="474">
        <f>C80-$K17</f>
        <v>98</v>
      </c>
      <c r="E80" s="474">
        <f>D80-$K17</f>
        <v>96</v>
      </c>
      <c r="F80" s="474">
        <f>E80-$K17</f>
        <v>94</v>
      </c>
      <c r="G80" s="474">
        <f>F80-$K17</f>
        <v>92</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 thickTop="1">
      <c r="A81" s="366"/>
      <c r="B81" s="468" t="s">
        <v>1727</v>
      </c>
      <c r="C81" s="508" t="s">
        <v>1721</v>
      </c>
      <c r="D81" s="508" t="s">
        <v>1722</v>
      </c>
      <c r="E81" s="508" t="s">
        <v>1723</v>
      </c>
      <c r="F81" s="508" t="s">
        <v>1724</v>
      </c>
      <c r="G81" s="508" t="s">
        <v>1725</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4.4" thickBot="1">
      <c r="A82" s="366"/>
      <c r="B82" s="473"/>
      <c r="C82" s="474">
        <v>100</v>
      </c>
      <c r="D82" s="474">
        <f>C82-$K19</f>
        <v>98</v>
      </c>
      <c r="E82" s="474">
        <f>D82-$K19</f>
        <v>96</v>
      </c>
      <c r="F82" s="474">
        <f>E82-$K19</f>
        <v>94</v>
      </c>
      <c r="G82" s="474">
        <f>F82-$K19</f>
        <v>92</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 thickTop="1">
      <c r="A83" s="366"/>
      <c r="B83" s="476" t="s">
        <v>1813</v>
      </c>
      <c r="C83" s="580" t="s">
        <v>1799</v>
      </c>
      <c r="D83" s="580" t="s">
        <v>1800</v>
      </c>
      <c r="E83" s="580" t="s">
        <v>1801</v>
      </c>
      <c r="F83" s="580" t="s">
        <v>1802</v>
      </c>
      <c r="G83" s="580" t="s">
        <v>1803</v>
      </c>
      <c r="H83" s="469"/>
      <c r="I83" s="469"/>
      <c r="J83" s="469"/>
      <c r="K83" s="469"/>
      <c r="L83" s="469"/>
      <c r="M83" s="1061"/>
      <c r="N83" s="2517"/>
      <c r="O83" s="2517"/>
      <c r="P83" s="2525"/>
      <c r="Q83" s="2503"/>
      <c r="R83" s="2482"/>
      <c r="S83" s="2482"/>
      <c r="T83" s="2482"/>
      <c r="U83" s="2482"/>
      <c r="V83" s="2482"/>
      <c r="W83" s="2482"/>
      <c r="X83" s="2482"/>
      <c r="Y83" s="2482"/>
      <c r="Z83" s="2482"/>
      <c r="AA83" s="2482"/>
      <c r="AB83" s="2482"/>
      <c r="AC83" s="2482"/>
    </row>
    <row r="84" spans="1:29" ht="14.4" thickBot="1">
      <c r="A84" s="366"/>
      <c r="B84" s="476"/>
      <c r="C84" s="474">
        <v>100</v>
      </c>
      <c r="D84" s="474">
        <f>C84-$K21</f>
        <v>99</v>
      </c>
      <c r="E84" s="474">
        <f>D84-$K21</f>
        <v>98</v>
      </c>
      <c r="F84" s="474">
        <f>E84-$K21</f>
        <v>97</v>
      </c>
      <c r="G84" s="474">
        <f>F84-$K21</f>
        <v>96</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 thickTop="1">
      <c r="A85" s="366"/>
      <c r="B85" s="468" t="s">
        <v>1822</v>
      </c>
      <c r="C85" s="508" t="s">
        <v>1721</v>
      </c>
      <c r="D85" s="508" t="s">
        <v>1722</v>
      </c>
      <c r="E85" s="508" t="s">
        <v>1723</v>
      </c>
      <c r="F85" s="508" t="s">
        <v>1724</v>
      </c>
      <c r="G85" s="508" t="s">
        <v>1725</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4.4" thickBot="1">
      <c r="A86" s="366"/>
      <c r="B86" s="473"/>
      <c r="C86" s="474">
        <v>100</v>
      </c>
      <c r="D86" s="474">
        <f>C86-$K23</f>
        <v>98</v>
      </c>
      <c r="E86" s="474">
        <f>D86-$K23</f>
        <v>96</v>
      </c>
      <c r="F86" s="474">
        <f>E86-$K23</f>
        <v>94</v>
      </c>
      <c r="G86" s="474">
        <f>F86-$K23</f>
        <v>92</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9.4" thickTop="1">
      <c r="A87" s="369"/>
      <c r="B87" s="468" t="s">
        <v>1823</v>
      </c>
      <c r="C87" s="3153" t="s">
        <v>3435</v>
      </c>
      <c r="D87" s="3154" t="s">
        <v>3436</v>
      </c>
      <c r="E87" s="3154" t="s">
        <v>3438</v>
      </c>
      <c r="F87" s="3154" t="s">
        <v>3439</v>
      </c>
      <c r="G87" s="484"/>
      <c r="H87" s="484"/>
      <c r="I87" s="484"/>
      <c r="J87" s="484"/>
      <c r="K87" s="484"/>
      <c r="L87" s="509"/>
      <c r="M87" s="510"/>
      <c r="N87" s="2515"/>
      <c r="O87" s="2515"/>
      <c r="P87" s="2525"/>
      <c r="Q87" s="2503"/>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7"/>
      <c r="O88" s="2517"/>
      <c r="P88" s="2525"/>
      <c r="Q88" s="2503"/>
      <c r="R88" s="2435"/>
      <c r="S88" s="2435"/>
      <c r="T88" s="2435"/>
      <c r="U88" s="2435"/>
      <c r="V88" s="2435"/>
      <c r="W88" s="2435"/>
      <c r="X88" s="2435"/>
      <c r="Y88" s="2435"/>
      <c r="Z88" s="2435"/>
      <c r="AA88" s="2435"/>
      <c r="AB88" s="2435"/>
      <c r="AC88" s="2435"/>
    </row>
    <row r="89" spans="1:29" s="101" customFormat="1" ht="15" thickTop="1">
      <c r="A89" s="369"/>
      <c r="B89" s="468" t="str">
        <f>B27</f>
        <v>楼层</v>
      </c>
      <c r="C89" s="3154" t="s">
        <v>3441</v>
      </c>
      <c r="D89" s="3154" t="s">
        <v>3443</v>
      </c>
      <c r="E89" s="3154" t="s">
        <v>3444</v>
      </c>
      <c r="F89" s="1778"/>
      <c r="G89" s="484"/>
      <c r="H89" s="484"/>
      <c r="I89" s="484"/>
      <c r="J89" s="484"/>
      <c r="K89" s="484"/>
      <c r="L89" s="484"/>
      <c r="M89" s="510"/>
      <c r="N89" s="2515"/>
      <c r="O89" s="2515"/>
      <c r="P89" s="2525"/>
      <c r="Q89" s="2503"/>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7"/>
      <c r="O90" s="2517"/>
      <c r="P90" s="2525"/>
      <c r="Q90" s="2503"/>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4.4"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4.4"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4.4"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4.4"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4.4"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4.4" thickTop="1">
      <c r="A99" s="366"/>
      <c r="B99" s="476">
        <f>B32</f>
        <v>111</v>
      </c>
      <c r="C99" s="30"/>
      <c r="D99" s="30"/>
      <c r="E99" s="30"/>
      <c r="F99" s="30"/>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4.4"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ht="14.4">
      <c r="A101" s="378" t="s">
        <v>1694</v>
      </c>
      <c r="B101" s="459" t="s">
        <v>1736</v>
      </c>
      <c r="C101" s="3155" t="s">
        <v>3446</v>
      </c>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v>0</v>
      </c>
      <c r="D104" s="6">
        <v>100</v>
      </c>
      <c r="E104" s="6">
        <v>300</v>
      </c>
      <c r="F104" s="6">
        <v>500</v>
      </c>
      <c r="G104" s="6">
        <v>700</v>
      </c>
      <c r="H104" s="6">
        <v>900</v>
      </c>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1738</v>
      </c>
      <c r="C106" s="3154" t="s">
        <v>3447</v>
      </c>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1740</v>
      </c>
      <c r="C108" s="3154" t="s">
        <v>3448</v>
      </c>
      <c r="D108" s="3154" t="s">
        <v>3450</v>
      </c>
      <c r="E108" s="3154" t="s">
        <v>3451</v>
      </c>
      <c r="F108" s="3156" t="s">
        <v>3452</v>
      </c>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1824</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1741</v>
      </c>
      <c r="C115" s="3154" t="s">
        <v>3454</v>
      </c>
      <c r="D115" s="3154" t="s">
        <v>3455</v>
      </c>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1742</v>
      </c>
      <c r="C117" s="3154" t="s">
        <v>3456</v>
      </c>
      <c r="D117" s="3154" t="s">
        <v>3457</v>
      </c>
      <c r="E117" s="3154" t="s">
        <v>3458</v>
      </c>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1825</v>
      </c>
      <c r="C119" s="3156" t="s">
        <v>3460</v>
      </c>
      <c r="D119" s="512"/>
      <c r="E119" s="512"/>
      <c r="F119" s="512"/>
      <c r="G119" s="512"/>
      <c r="H119" s="512"/>
      <c r="I119" s="512"/>
      <c r="J119" s="512"/>
      <c r="K119" s="512"/>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1808</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4.4"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1744</v>
      </c>
      <c r="C123" s="3154" t="s">
        <v>3448</v>
      </c>
      <c r="D123" s="3154" t="s">
        <v>3450</v>
      </c>
      <c r="E123" s="3154" t="s">
        <v>3451</v>
      </c>
      <c r="F123" s="3156" t="s">
        <v>3452</v>
      </c>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4.4"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4.4"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4.4"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4.4"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4.4" thickTop="1">
      <c r="A131" s="408"/>
      <c r="B131" s="476">
        <f>B47</f>
        <v>111</v>
      </c>
      <c r="C131" s="30"/>
      <c r="D131" s="30"/>
      <c r="E131" s="30"/>
      <c r="F131" s="30"/>
      <c r="G131" s="516"/>
      <c r="H131" s="516"/>
      <c r="I131" s="516"/>
      <c r="J131" s="516"/>
      <c r="K131" s="30"/>
      <c r="L131" s="456"/>
      <c r="M131" s="519"/>
      <c r="N131" s="2516"/>
      <c r="O131" s="2516"/>
      <c r="P131" s="2525"/>
      <c r="Q131" s="2503"/>
      <c r="R131" s="2482"/>
      <c r="S131" s="2482"/>
      <c r="T131" s="2482"/>
      <c r="U131" s="2482"/>
      <c r="V131" s="2482"/>
      <c r="W131" s="2482"/>
      <c r="X131" s="2482"/>
      <c r="Y131" s="2482"/>
      <c r="Z131" s="2482"/>
      <c r="AA131" s="2482"/>
      <c r="AB131" s="2482"/>
      <c r="AC131" s="2482"/>
    </row>
    <row r="132" spans="1:29" ht="14.4"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2" t="s">
        <v>21</v>
      </c>
      <c r="C1" s="1715" t="s">
        <v>1563</v>
      </c>
      <c r="D1" s="189"/>
      <c r="E1" s="189"/>
      <c r="F1" s="189"/>
      <c r="G1" s="1060" t="e">
        <f>MATCH(B1,'数据-取费表'!A6:A16,0)+5</f>
        <v>#N/A</v>
      </c>
      <c r="H1" s="996" t="str">
        <f>IF(ISERROR(FIND("住宅",B1)),"非住宅","住宅")</f>
        <v>非住宅</v>
      </c>
    </row>
    <row r="2" spans="1:8" s="191" customFormat="1" ht="18" customHeight="1">
      <c r="A2" s="192" t="s">
        <v>1462</v>
      </c>
      <c r="B2" s="3117" t="e">
        <f ca="1">ROUND(IF(D2="——",C52/10000,C52/10000-E2),4)</f>
        <v>#N/A</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t="e">
        <f ca="1">ROUND(B2*10000/(IF(B1="",'数据-汇总表'!E3,INDIRECT("'数据-取费表'!k"&amp;$G$1))),0)</f>
        <v>#N/A</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t="e">
        <f ca="1">C6+C7+C8</f>
        <v>#N/A</v>
      </c>
      <c r="D5" s="202" t="s">
        <v>1469</v>
      </c>
      <c r="E5" s="203" t="s">
        <v>1470</v>
      </c>
      <c r="F5" s="203" t="s">
        <v>1471</v>
      </c>
      <c r="G5" s="204"/>
    </row>
    <row r="6" spans="1:8" s="205" customFormat="1" ht="13.5" customHeight="1">
      <c r="A6" s="731" t="s">
        <v>1472</v>
      </c>
      <c r="B6" s="206" t="s">
        <v>1473</v>
      </c>
      <c r="C6" s="207" t="e">
        <f ca="1">ROUND(23000*D10,0)</f>
        <v>#N/A</v>
      </c>
      <c r="D6" s="208"/>
      <c r="E6" s="209"/>
      <c r="F6" s="209"/>
      <c r="G6" s="210"/>
    </row>
    <row r="7" spans="1:8" s="205" customFormat="1" ht="13.5" customHeight="1">
      <c r="A7" s="731" t="s">
        <v>1474</v>
      </c>
      <c r="B7" s="206" t="s">
        <v>1475</v>
      </c>
      <c r="C7" s="211" t="e">
        <f ca="1">ROUND(C6*F7,0)</f>
        <v>#N/A</v>
      </c>
      <c r="D7" s="211"/>
      <c r="E7" s="209"/>
      <c r="F7" s="212">
        <f>IF(项目基本情况!B8="出让",0,'数据-取费表'!B48+'数据-取费表'!B49)</f>
        <v>3.0499999999999999E-2</v>
      </c>
      <c r="G7" s="210"/>
    </row>
    <row r="8" spans="1:8" s="214" customFormat="1">
      <c r="A8" s="731" t="s">
        <v>1476</v>
      </c>
      <c r="B8" s="206" t="s">
        <v>1477</v>
      </c>
      <c r="C8" s="211" t="e">
        <f ca="1">IF(G8="已包含在土地购买价格中",0,C9+C10)</f>
        <v>#N/A</v>
      </c>
      <c r="D8" s="213"/>
      <c r="E8" s="211"/>
      <c r="F8" s="212"/>
      <c r="G8" s="1712" t="s">
        <v>3414</v>
      </c>
    </row>
    <row r="9" spans="1:8" s="205" customFormat="1" ht="13.5" customHeight="1">
      <c r="A9" s="732" t="s">
        <v>355</v>
      </c>
      <c r="B9" s="215" t="s">
        <v>1478</v>
      </c>
      <c r="C9" s="216" t="e">
        <f ca="1">ROUND(D9*E9,0)</f>
        <v>#N/A</v>
      </c>
      <c r="D9" s="794" t="e">
        <f ca="1">IF(B1="",'数据-汇总表'!E5,IF(INDIRECT("'数据-取费表'!c"&amp;$G$1)="住宅",INDIRECT("'数据-取费表'!k"&amp;$G$1),0))</f>
        <v>#N/A</v>
      </c>
      <c r="E9" s="216">
        <f>'数据-取费表'!B27</f>
        <v>150</v>
      </c>
      <c r="F9" s="212"/>
      <c r="G9" s="217"/>
    </row>
    <row r="10" spans="1:8" s="205" customFormat="1" ht="13.5" customHeight="1">
      <c r="A10" s="732" t="s">
        <v>356</v>
      </c>
      <c r="B10" s="215" t="s">
        <v>1480</v>
      </c>
      <c r="C10" s="216" t="e">
        <f ca="1">ROUND(D10*E10,0)</f>
        <v>#N/A</v>
      </c>
      <c r="D10" s="794" t="e">
        <f ca="1">IF(B1="",'数据-汇总表'!E6,IF(INDIRECT("'数据-取费表'!c"&amp;$G$1)="住宅",INDIRECT("'数据-取费表'!s"&amp;$G$1),INDIRECT("'数据-取费表'!k"&amp;$G$1)+INDIRECT("'数据-取费表'!s"&amp;$G$1)))</f>
        <v>#N/A</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t="e">
        <f ca="1">D9+D10</f>
        <v>#N/A</v>
      </c>
      <c r="E19" s="202">
        <f>'数据-取费表'!B31</f>
        <v>200</v>
      </c>
      <c r="F19" s="222"/>
      <c r="G19" s="1712" t="s">
        <v>3415</v>
      </c>
    </row>
    <row r="20" spans="1:7" s="205" customFormat="1" ht="13.5" customHeight="1">
      <c r="A20" s="246" t="s">
        <v>1574</v>
      </c>
      <c r="B20" s="201" t="s">
        <v>1575</v>
      </c>
      <c r="C20" s="223" t="e">
        <f ca="1">ROUND((C5+C19)*F20,0)</f>
        <v>#N/A</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t="e">
        <f ca="1">ROUND(SUM(C23:C25),0)</f>
        <v>#N/A</v>
      </c>
      <c r="D22" s="226">
        <f ca="1">C26</f>
        <v>8.9999999999999998E-4</v>
      </c>
      <c r="E22" s="227" t="s">
        <v>1579</v>
      </c>
      <c r="F22" s="228">
        <f ca="1">'数据-取费表'!B40</f>
        <v>3.1E-2</v>
      </c>
      <c r="G22" s="225" t="str">
        <f>IF('数据-取费表'!B22&lt;=1,"单利计息","复利计息")</f>
        <v>复利计息</v>
      </c>
    </row>
    <row r="23" spans="1:7" s="205" customFormat="1" ht="13.5" customHeight="1">
      <c r="A23" s="733" t="s">
        <v>1472</v>
      </c>
      <c r="B23" s="206" t="s">
        <v>1583</v>
      </c>
      <c r="C23" s="229" t="e">
        <f ca="1">ROUND(IF('数据-取费表'!B22&lt;=1,C5*F22*'数据-取费表'!B22,C5*(POWER((1+F22),'数据-取费表'!B22)-1)),0)</f>
        <v>#N/A</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t="e">
        <f ca="1">ROUND(IF('数据-取费表'!B22&lt;=1,C20*F22*'数据-取费表'!B22/2,C20*(POWER((1+F22),'数据-取费表'!B22/2)-1)),0)</f>
        <v>#N/A</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7" s="205" customFormat="1" ht="13.5" customHeight="1">
      <c r="A28" s="733" t="s">
        <v>346</v>
      </c>
      <c r="B28" s="239" t="s">
        <v>1516</v>
      </c>
      <c r="C28" s="240" t="e">
        <f ca="1">ROUND((C5+C19+C20)*F27,0)</f>
        <v>#N/A</v>
      </c>
      <c r="D28" s="226"/>
      <c r="E28" s="227"/>
      <c r="F28" s="237"/>
      <c r="G28" s="238"/>
    </row>
    <row r="29" spans="1:7" s="205" customFormat="1" ht="13.5" customHeight="1">
      <c r="A29" s="733"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#N/A</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3"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3" t="s">
        <v>351</v>
      </c>
      <c r="B35" s="206" t="s">
        <v>1527</v>
      </c>
      <c r="C35" s="211" t="e">
        <f ca="1">ROUND(C34*F35,0)</f>
        <v>#N/A</v>
      </c>
      <c r="D35" s="211"/>
      <c r="E35" s="211"/>
      <c r="F35" s="250">
        <f>'数据-取费表'!B33</f>
        <v>7.0000000000000007E-2</v>
      </c>
      <c r="G35" s="210" t="s">
        <v>1528</v>
      </c>
    </row>
    <row r="36" spans="1:7" ht="24">
      <c r="A36" s="733"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3" t="s">
        <v>353</v>
      </c>
      <c r="B37" s="206" t="s">
        <v>1531</v>
      </c>
      <c r="C37" s="240" t="e">
        <f ca="1">ROUND(E37*D37,0)</f>
        <v>#N/A</v>
      </c>
      <c r="D37" s="208" t="e">
        <f ca="1">D19</f>
        <v>#N/A</v>
      </c>
      <c r="E37" s="240">
        <f>'数据-取费表'!B35</f>
        <v>200</v>
      </c>
      <c r="F37" s="250"/>
      <c r="G37" s="252"/>
    </row>
    <row r="38" spans="1:7" ht="13.5" customHeight="1">
      <c r="A38" s="733"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t="e">
        <f ca="1">ROUND(IF('数据-取费表'!B22&lt;=1,C33*F22*'数据-取费表'!B20/2,C33*(POWER((1+F22),'数据-取费表'!B20/2)-1)),0)</f>
        <v>#N/A</v>
      </c>
      <c r="D42" s="229"/>
      <c r="E42" s="229"/>
      <c r="F42" s="230"/>
      <c r="G42" s="3377" t="s">
        <v>1591</v>
      </c>
    </row>
    <row r="43" spans="1:7" ht="13.5" customHeight="1">
      <c r="A43" s="733" t="s">
        <v>347</v>
      </c>
      <c r="B43" s="206" t="s">
        <v>1545</v>
      </c>
      <c r="C43" s="229" t="e">
        <f ca="1">ROUND(IF('数据-取费表'!B22&lt;=1,C39*F22*'数据-取费表'!B20/2,C39*(POWER((1+F22),'数据-取费表'!B20/2)-1)),0)</f>
        <v>#N/A</v>
      </c>
      <c r="D43" s="229"/>
      <c r="E43" s="229"/>
      <c r="F43" s="230"/>
      <c r="G43" s="3378"/>
    </row>
    <row r="44" spans="1:7" ht="13.5" customHeight="1">
      <c r="A44" s="733" t="s">
        <v>348</v>
      </c>
      <c r="B44" s="206" t="s">
        <v>1546</v>
      </c>
      <c r="C44" s="229">
        <f ca="1">ROUND(IF('数据-取费表'!B22&lt;=1,C40*F22*'数据-取费表'!B20/2,C40*(POWER((1+F22),'数据-取费表'!B20/2)-1)),4)</f>
        <v>8.9999999999999998E-4</v>
      </c>
      <c r="D44" s="229"/>
      <c r="E44" s="229"/>
      <c r="F44" s="230"/>
      <c r="G44" s="3379"/>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3" t="s">
        <v>346</v>
      </c>
      <c r="B46" s="239" t="s">
        <v>1549</v>
      </c>
      <c r="C46" s="240" t="e">
        <f ca="1">ROUND((C33+C39)*F27,0)</f>
        <v>#N/A</v>
      </c>
      <c r="D46" s="254"/>
      <c r="E46" s="227"/>
      <c r="F46" s="237"/>
      <c r="G46" s="238"/>
    </row>
    <row r="47" spans="1:7" s="205" customFormat="1" ht="13.5" customHeight="1">
      <c r="A47" s="733"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89" t="s">
        <v>2603</v>
      </c>
      <c r="B20" s="3484" t="s">
        <v>2624</v>
      </c>
      <c r="C20" s="2837" t="s">
        <v>2435</v>
      </c>
      <c r="D20" s="2838"/>
      <c r="E20" s="2839">
        <v>1</v>
      </c>
      <c r="F20" s="2840" t="s">
        <v>2436</v>
      </c>
      <c r="G20" s="2840"/>
    </row>
    <row r="21" spans="1:13" ht="19.5" customHeight="1">
      <c r="A21" s="3490"/>
      <c r="B21" s="3483"/>
      <c r="C21" s="2841" t="s">
        <v>2437</v>
      </c>
      <c r="D21" s="2842"/>
      <c r="E21" s="2843">
        <v>1</v>
      </c>
      <c r="F21" s="2840" t="s">
        <v>2438</v>
      </c>
      <c r="G21" s="2840"/>
    </row>
    <row r="22" spans="1:13" ht="19.5" customHeight="1">
      <c r="A22" s="3490"/>
      <c r="B22" s="3483"/>
      <c r="C22" s="2841" t="s">
        <v>2439</v>
      </c>
      <c r="D22" s="2842"/>
      <c r="E22" s="2843">
        <v>0.9</v>
      </c>
      <c r="F22" s="2840" t="s">
        <v>2440</v>
      </c>
      <c r="G22" s="2840"/>
    </row>
    <row r="23" spans="1:13" ht="19.5" customHeight="1">
      <c r="A23" s="3490"/>
      <c r="B23" s="3483"/>
      <c r="C23" s="2841" t="s">
        <v>2441</v>
      </c>
      <c r="D23" s="2842"/>
      <c r="E23" s="2843">
        <v>0.9</v>
      </c>
      <c r="F23" s="2840" t="s">
        <v>2442</v>
      </c>
      <c r="G23" s="2840"/>
    </row>
    <row r="24" spans="1:13" ht="19.5" customHeight="1">
      <c r="A24" s="3490"/>
      <c r="B24" s="3483"/>
      <c r="C24" s="2841" t="s">
        <v>2443</v>
      </c>
      <c r="D24" s="2842"/>
      <c r="E24" s="2843">
        <v>0.8</v>
      </c>
      <c r="F24" s="2840" t="s">
        <v>2444</v>
      </c>
      <c r="G24" s="2840"/>
    </row>
    <row r="25" spans="1:13" ht="19.5" customHeight="1" thickBot="1">
      <c r="A25" s="3491"/>
      <c r="B25" s="3485"/>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6" t="s">
        <v>2627</v>
      </c>
      <c r="B27" s="3484" t="s">
        <v>2608</v>
      </c>
      <c r="C27" s="2837" t="s">
        <v>2448</v>
      </c>
      <c r="D27" s="2838"/>
      <c r="E27" s="2839">
        <v>1</v>
      </c>
      <c r="F27" s="2840" t="s">
        <v>2449</v>
      </c>
      <c r="G27" s="2840"/>
    </row>
    <row r="28" spans="1:13" ht="19.5" customHeight="1">
      <c r="A28" s="3487"/>
      <c r="B28" s="3483"/>
      <c r="C28" s="2841" t="s">
        <v>2450</v>
      </c>
      <c r="D28" s="2842"/>
      <c r="E28" s="2843">
        <v>1</v>
      </c>
      <c r="F28" s="2840" t="s">
        <v>2451</v>
      </c>
      <c r="G28" s="2840"/>
    </row>
    <row r="29" spans="1:13" ht="19.5" customHeight="1">
      <c r="A29" s="3487"/>
      <c r="B29" s="3483"/>
      <c r="C29" s="2841" t="s">
        <v>2452</v>
      </c>
      <c r="D29" s="2842"/>
      <c r="E29" s="2843">
        <v>0.8</v>
      </c>
      <c r="F29" s="2840" t="s">
        <v>2453</v>
      </c>
      <c r="G29" s="2840"/>
    </row>
    <row r="30" spans="1:13" ht="19.5" customHeight="1">
      <c r="A30" s="3487"/>
      <c r="B30" s="3483"/>
      <c r="C30" s="2841" t="s">
        <v>2454</v>
      </c>
      <c r="D30" s="2842"/>
      <c r="E30" s="2843">
        <v>0.8</v>
      </c>
      <c r="F30" s="2840" t="s">
        <v>2455</v>
      </c>
      <c r="G30" s="2840"/>
    </row>
    <row r="31" spans="1:13" ht="19.5" customHeight="1">
      <c r="A31" s="3487"/>
      <c r="B31" s="3483"/>
      <c r="C31" s="2841" t="s">
        <v>2456</v>
      </c>
      <c r="D31" s="2842"/>
      <c r="E31" s="2843">
        <v>0.8</v>
      </c>
      <c r="F31" s="2840" t="s">
        <v>2457</v>
      </c>
      <c r="G31" s="2840"/>
    </row>
    <row r="32" spans="1:13" ht="19.5" customHeight="1">
      <c r="A32" s="3487"/>
      <c r="B32" s="3483"/>
      <c r="C32" s="2841" t="s">
        <v>2458</v>
      </c>
      <c r="D32" s="2842"/>
      <c r="E32" s="2843">
        <v>0.7</v>
      </c>
      <c r="F32" s="2840" t="s">
        <v>2459</v>
      </c>
      <c r="G32" s="2840"/>
    </row>
    <row r="33" spans="1:7" ht="19.5" customHeight="1">
      <c r="A33" s="3487"/>
      <c r="B33" s="3483"/>
      <c r="C33" s="2841" t="s">
        <v>2460</v>
      </c>
      <c r="D33" s="2842"/>
      <c r="E33" s="2843">
        <v>0.8</v>
      </c>
      <c r="F33" s="2840" t="s">
        <v>2461</v>
      </c>
      <c r="G33" s="2840"/>
    </row>
    <row r="34" spans="1:7" ht="19.5" customHeight="1">
      <c r="A34" s="3487"/>
      <c r="B34" s="3483"/>
      <c r="C34" s="2841" t="s">
        <v>2462</v>
      </c>
      <c r="D34" s="2842"/>
      <c r="E34" s="2843">
        <v>0.6</v>
      </c>
      <c r="F34" s="2840" t="s">
        <v>2463</v>
      </c>
      <c r="G34" s="2840"/>
    </row>
    <row r="35" spans="1:7" ht="19.5" customHeight="1">
      <c r="A35" s="3487"/>
      <c r="B35" s="3483"/>
      <c r="C35" s="2841" t="s">
        <v>2464</v>
      </c>
      <c r="D35" s="2842"/>
      <c r="E35" s="2843">
        <v>0.2</v>
      </c>
      <c r="F35" s="2840" t="s">
        <v>2465</v>
      </c>
      <c r="G35" s="2840"/>
    </row>
    <row r="36" spans="1:7" ht="19.5" customHeight="1">
      <c r="A36" s="3487"/>
      <c r="B36" s="3483"/>
      <c r="C36" s="2841" t="s">
        <v>2466</v>
      </c>
      <c r="D36" s="2842"/>
      <c r="E36" s="2843">
        <v>0.2</v>
      </c>
      <c r="F36" s="2840" t="s">
        <v>2467</v>
      </c>
      <c r="G36" s="2840"/>
    </row>
    <row r="37" spans="1:7" ht="19.5" customHeight="1">
      <c r="A37" s="3487"/>
      <c r="B37" s="3481" t="s">
        <v>2628</v>
      </c>
      <c r="C37" s="2841" t="s">
        <v>2468</v>
      </c>
      <c r="D37" s="2842"/>
      <c r="E37" s="2843">
        <v>0.6</v>
      </c>
      <c r="F37" s="2840" t="s">
        <v>2469</v>
      </c>
      <c r="G37" s="2840"/>
    </row>
    <row r="38" spans="1:7" ht="19.5" customHeight="1">
      <c r="A38" s="3487"/>
      <c r="B38" s="3483"/>
      <c r="C38" s="2841" t="s">
        <v>2470</v>
      </c>
      <c r="D38" s="2842"/>
      <c r="E38" s="2843">
        <v>0.6</v>
      </c>
      <c r="F38" s="2840" t="s">
        <v>2471</v>
      </c>
      <c r="G38" s="2840"/>
    </row>
    <row r="39" spans="1:7" ht="19.5" customHeight="1" thickBot="1">
      <c r="A39" s="3488"/>
      <c r="B39" s="3485"/>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89" t="s">
        <v>2606</v>
      </c>
      <c r="B41" s="3484" t="s">
        <v>2630</v>
      </c>
      <c r="C41" s="2837" t="s">
        <v>2475</v>
      </c>
      <c r="D41" s="2838"/>
      <c r="E41" s="2839">
        <v>1</v>
      </c>
      <c r="F41" s="2840" t="s">
        <v>2476</v>
      </c>
      <c r="G41" s="2840"/>
    </row>
    <row r="42" spans="1:7" ht="19.5" customHeight="1">
      <c r="A42" s="3490"/>
      <c r="B42" s="3483"/>
      <c r="C42" s="2841" t="s">
        <v>2477</v>
      </c>
      <c r="D42" s="2842"/>
      <c r="E42" s="2843">
        <v>1</v>
      </c>
      <c r="F42" s="2840" t="s">
        <v>2478</v>
      </c>
      <c r="G42" s="2840"/>
    </row>
    <row r="43" spans="1:7" ht="19.5" customHeight="1">
      <c r="A43" s="3490"/>
      <c r="B43" s="3482"/>
      <c r="C43" s="2841" t="s">
        <v>2479</v>
      </c>
      <c r="D43" s="2842"/>
      <c r="E43" s="2843">
        <v>1.5</v>
      </c>
      <c r="F43" s="2840" t="s">
        <v>2480</v>
      </c>
      <c r="G43" s="2840"/>
    </row>
    <row r="44" spans="1:7" ht="19.5" customHeight="1">
      <c r="A44" s="3490"/>
      <c r="B44" s="2852" t="s">
        <v>2631</v>
      </c>
      <c r="C44" s="2841" t="s">
        <v>2632</v>
      </c>
      <c r="D44" s="2842"/>
      <c r="E44" s="2843">
        <v>2</v>
      </c>
      <c r="F44" s="2840" t="s">
        <v>2481</v>
      </c>
      <c r="G44" s="2840"/>
    </row>
    <row r="45" spans="1:7" ht="19.5" customHeight="1">
      <c r="A45" s="3490"/>
      <c r="B45" s="3481" t="s">
        <v>2633</v>
      </c>
      <c r="C45" s="2841" t="s">
        <v>2482</v>
      </c>
      <c r="D45" s="2842"/>
      <c r="E45" s="2843">
        <v>1</v>
      </c>
      <c r="F45" s="2840" t="s">
        <v>2483</v>
      </c>
      <c r="G45" s="2840"/>
    </row>
    <row r="46" spans="1:7" ht="19.5" customHeight="1">
      <c r="A46" s="3490"/>
      <c r="B46" s="3483"/>
      <c r="C46" s="2841" t="s">
        <v>2484</v>
      </c>
      <c r="D46" s="2842"/>
      <c r="E46" s="2843">
        <v>1</v>
      </c>
      <c r="F46" s="2840" t="s">
        <v>2485</v>
      </c>
      <c r="G46" s="2840"/>
    </row>
    <row r="47" spans="1:7" ht="19.5" customHeight="1">
      <c r="A47" s="3490"/>
      <c r="B47" s="3483"/>
      <c r="C47" s="2841" t="s">
        <v>2486</v>
      </c>
      <c r="D47" s="2842"/>
      <c r="E47" s="2843">
        <v>1</v>
      </c>
      <c r="F47" s="2840" t="s">
        <v>2487</v>
      </c>
      <c r="G47" s="2840"/>
    </row>
    <row r="48" spans="1:7" ht="19.5" customHeight="1">
      <c r="A48" s="3490"/>
      <c r="B48" s="3483"/>
      <c r="C48" s="2841" t="s">
        <v>2488</v>
      </c>
      <c r="D48" s="2842"/>
      <c r="E48" s="2843">
        <v>1</v>
      </c>
      <c r="F48" s="2840" t="s">
        <v>2489</v>
      </c>
      <c r="G48" s="2840"/>
    </row>
    <row r="49" spans="1:7" ht="19.5" customHeight="1">
      <c r="A49" s="3490"/>
      <c r="B49" s="3483"/>
      <c r="C49" s="2841" t="s">
        <v>2490</v>
      </c>
      <c r="D49" s="2842"/>
      <c r="E49" s="2843">
        <v>1</v>
      </c>
      <c r="F49" s="2840" t="s">
        <v>2491</v>
      </c>
      <c r="G49" s="2840"/>
    </row>
    <row r="50" spans="1:7" ht="19.5" customHeight="1">
      <c r="A50" s="3490"/>
      <c r="B50" s="3483"/>
      <c r="C50" s="2841" t="s">
        <v>2492</v>
      </c>
      <c r="D50" s="2842"/>
      <c r="E50" s="2843">
        <v>1</v>
      </c>
      <c r="F50" s="2840" t="s">
        <v>2493</v>
      </c>
      <c r="G50" s="2840"/>
    </row>
    <row r="51" spans="1:7" ht="19.5" customHeight="1" thickBot="1">
      <c r="A51" s="3491"/>
      <c r="B51" s="3485"/>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81" t="s">
        <v>2647</v>
      </c>
      <c r="C73" s="2826" t="s">
        <v>2648</v>
      </c>
      <c r="D73" s="2826" t="s">
        <v>2649</v>
      </c>
      <c r="E73" s="2852">
        <v>0.2</v>
      </c>
      <c r="F73" s="2852">
        <v>25</v>
      </c>
    </row>
    <row r="74" spans="1:7" ht="24">
      <c r="A74" s="2852">
        <v>2</v>
      </c>
      <c r="B74" s="3483"/>
      <c r="C74" s="2826" t="s">
        <v>2650</v>
      </c>
      <c r="D74" s="2826" t="s">
        <v>2651</v>
      </c>
      <c r="E74" s="2852">
        <v>0.2</v>
      </c>
      <c r="F74" s="2852">
        <v>25</v>
      </c>
    </row>
    <row r="75" spans="1:7" ht="24">
      <c r="A75" s="2852">
        <v>3</v>
      </c>
      <c r="B75" s="3483"/>
      <c r="C75" s="2826" t="s">
        <v>2652</v>
      </c>
      <c r="D75" s="2826" t="s">
        <v>2653</v>
      </c>
      <c r="E75" s="2852">
        <v>0.2</v>
      </c>
      <c r="F75" s="2852">
        <v>25</v>
      </c>
    </row>
    <row r="76" spans="1:7" ht="14.4">
      <c r="A76" s="2852">
        <v>4</v>
      </c>
      <c r="B76" s="3483"/>
      <c r="C76" s="2826" t="s">
        <v>2654</v>
      </c>
      <c r="D76" s="2826" t="s">
        <v>2655</v>
      </c>
      <c r="E76" s="2852">
        <v>0.15</v>
      </c>
      <c r="F76" s="2852">
        <v>20</v>
      </c>
    </row>
    <row r="77" spans="1:7" ht="24">
      <c r="A77" s="2852">
        <v>5</v>
      </c>
      <c r="B77" s="3483"/>
      <c r="C77" s="2826" t="s">
        <v>2656</v>
      </c>
      <c r="D77" s="2826" t="s">
        <v>2657</v>
      </c>
      <c r="E77" s="2852">
        <v>0.15</v>
      </c>
      <c r="F77" s="2852">
        <v>20</v>
      </c>
    </row>
    <row r="78" spans="1:7" ht="24">
      <c r="A78" s="2852">
        <v>6</v>
      </c>
      <c r="B78" s="3483"/>
      <c r="C78" s="2826" t="s">
        <v>2658</v>
      </c>
      <c r="D78" s="2826" t="s">
        <v>2659</v>
      </c>
      <c r="E78" s="2852">
        <v>0.15</v>
      </c>
      <c r="F78" s="2852">
        <v>20</v>
      </c>
    </row>
    <row r="79" spans="1:7" ht="24">
      <c r="A79" s="2852">
        <v>7</v>
      </c>
      <c r="B79" s="3483"/>
      <c r="C79" s="2826" t="s">
        <v>2660</v>
      </c>
      <c r="D79" s="2826" t="s">
        <v>2661</v>
      </c>
      <c r="E79" s="2852">
        <v>0.15</v>
      </c>
      <c r="F79" s="2852">
        <v>20</v>
      </c>
    </row>
    <row r="80" spans="1:7" ht="24">
      <c r="A80" s="2852">
        <v>8</v>
      </c>
      <c r="B80" s="3483"/>
      <c r="C80" s="2826" t="s">
        <v>2662</v>
      </c>
      <c r="D80" s="2826" t="s">
        <v>2663</v>
      </c>
      <c r="E80" s="2852">
        <v>0.1</v>
      </c>
      <c r="F80" s="2852">
        <v>15</v>
      </c>
    </row>
    <row r="81" spans="1:6" ht="24">
      <c r="A81" s="2852">
        <v>9</v>
      </c>
      <c r="B81" s="3483"/>
      <c r="C81" s="2826" t="s">
        <v>2664</v>
      </c>
      <c r="D81" s="2826" t="s">
        <v>2665</v>
      </c>
      <c r="E81" s="2852">
        <v>0.1</v>
      </c>
      <c r="F81" s="2852">
        <v>15</v>
      </c>
    </row>
    <row r="82" spans="1:6" ht="24">
      <c r="A82" s="2852">
        <v>10</v>
      </c>
      <c r="B82" s="3483"/>
      <c r="C82" s="2826" t="s">
        <v>2666</v>
      </c>
      <c r="D82" s="2826" t="s">
        <v>2667</v>
      </c>
      <c r="E82" s="2852">
        <v>0.1</v>
      </c>
      <c r="F82" s="2852">
        <v>15</v>
      </c>
    </row>
    <row r="83" spans="1:6" ht="24">
      <c r="A83" s="2852">
        <v>11</v>
      </c>
      <c r="B83" s="3483"/>
      <c r="C83" s="2826" t="s">
        <v>2668</v>
      </c>
      <c r="D83" s="2826" t="s">
        <v>2669</v>
      </c>
      <c r="E83" s="2852">
        <v>0.1</v>
      </c>
      <c r="F83" s="2852">
        <v>15</v>
      </c>
    </row>
    <row r="84" spans="1:6" ht="24">
      <c r="A84" s="2852">
        <v>12</v>
      </c>
      <c r="B84" s="3483"/>
      <c r="C84" s="2826" t="s">
        <v>2670</v>
      </c>
      <c r="D84" s="2826" t="s">
        <v>2671</v>
      </c>
      <c r="E84" s="2852">
        <v>0.1</v>
      </c>
      <c r="F84" s="2852">
        <v>15</v>
      </c>
    </row>
    <row r="85" spans="1:6" ht="24">
      <c r="A85" s="2852">
        <v>13</v>
      </c>
      <c r="B85" s="3483"/>
      <c r="C85" s="2826" t="s">
        <v>2672</v>
      </c>
      <c r="D85" s="2826" t="s">
        <v>2673</v>
      </c>
      <c r="E85" s="2852">
        <v>0.1</v>
      </c>
      <c r="F85" s="2852">
        <v>15</v>
      </c>
    </row>
    <row r="86" spans="1:6" ht="24">
      <c r="A86" s="2852">
        <v>14</v>
      </c>
      <c r="B86" s="3483"/>
      <c r="C86" s="2826" t="s">
        <v>2674</v>
      </c>
      <c r="D86" s="2826" t="s">
        <v>2675</v>
      </c>
      <c r="E86" s="2852">
        <v>0.1</v>
      </c>
      <c r="F86" s="2852">
        <v>15</v>
      </c>
    </row>
    <row r="87" spans="1:6" ht="24">
      <c r="A87" s="2852">
        <v>15</v>
      </c>
      <c r="B87" s="3483"/>
      <c r="C87" s="2826" t="s">
        <v>2676</v>
      </c>
      <c r="D87" s="2826" t="s">
        <v>2677</v>
      </c>
      <c r="E87" s="2852">
        <v>0.1</v>
      </c>
      <c r="F87" s="2852">
        <v>15</v>
      </c>
    </row>
    <row r="88" spans="1:6" ht="24">
      <c r="A88" s="2852">
        <v>16</v>
      </c>
      <c r="B88" s="3483"/>
      <c r="C88" s="2826" t="s">
        <v>2678</v>
      </c>
      <c r="D88" s="2826" t="s">
        <v>2679</v>
      </c>
      <c r="E88" s="2852">
        <v>0.1</v>
      </c>
      <c r="F88" s="2852">
        <v>15</v>
      </c>
    </row>
    <row r="89" spans="1:6" ht="24">
      <c r="A89" s="2852">
        <v>17</v>
      </c>
      <c r="B89" s="3482"/>
      <c r="C89" s="2826" t="s">
        <v>2680</v>
      </c>
      <c r="D89" s="2826" t="s">
        <v>2681</v>
      </c>
      <c r="E89" s="2852">
        <v>0.1</v>
      </c>
      <c r="F89" s="2852">
        <v>15</v>
      </c>
    </row>
    <row r="90" spans="1:6" ht="14.4">
      <c r="A90" s="2852">
        <v>18</v>
      </c>
      <c r="B90" s="3481" t="s">
        <v>2682</v>
      </c>
      <c r="C90" s="2826" t="s">
        <v>2683</v>
      </c>
      <c r="D90" s="2826" t="s">
        <v>2684</v>
      </c>
      <c r="E90" s="2852">
        <v>0.2</v>
      </c>
      <c r="F90" s="2852">
        <v>25</v>
      </c>
    </row>
    <row r="91" spans="1:6" ht="24">
      <c r="A91" s="2852">
        <v>19</v>
      </c>
      <c r="B91" s="3483"/>
      <c r="C91" s="2826" t="s">
        <v>2685</v>
      </c>
      <c r="D91" s="2826" t="s">
        <v>2686</v>
      </c>
      <c r="E91" s="2852">
        <v>0.2</v>
      </c>
      <c r="F91" s="2852">
        <v>25</v>
      </c>
    </row>
    <row r="92" spans="1:6" ht="14.4">
      <c r="A92" s="2852">
        <v>20</v>
      </c>
      <c r="B92" s="3483"/>
      <c r="C92" s="2826" t="s">
        <v>2687</v>
      </c>
      <c r="D92" s="2826" t="s">
        <v>2688</v>
      </c>
      <c r="E92" s="2852">
        <v>0.15</v>
      </c>
      <c r="F92" s="2852">
        <v>20</v>
      </c>
    </row>
    <row r="93" spans="1:6" ht="24">
      <c r="A93" s="2852">
        <v>21</v>
      </c>
      <c r="B93" s="3483"/>
      <c r="C93" s="2826" t="s">
        <v>2689</v>
      </c>
      <c r="D93" s="2826" t="s">
        <v>2690</v>
      </c>
      <c r="E93" s="2852">
        <v>0.15</v>
      </c>
      <c r="F93" s="2852">
        <v>20</v>
      </c>
    </row>
    <row r="94" spans="1:6" ht="24">
      <c r="A94" s="2852">
        <v>22</v>
      </c>
      <c r="B94" s="3483"/>
      <c r="C94" s="2826" t="s">
        <v>2691</v>
      </c>
      <c r="D94" s="2826" t="s">
        <v>2692</v>
      </c>
      <c r="E94" s="2852">
        <v>0.15</v>
      </c>
      <c r="F94" s="2852">
        <v>20</v>
      </c>
    </row>
    <row r="95" spans="1:6" ht="36">
      <c r="A95" s="2852">
        <v>23</v>
      </c>
      <c r="B95" s="3483"/>
      <c r="C95" s="2826" t="s">
        <v>2693</v>
      </c>
      <c r="D95" s="2826" t="s">
        <v>2694</v>
      </c>
      <c r="E95" s="2852">
        <v>0.15</v>
      </c>
      <c r="F95" s="2852">
        <v>20</v>
      </c>
    </row>
    <row r="96" spans="1:6" ht="24">
      <c r="A96" s="2852">
        <v>24</v>
      </c>
      <c r="B96" s="3483"/>
      <c r="C96" s="2826" t="s">
        <v>2695</v>
      </c>
      <c r="D96" s="2826" t="s">
        <v>2696</v>
      </c>
      <c r="E96" s="2852">
        <v>0.1</v>
      </c>
      <c r="F96" s="2852">
        <v>15</v>
      </c>
    </row>
    <row r="97" spans="1:6" ht="24">
      <c r="A97" s="2852">
        <v>25</v>
      </c>
      <c r="B97" s="3483"/>
      <c r="C97" s="2826" t="s">
        <v>2697</v>
      </c>
      <c r="D97" s="2826" t="s">
        <v>2698</v>
      </c>
      <c r="E97" s="2852">
        <v>0.1</v>
      </c>
      <c r="F97" s="2852">
        <v>15</v>
      </c>
    </row>
    <row r="98" spans="1:6" ht="24">
      <c r="A98" s="2852">
        <v>26</v>
      </c>
      <c r="B98" s="3483"/>
      <c r="C98" s="2826" t="s">
        <v>2699</v>
      </c>
      <c r="D98" s="2826" t="s">
        <v>2700</v>
      </c>
      <c r="E98" s="2852">
        <v>0.1</v>
      </c>
      <c r="F98" s="2852">
        <v>15</v>
      </c>
    </row>
    <row r="99" spans="1:6" ht="24">
      <c r="A99" s="2852">
        <v>27</v>
      </c>
      <c r="B99" s="3483"/>
      <c r="C99" s="2826" t="s">
        <v>2701</v>
      </c>
      <c r="D99" s="2826" t="s">
        <v>2702</v>
      </c>
      <c r="E99" s="2852">
        <v>0.1</v>
      </c>
      <c r="F99" s="2852">
        <v>15</v>
      </c>
    </row>
    <row r="100" spans="1:6" ht="24">
      <c r="A100" s="2852">
        <v>28</v>
      </c>
      <c r="B100" s="3483"/>
      <c r="C100" s="2826" t="s">
        <v>2703</v>
      </c>
      <c r="D100" s="2826" t="s">
        <v>2704</v>
      </c>
      <c r="E100" s="2852">
        <v>0.1</v>
      </c>
      <c r="F100" s="2852">
        <v>15</v>
      </c>
    </row>
    <row r="101" spans="1:6" ht="24">
      <c r="A101" s="2852">
        <v>29</v>
      </c>
      <c r="B101" s="3483"/>
      <c r="C101" s="2826" t="s">
        <v>2705</v>
      </c>
      <c r="D101" s="2826" t="s">
        <v>2706</v>
      </c>
      <c r="E101" s="2852">
        <v>0.1</v>
      </c>
      <c r="F101" s="2852">
        <v>15</v>
      </c>
    </row>
    <row r="102" spans="1:6" ht="24">
      <c r="A102" s="2852">
        <v>30</v>
      </c>
      <c r="B102" s="3483"/>
      <c r="C102" s="2826" t="s">
        <v>2707</v>
      </c>
      <c r="D102" s="2826" t="s">
        <v>2708</v>
      </c>
      <c r="E102" s="2852">
        <v>0.1</v>
      </c>
      <c r="F102" s="2852">
        <v>15</v>
      </c>
    </row>
    <row r="103" spans="1:6" ht="24">
      <c r="A103" s="2852">
        <v>31</v>
      </c>
      <c r="B103" s="3483"/>
      <c r="C103" s="2826" t="s">
        <v>2709</v>
      </c>
      <c r="D103" s="2826" t="s">
        <v>2710</v>
      </c>
      <c r="E103" s="2852">
        <v>0.1</v>
      </c>
      <c r="F103" s="2852">
        <v>15</v>
      </c>
    </row>
    <row r="104" spans="1:6" ht="24">
      <c r="A104" s="2852">
        <v>32</v>
      </c>
      <c r="B104" s="3483"/>
      <c r="C104" s="2826" t="s">
        <v>2711</v>
      </c>
      <c r="D104" s="2826" t="s">
        <v>2712</v>
      </c>
      <c r="E104" s="2852">
        <v>0.1</v>
      </c>
      <c r="F104" s="2852">
        <v>15</v>
      </c>
    </row>
    <row r="105" spans="1:6" ht="24">
      <c r="A105" s="2852">
        <v>33</v>
      </c>
      <c r="B105" s="3483"/>
      <c r="C105" s="2826" t="s">
        <v>2713</v>
      </c>
      <c r="D105" s="2826" t="s">
        <v>2714</v>
      </c>
      <c r="E105" s="2852">
        <v>0.1</v>
      </c>
      <c r="F105" s="2852">
        <v>15</v>
      </c>
    </row>
    <row r="106" spans="1:6" ht="24">
      <c r="A106" s="2852">
        <v>34</v>
      </c>
      <c r="B106" s="3482"/>
      <c r="C106" s="2826" t="s">
        <v>2715</v>
      </c>
      <c r="D106" s="2826" t="s">
        <v>2716</v>
      </c>
      <c r="E106" s="2852">
        <v>0.1</v>
      </c>
      <c r="F106" s="2852">
        <v>15</v>
      </c>
    </row>
    <row r="107" spans="1:6" ht="36">
      <c r="A107" s="2852">
        <v>35</v>
      </c>
      <c r="B107" s="3481" t="s">
        <v>2717</v>
      </c>
      <c r="C107" s="2852" t="s">
        <v>2718</v>
      </c>
      <c r="D107" s="2826" t="s">
        <v>2719</v>
      </c>
      <c r="E107" s="2852">
        <v>0.15</v>
      </c>
      <c r="F107" s="2852">
        <v>20</v>
      </c>
    </row>
    <row r="108" spans="1:6" ht="24">
      <c r="A108" s="2852">
        <v>36</v>
      </c>
      <c r="B108" s="3483"/>
      <c r="C108" s="2852" t="s">
        <v>2720</v>
      </c>
      <c r="D108" s="2826" t="s">
        <v>2721</v>
      </c>
      <c r="E108" s="2852">
        <v>0.15</v>
      </c>
      <c r="F108" s="2852">
        <v>20</v>
      </c>
    </row>
    <row r="109" spans="1:6" ht="24">
      <c r="A109" s="2852">
        <v>37</v>
      </c>
      <c r="B109" s="3483"/>
      <c r="C109" s="2852" t="s">
        <v>2722</v>
      </c>
      <c r="D109" s="2826" t="s">
        <v>2723</v>
      </c>
      <c r="E109" s="2852">
        <v>0.15</v>
      </c>
      <c r="F109" s="2852">
        <v>20</v>
      </c>
    </row>
    <row r="110" spans="1:6" ht="24">
      <c r="A110" s="2852">
        <v>38</v>
      </c>
      <c r="B110" s="3483"/>
      <c r="C110" s="2852" t="s">
        <v>2724</v>
      </c>
      <c r="D110" s="2826" t="s">
        <v>2725</v>
      </c>
      <c r="E110" s="2852">
        <v>0.1</v>
      </c>
      <c r="F110" s="2852">
        <v>15</v>
      </c>
    </row>
    <row r="111" spans="1:6" ht="24">
      <c r="A111" s="2852">
        <v>39</v>
      </c>
      <c r="B111" s="3483"/>
      <c r="C111" s="2852" t="s">
        <v>2726</v>
      </c>
      <c r="D111" s="2826" t="s">
        <v>2727</v>
      </c>
      <c r="E111" s="2852">
        <v>0.1</v>
      </c>
      <c r="F111" s="2852">
        <v>15</v>
      </c>
    </row>
    <row r="112" spans="1:6" ht="24">
      <c r="A112" s="2852">
        <v>40</v>
      </c>
      <c r="B112" s="3482"/>
      <c r="C112" s="2852" t="s">
        <v>2728</v>
      </c>
      <c r="D112" s="2826" t="s">
        <v>2729</v>
      </c>
      <c r="E112" s="2852">
        <v>0.1</v>
      </c>
      <c r="F112" s="2852">
        <v>15</v>
      </c>
    </row>
    <row r="113" spans="1:6" ht="24">
      <c r="A113" s="2852">
        <v>41</v>
      </c>
      <c r="B113" s="3480" t="s">
        <v>2730</v>
      </c>
      <c r="C113" s="2852" t="s">
        <v>2731</v>
      </c>
      <c r="D113" s="2826" t="s">
        <v>2732</v>
      </c>
      <c r="E113" s="2852">
        <v>0.1</v>
      </c>
      <c r="F113" s="2852">
        <v>15</v>
      </c>
    </row>
    <row r="114" spans="1:6" ht="24">
      <c r="A114" s="2852">
        <v>42</v>
      </c>
      <c r="B114" s="3480"/>
      <c r="C114" s="2852" t="s">
        <v>2733</v>
      </c>
      <c r="D114" s="2826" t="s">
        <v>2734</v>
      </c>
      <c r="E114" s="2852">
        <v>0.1</v>
      </c>
      <c r="F114" s="2852">
        <v>15</v>
      </c>
    </row>
    <row r="115" spans="1:6" ht="24">
      <c r="A115" s="2852">
        <v>43</v>
      </c>
      <c r="B115" s="3480"/>
      <c r="C115" s="2852" t="s">
        <v>2735</v>
      </c>
      <c r="D115" s="2826" t="s">
        <v>2736</v>
      </c>
      <c r="E115" s="2852">
        <v>0.1</v>
      </c>
      <c r="F115" s="2852">
        <v>15</v>
      </c>
    </row>
    <row r="116" spans="1:6" ht="24">
      <c r="A116" s="2852">
        <v>44</v>
      </c>
      <c r="B116" s="3481" t="s">
        <v>2737</v>
      </c>
      <c r="C116" s="2852" t="s">
        <v>2738</v>
      </c>
      <c r="D116" s="2826" t="s">
        <v>2739</v>
      </c>
      <c r="E116" s="2852">
        <v>0.1</v>
      </c>
      <c r="F116" s="2852">
        <v>15</v>
      </c>
    </row>
    <row r="117" spans="1:6" ht="24">
      <c r="A117" s="2852">
        <v>45</v>
      </c>
      <c r="B117" s="3482"/>
      <c r="C117" s="2826" t="s">
        <v>2740</v>
      </c>
      <c r="D117" s="2826" t="s">
        <v>2741</v>
      </c>
      <c r="E117" s="2852">
        <v>0.1</v>
      </c>
      <c r="F117" s="2852">
        <v>15</v>
      </c>
    </row>
    <row r="118" spans="1:6" ht="24">
      <c r="A118" s="2852">
        <v>46</v>
      </c>
      <c r="B118" s="3481" t="s">
        <v>2742</v>
      </c>
      <c r="C118" s="2852" t="s">
        <v>2743</v>
      </c>
      <c r="D118" s="2826" t="s">
        <v>2744</v>
      </c>
      <c r="E118" s="2852">
        <v>0.1</v>
      </c>
      <c r="F118" s="2852">
        <v>15</v>
      </c>
    </row>
    <row r="119" spans="1:6" ht="24">
      <c r="A119" s="2852">
        <v>47</v>
      </c>
      <c r="B119" s="3482"/>
      <c r="C119" s="2852" t="s">
        <v>2745</v>
      </c>
      <c r="D119" s="2826" t="s">
        <v>2746</v>
      </c>
      <c r="E119" s="2852">
        <v>0.1</v>
      </c>
      <c r="F119" s="2852">
        <v>15</v>
      </c>
    </row>
    <row r="120" spans="1:6" ht="24">
      <c r="A120" s="2852">
        <v>48</v>
      </c>
      <c r="B120" s="3481" t="s">
        <v>2747</v>
      </c>
      <c r="C120" s="2852" t="s">
        <v>2748</v>
      </c>
      <c r="D120" s="2826" t="s">
        <v>2749</v>
      </c>
      <c r="E120" s="2852">
        <v>0.1</v>
      </c>
      <c r="F120" s="2852">
        <v>15</v>
      </c>
    </row>
    <row r="121" spans="1:6" ht="24">
      <c r="A121" s="2852">
        <v>49</v>
      </c>
      <c r="B121" s="3482"/>
      <c r="C121" s="2852" t="s">
        <v>2750</v>
      </c>
      <c r="D121" s="2826" t="s">
        <v>2751</v>
      </c>
      <c r="E121" s="2852">
        <v>0.1</v>
      </c>
      <c r="F121" s="2852">
        <v>15</v>
      </c>
    </row>
    <row r="122" spans="1:6" ht="24">
      <c r="A122" s="2852">
        <v>50</v>
      </c>
      <c r="B122" s="3480" t="s">
        <v>2752</v>
      </c>
      <c r="C122" s="2852" t="s">
        <v>2753</v>
      </c>
      <c r="D122" s="2826" t="s">
        <v>2754</v>
      </c>
      <c r="E122" s="2852">
        <v>0.1</v>
      </c>
      <c r="F122" s="2852">
        <v>15</v>
      </c>
    </row>
    <row r="123" spans="1:6" ht="24">
      <c r="A123" s="2852">
        <v>51</v>
      </c>
      <c r="B123" s="3480"/>
      <c r="C123" s="2852" t="s">
        <v>2755</v>
      </c>
      <c r="D123" s="2826" t="s">
        <v>2756</v>
      </c>
      <c r="E123" s="2852">
        <v>0.1</v>
      </c>
      <c r="F123" s="2852">
        <v>15</v>
      </c>
    </row>
    <row r="124" spans="1:6" ht="24">
      <c r="A124" s="2852">
        <v>52</v>
      </c>
      <c r="B124" s="3480" t="s">
        <v>2757</v>
      </c>
      <c r="C124" s="2852" t="s">
        <v>2758</v>
      </c>
      <c r="D124" s="2826" t="s">
        <v>2759</v>
      </c>
      <c r="E124" s="2852">
        <v>0.1</v>
      </c>
      <c r="F124" s="2852">
        <v>15</v>
      </c>
    </row>
    <row r="125" spans="1:6" ht="24">
      <c r="A125" s="2852">
        <v>53</v>
      </c>
      <c r="B125" s="3480"/>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80" t="s">
        <v>2765</v>
      </c>
      <c r="C127" s="2852" t="s">
        <v>2766</v>
      </c>
      <c r="D127" s="2826" t="s">
        <v>2767</v>
      </c>
      <c r="E127" s="2852">
        <v>0.1</v>
      </c>
      <c r="F127" s="2852">
        <v>15</v>
      </c>
    </row>
    <row r="128" spans="1:6" ht="24">
      <c r="A128" s="2852">
        <v>56</v>
      </c>
      <c r="B128" s="3480"/>
      <c r="C128" s="2852" t="s">
        <v>2768</v>
      </c>
      <c r="D128" s="2826" t="s">
        <v>2769</v>
      </c>
      <c r="E128" s="2852">
        <v>0.1</v>
      </c>
      <c r="F128" s="2852">
        <v>15</v>
      </c>
    </row>
    <row r="129" spans="1:6" ht="24">
      <c r="A129" s="2852">
        <v>57</v>
      </c>
      <c r="B129" s="3480"/>
      <c r="C129" s="2852" t="s">
        <v>2770</v>
      </c>
      <c r="D129" s="2826" t="s">
        <v>2771</v>
      </c>
      <c r="E129" s="2852">
        <v>0.1</v>
      </c>
      <c r="F129" s="2852">
        <v>15</v>
      </c>
    </row>
    <row r="130" spans="1:6" ht="24">
      <c r="A130" s="2852">
        <v>58</v>
      </c>
      <c r="B130" s="3480" t="s">
        <v>2772</v>
      </c>
      <c r="C130" s="2852" t="s">
        <v>2773</v>
      </c>
      <c r="D130" s="2826" t="s">
        <v>2774</v>
      </c>
      <c r="E130" s="2852">
        <v>0.1</v>
      </c>
      <c r="F130" s="2852">
        <v>15</v>
      </c>
    </row>
    <row r="131" spans="1:6" ht="24">
      <c r="A131" s="2852">
        <v>59</v>
      </c>
      <c r="B131" s="3480"/>
      <c r="C131" s="2852" t="s">
        <v>2775</v>
      </c>
      <c r="D131" s="2826" t="s">
        <v>2776</v>
      </c>
      <c r="E131" s="2852">
        <v>0.1</v>
      </c>
      <c r="F131" s="2852">
        <v>15</v>
      </c>
    </row>
    <row r="132" spans="1:6" ht="24">
      <c r="A132" s="2852">
        <v>60</v>
      </c>
      <c r="B132" s="3481" t="s">
        <v>2777</v>
      </c>
      <c r="C132" s="2852" t="s">
        <v>2778</v>
      </c>
      <c r="D132" s="2826" t="s">
        <v>2779</v>
      </c>
      <c r="E132" s="2852">
        <v>0.1</v>
      </c>
      <c r="F132" s="2852">
        <v>15</v>
      </c>
    </row>
    <row r="133" spans="1:6" ht="24">
      <c r="A133" s="2852">
        <v>61</v>
      </c>
      <c r="B133" s="3482"/>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80" t="s">
        <v>2785</v>
      </c>
      <c r="C135" s="2852" t="s">
        <v>2786</v>
      </c>
      <c r="D135" s="2826" t="s">
        <v>2787</v>
      </c>
      <c r="E135" s="2852">
        <v>0.1</v>
      </c>
      <c r="F135" s="2852">
        <v>15</v>
      </c>
    </row>
    <row r="136" spans="1:6" ht="24">
      <c r="A136" s="2852">
        <v>64</v>
      </c>
      <c r="B136" s="3480"/>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6"/>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1.0908</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1.0376000000000001</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133406</v>
      </c>
      <c r="C2" s="2" t="s">
        <v>106</v>
      </c>
      <c r="D2" s="190"/>
      <c r="E2" s="190"/>
      <c r="F2" s="190"/>
      <c r="G2" s="190"/>
    </row>
    <row r="3" spans="1:7" s="191" customFormat="1" ht="18" customHeight="1" thickBot="1">
      <c r="A3" s="194" t="s">
        <v>58</v>
      </c>
      <c r="B3" s="195">
        <f ca="1">ROUND(B2*10000/'数据-汇总表'!E3,0)</f>
        <v>9821</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2581</v>
      </c>
      <c r="D10" s="794">
        <f>'数据-汇总表'!E6</f>
        <v>135843.08000000002</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2717</v>
      </c>
      <c r="D19" s="203">
        <f>'数据-汇总表'!E3</f>
        <v>135843.08000000002</v>
      </c>
      <c r="E19" s="202">
        <f>'数据-取费表'!B31</f>
        <v>200</v>
      </c>
      <c r="F19" s="222"/>
      <c r="G19" s="1" t="s">
        <v>436</v>
      </c>
    </row>
    <row r="20" spans="1:7" s="205" customFormat="1" ht="13.5" customHeight="1">
      <c r="A20" s="730" t="s">
        <v>419</v>
      </c>
      <c r="B20" s="201" t="s">
        <v>77</v>
      </c>
      <c r="C20" s="223">
        <f>ROUND((C5+C19)*F20,0)</f>
        <v>700</v>
      </c>
      <c r="D20" s="223"/>
      <c r="E20" s="223"/>
      <c r="F20" s="224">
        <f>'数据-取费表'!B37</f>
        <v>0.03</v>
      </c>
      <c r="G20" s="1002"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39">
        <f ca="1">ROUND(SUM(C23:C25),0)</f>
        <v>2271</v>
      </c>
      <c r="D22" s="226">
        <f ca="1">C26</f>
        <v>8.9999999999999998E-4</v>
      </c>
      <c r="E22" s="227" t="s">
        <v>99</v>
      </c>
      <c r="F22" s="228">
        <f ca="1">'数据-取费表'!B40</f>
        <v>3.1E-2</v>
      </c>
      <c r="G22" s="1002" t="str">
        <f>IF('数据-取费表'!B22&lt;=1,"单利计息","复利计息")</f>
        <v>复利计息</v>
      </c>
    </row>
    <row r="23" spans="1:7" s="205" customFormat="1" ht="13.5" customHeight="1">
      <c r="A23" s="733" t="s">
        <v>349</v>
      </c>
      <c r="B23" s="206" t="s">
        <v>423</v>
      </c>
      <c r="C23" s="1040">
        <f ca="1">ROUND(IF('数据-取费表'!B22&lt;=1,C5*F22*'数据-取费表'!B23,C5*(POWER((1+F22),'数据-取费表'!B23)-1)),0)</f>
        <v>1977</v>
      </c>
      <c r="D23" s="229"/>
      <c r="E23" s="229"/>
      <c r="F23" s="230"/>
      <c r="G23" s="231" t="s">
        <v>81</v>
      </c>
    </row>
    <row r="24" spans="1:7" s="205" customFormat="1" ht="13.5" customHeight="1">
      <c r="A24" s="733" t="s">
        <v>347</v>
      </c>
      <c r="B24" s="206" t="s">
        <v>418</v>
      </c>
      <c r="C24" s="1040">
        <f ca="1">ROUND(IF('数据-取费表'!B22&lt;=1,C19*F22*('数据-取费表'!B19/2+'数据-取费表'!B21),C19*(POWER((1+F22),('数据-取费表'!B19/2+'数据-取费表'!B21))-1)),0)</f>
        <v>261</v>
      </c>
      <c r="D24" s="229"/>
      <c r="E24" s="229"/>
      <c r="F24" s="230"/>
      <c r="G24" s="231" t="s">
        <v>82</v>
      </c>
    </row>
    <row r="25" spans="1:7" s="205" customFormat="1" ht="24">
      <c r="A25" s="733" t="s">
        <v>348</v>
      </c>
      <c r="B25" s="206" t="s">
        <v>420</v>
      </c>
      <c r="C25" s="1040">
        <f ca="1">ROUND(IF('数据-取费表'!B22&lt;=1,C20*F22*'数据-取费表'!B23/2,C20*(POWER((1+F22),'数据-取费表'!B23/2)-1)),0)</f>
        <v>33</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6.4">
      <c r="A27" s="730" t="s">
        <v>342</v>
      </c>
      <c r="B27" s="235" t="s">
        <v>85</v>
      </c>
      <c r="C27" s="236">
        <f>C28</f>
        <v>4805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4805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33743</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84155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74714</v>
      </c>
      <c r="D34" s="208"/>
      <c r="E34" s="211"/>
      <c r="F34" s="248">
        <f>IF('数据-取费表'!B24=0,1,'数据-取费表'!N16)</f>
        <v>1</v>
      </c>
      <c r="G34" s="210" t="s">
        <v>89</v>
      </c>
    </row>
    <row r="35" spans="1:7" ht="13.5" customHeight="1">
      <c r="A35" s="733" t="s">
        <v>351</v>
      </c>
      <c r="B35" s="206" t="s">
        <v>33</v>
      </c>
      <c r="C35" s="211">
        <f>ROUND(C34*F35,0)</f>
        <v>5230</v>
      </c>
      <c r="D35" s="211"/>
      <c r="E35" s="211"/>
      <c r="F35" s="250">
        <f>'数据-取费表'!B33</f>
        <v>7.0000000000000007E-2</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2717</v>
      </c>
      <c r="D37" s="208">
        <f>'数据-汇总表'!E3</f>
        <v>135843.08000000002</v>
      </c>
      <c r="E37" s="240">
        <f>'数据-取费表'!B35</f>
        <v>200</v>
      </c>
      <c r="F37" s="250"/>
      <c r="G37" s="252" t="s">
        <v>92</v>
      </c>
    </row>
    <row r="38" spans="1:7" ht="13.5" customHeight="1">
      <c r="A38" s="733" t="s">
        <v>354</v>
      </c>
      <c r="B38" s="206" t="s">
        <v>36</v>
      </c>
      <c r="C38" s="211">
        <f>ROUND(C34*F38,0)</f>
        <v>1494</v>
      </c>
      <c r="D38" s="211"/>
      <c r="E38" s="211"/>
      <c r="F38" s="250">
        <f>'数据-取费表'!B36</f>
        <v>0.02</v>
      </c>
      <c r="G38" s="210" t="s">
        <v>90</v>
      </c>
    </row>
    <row r="39" spans="1:7" s="205" customFormat="1" ht="13.5" customHeight="1">
      <c r="A39" s="730" t="s">
        <v>338</v>
      </c>
      <c r="B39" s="201" t="s">
        <v>77</v>
      </c>
      <c r="C39" s="223">
        <f>ROUND(C33*F20,0)</f>
        <v>2525</v>
      </c>
      <c r="D39" s="223"/>
      <c r="E39" s="223"/>
      <c r="F39" s="224"/>
      <c r="G39" s="1002"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4061</v>
      </c>
      <c r="D41" s="226">
        <f ca="1">C44</f>
        <v>8.9999999999999998E-4</v>
      </c>
      <c r="E41" s="227" t="s">
        <v>102</v>
      </c>
      <c r="F41" s="228"/>
      <c r="G41" s="1002" t="str">
        <f>IF('数据-取费表'!B22&lt;=1,"单利计息","复利计息")</f>
        <v>复利计息</v>
      </c>
    </row>
    <row r="42" spans="1:7" ht="13.5" customHeight="1">
      <c r="A42" s="733" t="s">
        <v>349</v>
      </c>
      <c r="B42" s="206" t="s">
        <v>423</v>
      </c>
      <c r="C42" s="229">
        <f ca="1">ROUND(IF('数据-取费表'!B22&lt;=1,C33*F22*'数据-取费表'!B21/2,C33*(POWER((1+F22),'数据-取费表'!B21/2)-1)),0)</f>
        <v>3943</v>
      </c>
      <c r="D42" s="229"/>
      <c r="E42" s="229"/>
      <c r="F42" s="230"/>
      <c r="G42" s="3377" t="s">
        <v>94</v>
      </c>
    </row>
    <row r="43" spans="1:7" ht="13.5" customHeight="1">
      <c r="A43" s="733" t="s">
        <v>347</v>
      </c>
      <c r="B43" s="206" t="s">
        <v>426</v>
      </c>
      <c r="C43" s="229">
        <f ca="1">ROUND(IF('数据-取费表'!B22&lt;=1,C39*F22*'数据-取费表'!B21/2,C39*(POWER((1+F22),'数据-取费表'!B21/2)-1)),0)</f>
        <v>118</v>
      </c>
      <c r="D43" s="229"/>
      <c r="E43" s="229"/>
      <c r="F43" s="230"/>
      <c r="G43" s="3378"/>
    </row>
    <row r="44" spans="1:7" ht="13.5" customHeight="1">
      <c r="A44" s="733" t="s">
        <v>348</v>
      </c>
      <c r="B44" s="206" t="s">
        <v>428</v>
      </c>
      <c r="C44" s="229">
        <f ca="1">ROUND(IF('数据-取费表'!B22&lt;=1,C40*F22*'数据-取费表'!B21/2,C40*(POWER((1+F22),'数据-取费表'!B21/2)-1)),4)</f>
        <v>8.9999999999999998E-4</v>
      </c>
      <c r="D44" s="229"/>
      <c r="E44" s="229"/>
      <c r="F44" s="230"/>
      <c r="G44" s="3379"/>
    </row>
    <row r="45" spans="1:7" s="205" customFormat="1" ht="13.5" customHeight="1">
      <c r="A45" s="730" t="s">
        <v>341</v>
      </c>
      <c r="B45" s="235" t="s">
        <v>85</v>
      </c>
      <c r="C45" s="236">
        <f>C46</f>
        <v>17336</v>
      </c>
      <c r="D45" s="226">
        <f>C47</f>
        <v>4.0000000000000001E-3</v>
      </c>
      <c r="E45" s="227" t="s">
        <v>102</v>
      </c>
      <c r="F45" s="237"/>
      <c r="G45" s="238" t="s">
        <v>434</v>
      </c>
    </row>
    <row r="46" spans="1:7" s="205" customFormat="1" ht="13.5" customHeight="1">
      <c r="A46" s="733" t="s">
        <v>349</v>
      </c>
      <c r="B46" s="239" t="s">
        <v>427</v>
      </c>
      <c r="C46" s="240">
        <f>ROUND((C33+C39)*F27,0)</f>
        <v>17336</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117250</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99663</v>
      </c>
      <c r="D51" s="223"/>
      <c r="E51" s="223"/>
      <c r="F51" s="255"/>
      <c r="G51" s="225" t="s">
        <v>37</v>
      </c>
    </row>
    <row r="52" spans="1:7" s="199" customFormat="1" ht="16.8" thickBot="1">
      <c r="A52" s="256" t="s">
        <v>38</v>
      </c>
      <c r="B52" s="257"/>
      <c r="C52" s="258">
        <f ca="1">C31+C51</f>
        <v>133406</v>
      </c>
      <c r="D52" s="257"/>
      <c r="E52" s="257"/>
      <c r="F52" s="257"/>
      <c r="G52" s="259"/>
    </row>
    <row r="55" spans="1:7" ht="15">
      <c r="B55" s="261" t="s">
        <v>39</v>
      </c>
      <c r="C55" s="262"/>
    </row>
    <row r="56" spans="1:7">
      <c r="B56" s="264" t="s">
        <v>40</v>
      </c>
      <c r="C56" s="265">
        <f ca="1">ROUND(C51/C52,3)</f>
        <v>0.747</v>
      </c>
    </row>
    <row r="57" spans="1:7">
      <c r="B57" s="264" t="s">
        <v>41</v>
      </c>
      <c r="C57" s="266">
        <f ca="1">1-C56</f>
        <v>0.253</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21</v>
      </c>
      <c r="D1" s="1269" t="s">
        <v>43</v>
      </c>
      <c r="E1" s="1270" t="s">
        <v>678</v>
      </c>
      <c r="F1" s="997" t="e">
        <f ca="1">J53</f>
        <v>#N/A</v>
      </c>
      <c r="G1" s="1284"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5" t="e">
        <f ca="1">C6+C10+C12</f>
        <v>#N/A</v>
      </c>
      <c r="D5" s="1271" t="s">
        <v>889</v>
      </c>
      <c r="E5" s="1006"/>
      <c r="F5" s="1007"/>
      <c r="G5" s="1290"/>
      <c r="H5" s="290">
        <v>1</v>
      </c>
      <c r="I5" s="291" t="s">
        <v>888</v>
      </c>
      <c r="J5" s="1005" t="e">
        <f ca="1">J6+J10+J12</f>
        <v>#N/A</v>
      </c>
      <c r="K5" s="1271" t="s">
        <v>889</v>
      </c>
      <c r="L5" s="1006"/>
      <c r="M5" s="1007"/>
    </row>
    <row r="6" spans="1:37" ht="18" customHeight="1">
      <c r="A6" s="1004" t="s">
        <v>398</v>
      </c>
      <c r="B6" s="3492" t="s">
        <v>694</v>
      </c>
      <c r="C6" s="1009" t="e">
        <f ca="1">ROUND(F6*F8*F7*(1-F9),0)</f>
        <v>#N/A</v>
      </c>
      <c r="D6" s="146" t="s">
        <v>2106</v>
      </c>
      <c r="E6" s="293" t="s">
        <v>696</v>
      </c>
      <c r="F6" s="294" t="e">
        <f ca="1">INDIRECT("'数据-取费表'!u"&amp;$G$1)</f>
        <v>#N/A</v>
      </c>
      <c r="G6" s="1290"/>
      <c r="H6" s="1004" t="s">
        <v>398</v>
      </c>
      <c r="I6" s="3492" t="s">
        <v>694</v>
      </c>
      <c r="J6" s="292" t="e">
        <f ca="1">ROUND(M6*M8*M7*(1-M9),0)</f>
        <v>#N/A</v>
      </c>
      <c r="K6" s="1282" t="s">
        <v>2107</v>
      </c>
      <c r="L6" s="293" t="s">
        <v>696</v>
      </c>
      <c r="M6" s="294" t="e">
        <f ca="1">INDIRECT("'数据-取费表'!z"&amp;$G$1)</f>
        <v>#N/A</v>
      </c>
    </row>
    <row r="7" spans="1:37" ht="18" customHeight="1">
      <c r="A7" s="1008"/>
      <c r="B7" s="3493"/>
      <c r="C7" s="1010"/>
      <c r="D7" s="298"/>
      <c r="E7" s="1011" t="s">
        <v>697</v>
      </c>
      <c r="F7" s="294" t="e">
        <f ca="1">IF(INDIRECT("'数据-取费表'!ah"&amp;$G$1)="",INDIRECT("'数据-取费表'!k"&amp;$G$1),INDIRECT("'数据-取费表'!ah"&amp;$G$1))</f>
        <v>#N/A</v>
      </c>
      <c r="G7" s="1290"/>
      <c r="H7" s="295"/>
      <c r="I7" s="3493"/>
      <c r="J7" s="297"/>
      <c r="K7" s="298"/>
      <c r="L7" s="293" t="s">
        <v>697</v>
      </c>
      <c r="M7" s="294" t="e">
        <f ca="1">F7</f>
        <v>#N/A</v>
      </c>
    </row>
    <row r="8" spans="1:37" ht="18" customHeight="1">
      <c r="A8" s="295"/>
      <c r="B8" s="3493"/>
      <c r="C8" s="297"/>
      <c r="D8" s="298"/>
      <c r="E8" s="293" t="s">
        <v>698</v>
      </c>
      <c r="F8" s="294" t="e">
        <f ca="1">INDIRECT("'数据-取费表'!ai"&amp;$G$1)</f>
        <v>#N/A</v>
      </c>
      <c r="G8" s="1290"/>
      <c r="H8" s="295"/>
      <c r="I8" s="3493"/>
      <c r="J8" s="297"/>
      <c r="K8" s="298"/>
      <c r="L8" s="293" t="s">
        <v>698</v>
      </c>
      <c r="M8" s="294" t="e">
        <f ca="1">INDIRECT("'数据-取费表'!ai"&amp;$G$1)</f>
        <v>#N/A</v>
      </c>
    </row>
    <row r="9" spans="1:37" ht="18" customHeight="1">
      <c r="A9" s="295"/>
      <c r="B9" s="3494"/>
      <c r="C9" s="297"/>
      <c r="D9" s="298"/>
      <c r="E9" s="293" t="s">
        <v>699</v>
      </c>
      <c r="F9" s="303" t="e">
        <f ca="1">INDIRECT("'数据-取费表'!w"&amp;$G$1)</f>
        <v>#N/A</v>
      </c>
      <c r="G9" s="1290"/>
      <c r="H9" s="295"/>
      <c r="I9" s="3494"/>
      <c r="J9" s="297"/>
      <c r="K9" s="298"/>
      <c r="L9" s="304" t="s">
        <v>699</v>
      </c>
      <c r="M9" s="305" t="e">
        <f ca="1">INDIRECT("'数据-取费表'!ab"&amp;$G$1)</f>
        <v>#N/A</v>
      </c>
    </row>
    <row r="10" spans="1:37" ht="18" customHeight="1">
      <c r="A10" s="1004" t="s">
        <v>402</v>
      </c>
      <c r="B10" s="1272" t="s">
        <v>700</v>
      </c>
      <c r="C10" s="307" t="e">
        <f ca="1">ROUND(IF(F10="押一",C6/12*F11,IF(F10="押二",C6/12*2*F11,IF(F10="押三",C6/12*3*F11,C11*F11))),0)</f>
        <v>#N/A</v>
      </c>
      <c r="D10" s="149" t="s">
        <v>2116</v>
      </c>
      <c r="E10" s="304" t="s">
        <v>701</v>
      </c>
      <c r="F10" s="1051" t="s">
        <v>3416</v>
      </c>
      <c r="G10" s="1290"/>
      <c r="H10" s="1004" t="s">
        <v>402</v>
      </c>
      <c r="I10" s="1272" t="s">
        <v>700</v>
      </c>
      <c r="J10" s="292">
        <f ca="1">ROUND(IF(M10="押一",J6/12*M11,IF(M10="押二",J6/12*2*M11,IF(M10="押三",J6/12*3*M11,J11*M11))),0)</f>
        <v>0</v>
      </c>
      <c r="K10" s="1283" t="s">
        <v>2118</v>
      </c>
      <c r="L10" s="304" t="s">
        <v>701</v>
      </c>
      <c r="M10" s="1051"/>
    </row>
    <row r="11" spans="1:37" ht="18" customHeight="1">
      <c r="A11" s="299"/>
      <c r="B11" s="1273" t="s">
        <v>890</v>
      </c>
      <c r="C11" s="904"/>
      <c r="D11" s="298"/>
      <c r="E11" s="304" t="s">
        <v>702</v>
      </c>
      <c r="F11" s="305">
        <f ca="1">'数据-取费表'!B39</f>
        <v>1.4999999999999999E-2</v>
      </c>
      <c r="G11" s="1290"/>
      <c r="H11" s="1012"/>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7" t="s">
        <v>397</v>
      </c>
      <c r="B14" s="293" t="s">
        <v>707</v>
      </c>
      <c r="C14" s="309" t="e">
        <f ca="1">ROUND(INDIRECT("'数据-取费表'!l"&amp;$G$1)*F43+'数据-取费表'!L14*INDIRECT("'数据-取费表'!S"&amp;$G$1),0)</f>
        <v>#N/A</v>
      </c>
      <c r="D14" s="1255" t="s">
        <v>708</v>
      </c>
      <c r="E14" s="1253"/>
      <c r="F14" s="310"/>
      <c r="G14" s="1290"/>
      <c r="H14" s="927" t="s">
        <v>398</v>
      </c>
      <c r="I14" s="293" t="s">
        <v>709</v>
      </c>
      <c r="J14" s="20" t="e">
        <f ca="1">C29</f>
        <v>#N/A</v>
      </c>
      <c r="K14" s="11"/>
      <c r="L14" s="758"/>
      <c r="M14" s="759"/>
    </row>
    <row r="15" spans="1:37" s="1302" customFormat="1" ht="18" customHeight="1" thickBot="1">
      <c r="A15" s="927" t="s">
        <v>399</v>
      </c>
      <c r="B15" s="293" t="s">
        <v>710</v>
      </c>
      <c r="C15" s="20" t="e">
        <f ca="1">ROUND(C14*F15,0)</f>
        <v>#N/A</v>
      </c>
      <c r="D15" s="311" t="s">
        <v>711</v>
      </c>
      <c r="E15" s="311" t="s">
        <v>712</v>
      </c>
      <c r="F15" s="312">
        <f>'数据-取费表'!B33</f>
        <v>7.0000000000000007E-2</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0" t="e">
        <f ca="1">ROUND(INDIRECT("'数据-取费表'!l"&amp;$G$1)*F43*F16,0)</f>
        <v>#N/A</v>
      </c>
      <c r="D16" s="293" t="s">
        <v>711</v>
      </c>
      <c r="E16" s="293" t="s">
        <v>712</v>
      </c>
      <c r="F16" s="313" t="e">
        <f ca="1">IF(INDIRECT("'数据-取费表'!c"&amp;$G$1)="住宅",'数据-取费表'!B34,0)</f>
        <v>#N/A</v>
      </c>
      <c r="G16" s="1290"/>
      <c r="H16" s="1014" t="s">
        <v>393</v>
      </c>
      <c r="I16" s="1015" t="s">
        <v>714</v>
      </c>
      <c r="J16" s="301" t="e">
        <f ca="1">ROUND(J17+J22+J23+J24,0)</f>
        <v>#N/A</v>
      </c>
      <c r="K16" s="1022" t="s">
        <v>715</v>
      </c>
      <c r="L16" s="1023"/>
      <c r="M16" s="1007"/>
    </row>
    <row r="17" spans="1:37" s="1302" customFormat="1" ht="18" customHeight="1">
      <c r="A17" s="927" t="s">
        <v>681</v>
      </c>
      <c r="B17" s="293" t="s">
        <v>716</v>
      </c>
      <c r="C17" s="20" t="e">
        <f ca="1">ROUND(F17*(F43+INDIRECT("'数据-取费表'!S"&amp;$G$1)),0)</f>
        <v>#N/A</v>
      </c>
      <c r="D17" s="293" t="s">
        <v>717</v>
      </c>
      <c r="E17" s="293" t="s">
        <v>718</v>
      </c>
      <c r="F17" s="22">
        <f>'数据-取费表'!B35</f>
        <v>200</v>
      </c>
      <c r="G17" s="1301"/>
      <c r="H17" s="927" t="s">
        <v>398</v>
      </c>
      <c r="I17" s="293"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0" t="e">
        <f ca="1">ROUND(C14*F18,0)</f>
        <v>#N/A</v>
      </c>
      <c r="D18" s="293" t="s">
        <v>711</v>
      </c>
      <c r="E18" s="293" t="s">
        <v>712</v>
      </c>
      <c r="F18" s="313">
        <f>'数据-取费表'!B36</f>
        <v>0.02</v>
      </c>
      <c r="G18" s="1301"/>
      <c r="H18" s="927" t="s">
        <v>397</v>
      </c>
      <c r="I18" s="293" t="s">
        <v>723</v>
      </c>
      <c r="J18" s="20" t="e">
        <f ca="1">ROUND(J6*M18/(1+'数据-取费表'!C42),0)</f>
        <v>#N/A</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0" t="e">
        <f ca="1">SUM(C14:C18)</f>
        <v>#N/A</v>
      </c>
      <c r="D19" s="122" t="s">
        <v>726</v>
      </c>
      <c r="E19" s="1267"/>
      <c r="F19" s="22"/>
      <c r="G19" s="1290"/>
      <c r="H19" s="927" t="s">
        <v>399</v>
      </c>
      <c r="I19" s="293" t="s">
        <v>727</v>
      </c>
      <c r="J19" s="20" t="e">
        <f ca="1">IF(K19="按租金收入计税",ROUND(J6*M19/(1+'数据-取费表'!C42),0),ROUND(C29*M19*0.7,0))</f>
        <v>#N/A</v>
      </c>
      <c r="K19" s="1276" t="s">
        <v>3330</v>
      </c>
      <c r="L19" s="293" t="s">
        <v>712</v>
      </c>
      <c r="M19" s="313">
        <f>IF(K19="按租金收入计税",'数据-取费表'!B51,'数据-取费表'!B50)</f>
        <v>0.12</v>
      </c>
    </row>
    <row r="20" spans="1:37" s="1302" customFormat="1" ht="18" customHeight="1">
      <c r="A20" s="927" t="s">
        <v>402</v>
      </c>
      <c r="B20" s="293" t="s">
        <v>728</v>
      </c>
      <c r="C20" s="20" t="e">
        <f ca="1">ROUND(C19*F20,0)</f>
        <v>#N/A</v>
      </c>
      <c r="D20" s="314" t="s">
        <v>729</v>
      </c>
      <c r="E20" s="293" t="s">
        <v>712</v>
      </c>
      <c r="F20" s="313">
        <f>'数据-取费表'!B37</f>
        <v>0.03</v>
      </c>
      <c r="G20" s="1301"/>
      <c r="H20" s="927" t="s">
        <v>680</v>
      </c>
      <c r="I20" s="146" t="s">
        <v>730</v>
      </c>
      <c r="J20" s="21" t="e">
        <f ca="1">ROUND(M20*M21,0)</f>
        <v>#N/A</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0" t="s">
        <v>0</v>
      </c>
      <c r="D21" s="314" t="s">
        <v>734</v>
      </c>
      <c r="E21" s="293" t="s">
        <v>735</v>
      </c>
      <c r="F21" s="313">
        <f>'数据-取费表'!B38</f>
        <v>0.02</v>
      </c>
      <c r="G21" s="1301"/>
      <c r="H21" s="317"/>
      <c r="I21" s="302"/>
      <c r="J21" s="25"/>
      <c r="K21" s="318"/>
      <c r="L21" s="293" t="s">
        <v>736</v>
      </c>
      <c r="M21" s="294"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7"/>
      <c r="F22" s="22"/>
      <c r="G22" s="1290"/>
      <c r="H22" s="927" t="s">
        <v>402</v>
      </c>
      <c r="I22" s="293" t="s">
        <v>738</v>
      </c>
      <c r="J22" s="20" t="e">
        <f ca="1">ROUND(J14*M22,0)</f>
        <v>#N/A</v>
      </c>
      <c r="K22" s="1254" t="s">
        <v>739</v>
      </c>
      <c r="L22" s="293" t="s">
        <v>712</v>
      </c>
      <c r="M22" s="319" t="e">
        <f ca="1">INDIRECT("'数据-取费表'!Ak"&amp;$G$1)</f>
        <v>#N/A</v>
      </c>
    </row>
    <row r="23" spans="1:37" s="1302" customFormat="1" ht="18" customHeight="1">
      <c r="A23" s="927" t="s">
        <v>397</v>
      </c>
      <c r="B23" s="293" t="s">
        <v>740</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0" t="e">
        <f ca="1">ROUND(J13*M23,0)</f>
        <v>#N/A</v>
      </c>
      <c r="K23" s="1254" t="s">
        <v>743</v>
      </c>
      <c r="L23" s="293" t="s">
        <v>744</v>
      </c>
      <c r="M23" s="320"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0">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0"/>
      <c r="D25" s="122" t="s">
        <v>751</v>
      </c>
      <c r="E25" s="1267"/>
      <c r="F25" s="22"/>
      <c r="G25" s="1290"/>
      <c r="H25" s="1014" t="s">
        <v>394</v>
      </c>
      <c r="I25" s="1029" t="s">
        <v>752</v>
      </c>
      <c r="J25" s="301" t="e">
        <f ca="1">J5-J16</f>
        <v>#N/A</v>
      </c>
      <c r="K25" s="1030" t="s">
        <v>753</v>
      </c>
      <c r="L25" s="1031"/>
      <c r="M25" s="1032"/>
    </row>
    <row r="26" spans="1:37" ht="18" customHeight="1">
      <c r="A26" s="927" t="s">
        <v>397</v>
      </c>
      <c r="B26" s="293" t="s">
        <v>754</v>
      </c>
      <c r="C26" s="20" t="e">
        <f ca="1">ROUND((C19+C20)*F26,0)</f>
        <v>#N/A</v>
      </c>
      <c r="D26" s="314" t="s">
        <v>755</v>
      </c>
      <c r="E26" s="304" t="s">
        <v>756</v>
      </c>
      <c r="F26" s="303" t="e">
        <f ca="1">INDIRECT("'数据-取费表'!q"&amp;$G$1)</f>
        <v>#N/A</v>
      </c>
      <c r="G26" s="1290"/>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0" t="e">
        <f ca="1">ROUND(F21*F26,4)</f>
        <v>#N/A</v>
      </c>
      <c r="D27" s="314" t="s">
        <v>761</v>
      </c>
      <c r="E27" s="311"/>
      <c r="F27" s="312"/>
      <c r="G27" s="1290"/>
      <c r="H27" s="295"/>
      <c r="I27" s="296"/>
      <c r="J27" s="297"/>
      <c r="K27" s="322" t="s">
        <v>762</v>
      </c>
      <c r="L27" s="293" t="s">
        <v>763</v>
      </c>
      <c r="M27" s="323" t="e">
        <f ca="1">INDIRECT("'数据-取费表'!ag"&amp;$G$1)</f>
        <v>#N/A</v>
      </c>
    </row>
    <row r="28" spans="1:37" s="1302" customFormat="1" ht="18" customHeight="1">
      <c r="A28" s="927" t="s">
        <v>400</v>
      </c>
      <c r="B28" s="293" t="s">
        <v>764</v>
      </c>
      <c r="C28" s="20">
        <f>ROUND(F28/(1+'数据-取费表'!C42),4)</f>
        <v>5.33E-2</v>
      </c>
      <c r="D28" s="314" t="s">
        <v>765</v>
      </c>
      <c r="E28" s="293" t="s">
        <v>712</v>
      </c>
      <c r="F28" s="313">
        <f>'数据-取费表'!B41</f>
        <v>5.6000000000000001E-2</v>
      </c>
      <c r="G28" s="1301"/>
      <c r="H28" s="299"/>
      <c r="I28" s="300"/>
      <c r="J28" s="301"/>
      <c r="K28" s="318"/>
      <c r="L28" s="293" t="s">
        <v>766</v>
      </c>
      <c r="M28" s="303"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4" t="s">
        <v>396</v>
      </c>
      <c r="I29" s="325" t="s">
        <v>768</v>
      </c>
      <c r="J29" s="326" t="e">
        <f ca="1">ROUND(J26/(1+F40)^F41,0)</f>
        <v>#N/A</v>
      </c>
      <c r="K29" s="327" t="s">
        <v>769</v>
      </c>
      <c r="L29" s="328"/>
      <c r="M29" s="329"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t="e">
        <f ca="1">ROUND(C31+C36+C37+C38,0)</f>
        <v>#N/A</v>
      </c>
      <c r="D30" s="1022" t="s">
        <v>715</v>
      </c>
      <c r="E30" s="1023"/>
      <c r="F30" s="1007"/>
      <c r="G30" s="1290"/>
      <c r="H30" s="2465"/>
      <c r="I30" s="1303"/>
      <c r="J30" s="1304"/>
      <c r="K30" s="120"/>
      <c r="L30" s="2466"/>
      <c r="M30" s="2467"/>
    </row>
    <row r="31" spans="1:37" ht="18" customHeight="1">
      <c r="A31" s="927" t="s">
        <v>398</v>
      </c>
      <c r="B31" s="293"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20"/>
      <c r="L31" s="2466"/>
      <c r="M31" s="2467"/>
    </row>
    <row r="32" spans="1:37" ht="18" customHeight="1">
      <c r="A32" s="927" t="s">
        <v>397</v>
      </c>
      <c r="B32" s="293" t="s">
        <v>723</v>
      </c>
      <c r="C32" s="20" t="e">
        <f ca="1">IF(项目基本情况!B11="自然人","——",ROUND(C6*F32/(1+'数据-取费表'!C42),0))</f>
        <v>#N/A</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0" t="e">
        <f ca="1">IF(项目基本情况!B11="自然人","——",IF(D33="按租金收入计税",ROUND(C6*F33/(1+'数据-取费表'!C42),0),IF(D33="按房产原值计税",ROUND(C29*F33*0.7,0),INDIRECT("'数据-取费表'!Aj"&amp;$G$1))))</f>
        <v>#N/A</v>
      </c>
      <c r="D33" s="1276" t="s">
        <v>3330</v>
      </c>
      <c r="E33" s="293" t="s">
        <v>712</v>
      </c>
      <c r="F33" s="313">
        <f>IF(D33="按票据","——",IF(D33="按租金收入计税",'数据-取费表'!B51,'数据-取费表'!B50))</f>
        <v>0.12</v>
      </c>
      <c r="G33" s="1290"/>
      <c r="H33" s="2468"/>
      <c r="I33" s="1303"/>
      <c r="J33" s="1304"/>
      <c r="K33" s="2469"/>
      <c r="L33" s="2468"/>
      <c r="M33" s="2468"/>
    </row>
    <row r="34" spans="1:18" ht="18" customHeight="1">
      <c r="A34" s="1004" t="s">
        <v>680</v>
      </c>
      <c r="B34" s="146" t="s">
        <v>730</v>
      </c>
      <c r="C34" s="21" t="e">
        <f ca="1">IF(项目基本情况!B11="自然人","——",ROUND(F34*F35,0))</f>
        <v>#N/A</v>
      </c>
      <c r="D34" s="315" t="s">
        <v>731</v>
      </c>
      <c r="E34" s="293" t="s">
        <v>732</v>
      </c>
      <c r="F34" s="316">
        <f>'数据-取费表'!B52</f>
        <v>1.5</v>
      </c>
      <c r="G34" s="1290"/>
      <c r="H34" s="2465"/>
      <c r="I34" s="1303"/>
      <c r="J34" s="1304"/>
      <c r="K34" s="2470"/>
      <c r="L34" s="2471"/>
      <c r="M34" s="2471"/>
    </row>
    <row r="35" spans="1:18" ht="18" customHeight="1">
      <c r="A35" s="1038"/>
      <c r="B35" s="1036"/>
      <c r="C35" s="25"/>
      <c r="D35" s="318"/>
      <c r="E35" s="293" t="s">
        <v>736</v>
      </c>
      <c r="F35" s="294" t="e">
        <f ca="1">INDIRECT("'数据-取费表'!r"&amp;$G$1)</f>
        <v>#N/A</v>
      </c>
      <c r="G35" s="1290"/>
      <c r="H35" s="2465"/>
      <c r="I35" s="1303"/>
      <c r="J35" s="1304"/>
      <c r="K35" s="2469"/>
      <c r="L35" s="2468"/>
      <c r="M35" s="2468"/>
    </row>
    <row r="36" spans="1:18" ht="18" customHeight="1">
      <c r="A36" s="1037" t="s">
        <v>402</v>
      </c>
      <c r="B36" s="293" t="s">
        <v>738</v>
      </c>
      <c r="C36" s="20" t="e">
        <f ca="1">ROUND(C29*F36,0)</f>
        <v>#N/A</v>
      </c>
      <c r="D36" s="1254" t="s">
        <v>771</v>
      </c>
      <c r="E36" s="293" t="s">
        <v>712</v>
      </c>
      <c r="F36" s="319" t="e">
        <f ca="1">INDIRECT("'数据-取费表'!Ak"&amp;$G$1)</f>
        <v>#N/A</v>
      </c>
      <c r="G36" s="1290"/>
      <c r="H36" s="2468"/>
      <c r="I36" s="1303"/>
      <c r="J36" s="1304"/>
      <c r="K36" s="2326"/>
      <c r="L36" s="2468"/>
      <c r="M36" s="2468"/>
    </row>
    <row r="37" spans="1:18" ht="18" customHeight="1">
      <c r="A37" s="927" t="s">
        <v>437</v>
      </c>
      <c r="B37" s="293" t="s">
        <v>742</v>
      </c>
      <c r="C37" s="20" t="e">
        <f ca="1">ROUND(C13*F37,0)</f>
        <v>#N/A</v>
      </c>
      <c r="D37" s="1254" t="s">
        <v>743</v>
      </c>
      <c r="E37" s="293" t="s">
        <v>744</v>
      </c>
      <c r="F37" s="320" t="e">
        <f ca="1">INDIRECT("'数据-取费表'!Al"&amp;$G$1)</f>
        <v>#N/A</v>
      </c>
      <c r="G37" s="1290"/>
      <c r="H37" s="2468"/>
      <c r="I37" s="1303"/>
      <c r="J37" s="1304"/>
      <c r="K37" s="2326"/>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1" t="e">
        <f ca="1">C5-C30</f>
        <v>#N/A</v>
      </c>
      <c r="D39" s="1030" t="s">
        <v>773</v>
      </c>
      <c r="E39" s="1031"/>
      <c r="F39" s="1032"/>
      <c r="G39" s="1290"/>
      <c r="H39" s="2468" t="e">
        <f ca="1">C39/C5</f>
        <v>#N/A</v>
      </c>
      <c r="I39" s="1303"/>
      <c r="J39" s="1304"/>
      <c r="K39" s="2466"/>
      <c r="L39" s="2468"/>
      <c r="M39" s="2468"/>
    </row>
    <row r="40" spans="1:18" ht="18" customHeight="1">
      <c r="A40" s="290" t="s">
        <v>395</v>
      </c>
      <c r="B40" s="291" t="s">
        <v>774</v>
      </c>
      <c r="C40" s="292" t="e">
        <f ca="1">ROUND(C39*(1-((1+F42)/(1+F40))^F41)/(F40-F42),0)</f>
        <v>#N/A</v>
      </c>
      <c r="D40" s="315" t="s">
        <v>758</v>
      </c>
      <c r="E40" s="293" t="s">
        <v>759</v>
      </c>
      <c r="F40" s="303" t="e">
        <f ca="1">INDIRECT("'数据-取费表'!I"&amp;$G$1)</f>
        <v>#N/A</v>
      </c>
      <c r="G40" s="1290"/>
      <c r="H40" s="1364"/>
      <c r="I40" s="1303"/>
      <c r="J40" s="1304"/>
      <c r="K40" s="2466"/>
      <c r="L40" s="1364"/>
      <c r="M40" s="1364"/>
    </row>
    <row r="41" spans="1:18" ht="18" customHeight="1">
      <c r="A41" s="295"/>
      <c r="B41" s="296"/>
      <c r="C41" s="297"/>
      <c r="D41" s="322" t="s">
        <v>775</v>
      </c>
      <c r="E41" s="293" t="s">
        <v>763</v>
      </c>
      <c r="F41" s="323" t="e">
        <f ca="1">IF(INDIRECT("'数据-取费表'!af"&amp;$G$1)=0,INDIRECT("'数据-取费表'!ae"&amp;$G$1),INDIRECT("'数据-取费表'!af"&amp;$G$1))</f>
        <v>#N/A</v>
      </c>
      <c r="G41" s="1290"/>
      <c r="H41" s="120"/>
      <c r="I41" s="1303"/>
      <c r="J41" s="1304"/>
      <c r="K41" s="2326"/>
      <c r="L41" s="120"/>
      <c r="M41" s="120"/>
    </row>
    <row r="42" spans="1:18" ht="18" customHeight="1">
      <c r="A42" s="299"/>
      <c r="B42" s="300"/>
      <c r="C42" s="301"/>
      <c r="D42" s="318"/>
      <c r="E42" s="293" t="s">
        <v>766</v>
      </c>
      <c r="F42" s="303" t="e">
        <f ca="1">INDIRECT("'数据-取费表'!v"&amp;$G$1)</f>
        <v>#N/A</v>
      </c>
      <c r="G42" s="1290"/>
      <c r="H42" s="120"/>
      <c r="I42" s="1303"/>
      <c r="J42" s="1304"/>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3124" t="s">
        <v>3346</v>
      </c>
      <c r="B45" s="1305"/>
      <c r="C45" s="1374" t="e">
        <f ca="1">ROUND((C68-C40)/10000,4)</f>
        <v>#N/A</v>
      </c>
      <c r="D45" s="3125" t="s">
        <v>3347</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1" t="s">
        <v>687</v>
      </c>
      <c r="B47" s="923" t="s">
        <v>688</v>
      </c>
      <c r="C47" s="923" t="s">
        <v>689</v>
      </c>
      <c r="D47" s="923" t="s">
        <v>690</v>
      </c>
      <c r="E47" s="993" t="s">
        <v>691</v>
      </c>
      <c r="F47" s="994"/>
      <c r="G47" s="680"/>
      <c r="I47" s="1319" t="s">
        <v>815</v>
      </c>
      <c r="J47" s="1320" t="s">
        <v>3417</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1" t="s">
        <v>692</v>
      </c>
      <c r="C48" s="1266" t="e">
        <f ca="1">C49+C53+C55</f>
        <v>#N/A</v>
      </c>
      <c r="D48" s="1047"/>
      <c r="E48" s="1048"/>
      <c r="F48" s="907"/>
      <c r="G48" s="680"/>
      <c r="H48" s="681"/>
      <c r="I48" s="1326" t="s">
        <v>819</v>
      </c>
      <c r="J48" s="1327" t="s">
        <v>3418</v>
      </c>
      <c r="K48" s="1328" t="s">
        <v>820</v>
      </c>
      <c r="L48" s="1329" t="e">
        <f ca="1">INDIRECT("'数据-取费表'!f"&amp;$G$1)</f>
        <v>#N/A</v>
      </c>
      <c r="O48" s="1323" t="s">
        <v>404</v>
      </c>
      <c r="P48" s="1324" t="s">
        <v>821</v>
      </c>
      <c r="Q48" s="1325" t="e">
        <f ca="1">J60</f>
        <v>#N/A</v>
      </c>
      <c r="R48" s="1325" t="s">
        <v>822</v>
      </c>
    </row>
    <row r="49" spans="1:18" s="1290" customFormat="1" ht="13.8" thickBot="1">
      <c r="A49" s="920" t="s">
        <v>439</v>
      </c>
      <c r="B49" s="1277" t="s">
        <v>779</v>
      </c>
      <c r="C49" s="1049" t="e">
        <f ca="1">ROUND(F49*F51*F50*(1-F52),0)</f>
        <v>#N/A</v>
      </c>
      <c r="D49" s="990" t="s">
        <v>695</v>
      </c>
      <c r="E49" s="1278" t="s">
        <v>780</v>
      </c>
      <c r="F49" s="995"/>
      <c r="H49" s="681"/>
      <c r="I49" s="1326" t="s">
        <v>823</v>
      </c>
      <c r="J49" s="1330">
        <f>'数据-取费表'!N18</f>
        <v>2013</v>
      </c>
      <c r="K49" s="1328" t="s">
        <v>824</v>
      </c>
      <c r="L49" s="1331"/>
      <c r="O49" s="1332" t="s">
        <v>405</v>
      </c>
      <c r="P49" s="1324" t="s">
        <v>825</v>
      </c>
      <c r="Q49" s="1325" t="e">
        <f ca="1">C29</f>
        <v>#N/A</v>
      </c>
      <c r="R49" s="1325" t="s">
        <v>818</v>
      </c>
    </row>
    <row r="50" spans="1:18" s="1290" customFormat="1" ht="13.8" thickBot="1">
      <c r="A50" s="921"/>
      <c r="B50" s="924"/>
      <c r="C50" s="925"/>
      <c r="D50" s="898"/>
      <c r="E50" s="991" t="s">
        <v>697</v>
      </c>
      <c r="F50" s="992" t="e">
        <f ca="1">F7</f>
        <v>#N/A</v>
      </c>
      <c r="H50" s="681"/>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2"/>
      <c r="B51" s="924"/>
      <c r="C51" s="925"/>
      <c r="D51" s="898"/>
      <c r="E51" s="926" t="s">
        <v>698</v>
      </c>
      <c r="F51" s="294" t="e">
        <f ca="1">F8</f>
        <v>#N/A</v>
      </c>
      <c r="I51" s="1336" t="s">
        <v>829</v>
      </c>
      <c r="J51" s="1329">
        <f>IF(J49="",J50,J49+J50-YEAR('数据-取费表'!B2))</f>
        <v>48</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2"/>
      <c r="B52" s="924"/>
      <c r="C52" s="925"/>
      <c r="D52" s="898"/>
      <c r="E52" s="926"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4" t="s">
        <v>700</v>
      </c>
      <c r="C53" s="307">
        <f ca="1">ROUND(IF(F53="押一",C49/12*F11,IF(F53="押二",C49/12*2*F11,IF(F53="押三",C49/12*3*F11,C54*F11))),0)</f>
        <v>0</v>
      </c>
      <c r="D53" s="149" t="s">
        <v>2119</v>
      </c>
      <c r="E53" s="304" t="s">
        <v>701</v>
      </c>
      <c r="F53" s="1051"/>
      <c r="I53" s="1342" t="s">
        <v>836</v>
      </c>
      <c r="J53" s="2004" t="e">
        <f ca="1">IF(M47="住宅",IF(D1="——",MAX(J51,L48),MAX(J51,L48-'数据-取费表'!B24)),IF(D1="——",MIN(J51,L48),MIN(J51,L48-'数据-取费表'!B24)))</f>
        <v>#N/A</v>
      </c>
      <c r="K53" s="3495" t="s">
        <v>837</v>
      </c>
      <c r="L53" s="3496"/>
      <c r="O53" s="1323" t="s">
        <v>409</v>
      </c>
      <c r="P53" s="1324" t="s">
        <v>838</v>
      </c>
      <c r="Q53" s="1325" t="e">
        <f ca="1">Q47+Q48</f>
        <v>#N/A</v>
      </c>
      <c r="R53" s="1325" t="s">
        <v>410</v>
      </c>
    </row>
    <row r="54" spans="1:18" s="1290" customFormat="1" ht="13.8" thickBot="1">
      <c r="A54" s="920"/>
      <c r="B54" s="1375" t="s">
        <v>891</v>
      </c>
      <c r="C54" s="904"/>
      <c r="D54" s="149"/>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2">
        <v>2</v>
      </c>
      <c r="B56" s="903" t="s">
        <v>704</v>
      </c>
      <c r="C56" s="223" t="e">
        <f ca="1">C13</f>
        <v>#N/A</v>
      </c>
      <c r="D56" s="1350"/>
      <c r="E56" s="1351"/>
      <c r="F56" s="1343"/>
      <c r="I56" s="1352" t="s">
        <v>842</v>
      </c>
      <c r="J56" s="1353" t="s">
        <v>3403</v>
      </c>
      <c r="K56" s="1326" t="s">
        <v>843</v>
      </c>
      <c r="L56" s="1329" t="e">
        <f ca="1">IF(L48&lt;J51,"——",L48-J51)</f>
        <v>#N/A</v>
      </c>
      <c r="O56" s="1323" t="s">
        <v>403</v>
      </c>
      <c r="P56" s="1324" t="s">
        <v>817</v>
      </c>
      <c r="Q56" s="1325" t="e">
        <f ca="1">C40+J29</f>
        <v>#N/A</v>
      </c>
      <c r="R56" s="1325" t="s">
        <v>818</v>
      </c>
    </row>
    <row r="57" spans="1:18" s="1290" customFormat="1" ht="24.6" thickBot="1">
      <c r="A57" s="1354"/>
      <c r="B57" s="895" t="s">
        <v>767</v>
      </c>
      <c r="C57" s="229"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6" thickBot="1">
      <c r="A58" s="306" t="s">
        <v>393</v>
      </c>
      <c r="B58" s="903" t="s">
        <v>714</v>
      </c>
      <c r="C58" s="307" t="e">
        <f ca="1">ROUND(C59+C64+C65+C66,0)</f>
        <v>#N/A</v>
      </c>
      <c r="D58" s="905" t="s">
        <v>715</v>
      </c>
      <c r="E58" s="906"/>
      <c r="F58" s="907"/>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7" t="s">
        <v>397</v>
      </c>
      <c r="B60" s="895" t="s">
        <v>723</v>
      </c>
      <c r="C60" s="20" t="e">
        <f ca="1">IF(项目基本情况!B11="自然人","——",ROUND(C48*F60/(1+'数据-取费表'!C42),0))</f>
        <v>#N/A</v>
      </c>
      <c r="D60" s="909" t="s">
        <v>724</v>
      </c>
      <c r="E60" s="895" t="s">
        <v>712</v>
      </c>
      <c r="F60" s="321">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7" t="s">
        <v>781</v>
      </c>
      <c r="B61" s="895" t="s">
        <v>782</v>
      </c>
      <c r="C61" s="20" t="e">
        <f ca="1">IF(项目基本情况!B11="自然人","——",IF(D61="按租金收入计税",ROUND(C49*F61/(1+'数据-取费表'!C42),0),IF(D61="按房产原值计税",ROUND(C57*F61*0.7,0),INDIRECT("'数据-取费表'!Aj"&amp;$G$1))))</f>
        <v>#N/A</v>
      </c>
      <c r="D61" s="1276" t="s">
        <v>3330</v>
      </c>
      <c r="E61" s="895" t="s">
        <v>783</v>
      </c>
      <c r="F61" s="313">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7" t="s">
        <v>784</v>
      </c>
      <c r="B62" s="894" t="s">
        <v>785</v>
      </c>
      <c r="C62" s="21" t="e">
        <f ca="1">IF(项目基本情况!B11="自然人","——",ROUND(F62*F63,0))</f>
        <v>#N/A</v>
      </c>
      <c r="D62" s="910" t="s">
        <v>786</v>
      </c>
      <c r="E62" s="895" t="s">
        <v>787</v>
      </c>
      <c r="F62" s="316">
        <f t="shared" si="0"/>
        <v>1.5</v>
      </c>
      <c r="I62" s="1365" t="s">
        <v>858</v>
      </c>
      <c r="J62" s="609" t="s">
        <v>859</v>
      </c>
      <c r="K62" s="609" t="s">
        <v>860</v>
      </c>
      <c r="L62" s="609" t="s">
        <v>861</v>
      </c>
      <c r="M62" s="1366" t="s">
        <v>862</v>
      </c>
      <c r="O62" s="1323" t="s">
        <v>409</v>
      </c>
      <c r="P62" s="1324" t="s">
        <v>863</v>
      </c>
      <c r="Q62" s="1325" t="e">
        <f ca="1">Q56+Q57</f>
        <v>#N/A</v>
      </c>
      <c r="R62" s="1325" t="s">
        <v>410</v>
      </c>
    </row>
    <row r="63" spans="1:18" s="1290" customFormat="1" ht="13.8" thickBot="1">
      <c r="A63" s="317"/>
      <c r="B63" s="901"/>
      <c r="C63" s="25"/>
      <c r="D63" s="911"/>
      <c r="E63" s="895" t="s">
        <v>788</v>
      </c>
      <c r="F63" s="294" t="e">
        <f t="shared" ca="1" si="0"/>
        <v>#N/A</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0" t="e">
        <f ca="1">ROUND(C57*F64,0)</f>
        <v>#N/A</v>
      </c>
      <c r="D64" s="909" t="s">
        <v>791</v>
      </c>
      <c r="E64" s="895" t="s">
        <v>783</v>
      </c>
      <c r="F64" s="319" t="e">
        <f t="shared" ca="1" si="0"/>
        <v>#N/A</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0" t="e">
        <f ca="1">ROUND(C56*F65,0)</f>
        <v>#N/A</v>
      </c>
      <c r="D65" s="909" t="s">
        <v>743</v>
      </c>
      <c r="E65" s="895" t="s">
        <v>744</v>
      </c>
      <c r="F65" s="320" t="e">
        <f t="shared" ca="1" si="0"/>
        <v>#N/A</v>
      </c>
      <c r="I65" s="1365" t="s">
        <v>867</v>
      </c>
      <c r="J65" s="609">
        <v>40</v>
      </c>
      <c r="K65" s="609">
        <v>30</v>
      </c>
      <c r="L65" s="609">
        <v>50</v>
      </c>
      <c r="M65" s="1367">
        <v>0.02</v>
      </c>
      <c r="O65" s="1323" t="s">
        <v>403</v>
      </c>
      <c r="P65" s="1324" t="s">
        <v>868</v>
      </c>
      <c r="Q65" s="1325" t="e">
        <f ca="1">C40+J29</f>
        <v>#N/A</v>
      </c>
      <c r="R65" s="1325" t="s">
        <v>818</v>
      </c>
    </row>
    <row r="66" spans="1:18" s="1290" customFormat="1" ht="16.2" thickBot="1">
      <c r="A66" s="927" t="s">
        <v>793</v>
      </c>
      <c r="B66" s="895" t="s">
        <v>728</v>
      </c>
      <c r="C66" s="20" t="e">
        <f ca="1">ROUND(C48*F66,0)</f>
        <v>#N/A</v>
      </c>
      <c r="D66" s="909" t="s">
        <v>794</v>
      </c>
      <c r="E66" s="895" t="s">
        <v>712</v>
      </c>
      <c r="F66" s="303" t="e">
        <f t="shared" ca="1" si="0"/>
        <v>#N/A</v>
      </c>
      <c r="O66" s="1323" t="s">
        <v>404</v>
      </c>
      <c r="P66" s="1324" t="s">
        <v>846</v>
      </c>
      <c r="Q66" s="1325" t="e">
        <f ca="1">L60</f>
        <v>#N/A</v>
      </c>
      <c r="R66" s="1325" t="s">
        <v>869</v>
      </c>
    </row>
    <row r="67" spans="1:18" s="1290" customFormat="1" ht="24.6" thickBot="1">
      <c r="A67" s="902" t="s">
        <v>394</v>
      </c>
      <c r="B67" s="912" t="s">
        <v>752</v>
      </c>
      <c r="C67" s="307" t="e">
        <f ca="1">C48-C58</f>
        <v>#N/A</v>
      </c>
      <c r="D67" s="908" t="s">
        <v>753</v>
      </c>
      <c r="E67" s="913"/>
      <c r="F67" s="914"/>
      <c r="O67" s="1332" t="s">
        <v>405</v>
      </c>
      <c r="P67" s="1324" t="s">
        <v>850</v>
      </c>
      <c r="Q67" s="1368" t="e">
        <f ca="1">L51</f>
        <v>#N/A</v>
      </c>
      <c r="R67" s="1325" t="s">
        <v>870</v>
      </c>
    </row>
    <row r="68" spans="1:18" s="1290" customFormat="1" ht="16.2" thickBot="1">
      <c r="A68" s="892" t="s">
        <v>395</v>
      </c>
      <c r="B68" s="893" t="s">
        <v>774</v>
      </c>
      <c r="C68" s="292" t="e">
        <f ca="1">ROUND(C67*(1-((1+F70)/(1+F68))^F69)/(F68-F70),0)</f>
        <v>#N/A</v>
      </c>
      <c r="D68" s="910" t="s">
        <v>758</v>
      </c>
      <c r="E68" s="895" t="s">
        <v>759</v>
      </c>
      <c r="F68" s="303" t="e">
        <f ca="1">F40</f>
        <v>#N/A</v>
      </c>
      <c r="O68" s="1332" t="s">
        <v>406</v>
      </c>
      <c r="P68" s="1369" t="s">
        <v>871</v>
      </c>
      <c r="Q68" s="1325" t="e">
        <f ca="1">ROUND(Q69-Q70*Q71,0)</f>
        <v>#N/A</v>
      </c>
      <c r="R68" s="1325" t="s">
        <v>414</v>
      </c>
    </row>
    <row r="69" spans="1:18" s="1290" customFormat="1" ht="13.8" thickBot="1">
      <c r="A69" s="896"/>
      <c r="B69" s="897"/>
      <c r="C69" s="297"/>
      <c r="D69" s="915" t="s">
        <v>762</v>
      </c>
      <c r="E69" s="895" t="s">
        <v>763</v>
      </c>
      <c r="F69" s="323" t="e">
        <f ca="1">F41</f>
        <v>#N/A</v>
      </c>
      <c r="O69" s="1332" t="s">
        <v>411</v>
      </c>
      <c r="P69" s="1369" t="s">
        <v>872</v>
      </c>
      <c r="Q69" s="1325" t="e">
        <f ca="1">C39</f>
        <v>#N/A</v>
      </c>
      <c r="R69" s="1325" t="s">
        <v>818</v>
      </c>
    </row>
    <row r="70" spans="1:18" s="1290" customFormat="1" ht="13.8" thickBot="1">
      <c r="A70" s="899"/>
      <c r="B70" s="900"/>
      <c r="C70" s="301"/>
      <c r="D70" s="911"/>
      <c r="E70" s="895" t="s">
        <v>766</v>
      </c>
      <c r="F70" s="989"/>
      <c r="O70" s="1332" t="s">
        <v>412</v>
      </c>
      <c r="P70" s="1369" t="s">
        <v>873</v>
      </c>
      <c r="Q70" s="1325" t="e">
        <f ca="1">C13</f>
        <v>#N/A</v>
      </c>
      <c r="R70" s="1325" t="s">
        <v>818</v>
      </c>
    </row>
    <row r="71" spans="1:18" s="1290" customFormat="1" ht="13.8" thickBot="1">
      <c r="A71" s="916" t="s">
        <v>396</v>
      </c>
      <c r="B71" s="917" t="s">
        <v>776</v>
      </c>
      <c r="C71" s="326" t="e">
        <f ca="1">ROUND(C68/F71,0)</f>
        <v>#N/A</v>
      </c>
      <c r="D71" s="918" t="s">
        <v>777</v>
      </c>
      <c r="E71" s="919" t="s">
        <v>778</v>
      </c>
      <c r="F71" s="329" t="e">
        <f ca="1">F43</f>
        <v>#N/A</v>
      </c>
      <c r="O71" s="1332" t="s">
        <v>413</v>
      </c>
      <c r="P71" s="1369" t="s">
        <v>874</v>
      </c>
      <c r="Q71" s="1335" t="e">
        <f ca="1">C76</f>
        <v>#N/A</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#N/A</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30" t="s">
        <v>795</v>
      </c>
      <c r="C75" s="331" t="e">
        <f ca="1">ROUND(C13*C76,0)</f>
        <v>#N/A</v>
      </c>
      <c r="D75" s="1290"/>
      <c r="E75" s="1290"/>
      <c r="F75" s="1290"/>
      <c r="K75" s="1307"/>
      <c r="L75" s="1290"/>
      <c r="O75" s="1323" t="s">
        <v>409</v>
      </c>
      <c r="P75" s="1324" t="s">
        <v>838</v>
      </c>
      <c r="Q75" s="1325" t="e">
        <f ca="1">Q65+Q66</f>
        <v>#N/A</v>
      </c>
      <c r="R75" s="1325" t="s">
        <v>410</v>
      </c>
    </row>
    <row r="76" spans="1:18">
      <c r="B76" s="332" t="s">
        <v>796</v>
      </c>
      <c r="C76" s="333" t="e">
        <f ca="1">INDIRECT("'数据-取费表'!j"&amp;$G$1)</f>
        <v>#N/A</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600-000000000000}">
      <formula1>"比较法,基准地价,收益还原"</formula1>
    </dataValidation>
    <dataValidation type="list" allowBlank="1" showInputMessage="1" showErrorMessage="1" sqref="J56" xr:uid="{00000000-0002-0000-2600-000001000000}">
      <formula1>估价范围判定</formula1>
    </dataValidation>
    <dataValidation type="list" allowBlank="1" showInputMessage="1" showErrorMessage="1" sqref="J48" xr:uid="{00000000-0002-0000-2600-000002000000}">
      <formula1>"非生产用房,生产用房,受腐蚀的生产用房"</formula1>
    </dataValidation>
    <dataValidation type="list" allowBlank="1" showInputMessage="1" showErrorMessage="1" sqref="J47" xr:uid="{00000000-0002-0000-2600-000003000000}">
      <formula1>"钢,钢混,砖混"</formula1>
    </dataValidation>
    <dataValidation type="list" allowBlank="1" showInputMessage="1" showErrorMessage="1" sqref="C1" xr:uid="{00000000-0002-0000-2600-000004000000}">
      <formula1>项目类型</formula1>
    </dataValidation>
    <dataValidation type="list" allowBlank="1" showInputMessage="1" showErrorMessage="1" sqref="D33 D61" xr:uid="{00000000-0002-0000-2600-000005000000}">
      <formula1>"按租金收入计税,按房产原值计税,按票据"</formula1>
    </dataValidation>
    <dataValidation type="list" allowBlank="1" showInputMessage="1" showErrorMessage="1" sqref="K19" xr:uid="{00000000-0002-0000-2600-000006000000}">
      <formula1>"按租金收入计税,按房产原值计税"</formula1>
    </dataValidation>
    <dataValidation type="list" allowBlank="1" showInputMessage="1" showErrorMessage="1" sqref="F10 F53 M10"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89"/>
      <c r="B4" s="3180" t="s">
        <v>917</v>
      </c>
      <c r="C4" s="3180"/>
      <c r="D4" s="3180"/>
      <c r="E4" s="1389"/>
    </row>
    <row r="5" spans="1:5" ht="16.2" thickTop="1">
      <c r="B5" s="3178" t="s">
        <v>909</v>
      </c>
      <c r="C5" s="1390" t="s">
        <v>910</v>
      </c>
      <c r="D5" s="796">
        <f ca="1">结果表!H101</f>
        <v>218181</v>
      </c>
    </row>
    <row r="6" spans="1:5" ht="31.2">
      <c r="B6" s="3178"/>
      <c r="C6" s="1390" t="s">
        <v>911</v>
      </c>
      <c r="D6" s="796" t="str">
        <f ca="1">NUMBERSTRING(INT(D5*10000),2)&amp;"元整"</f>
        <v>贰拾壹亿捌仟壹佰捌拾壹万元整</v>
      </c>
    </row>
    <row r="7" spans="1:5" ht="15.6">
      <c r="B7" s="3183"/>
      <c r="C7" s="1391" t="s">
        <v>912</v>
      </c>
      <c r="D7" s="797">
        <f ca="1">结果表!H102</f>
        <v>16061</v>
      </c>
    </row>
    <row r="8" spans="1:5" ht="15.6">
      <c r="B8" s="3184" t="str">
        <f>结果表!E103</f>
        <v>2.估价师知悉的法定优先受偿款</v>
      </c>
      <c r="C8" s="1392" t="s">
        <v>913</v>
      </c>
      <c r="D8" s="797">
        <f>结果表!H103</f>
        <v>0</v>
      </c>
    </row>
    <row r="9" spans="1:5" ht="15.6">
      <c r="B9" s="3186"/>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177" t="str">
        <f>结果表!E107</f>
        <v>3.房地产抵押价值</v>
      </c>
      <c r="C13" s="1395" t="s">
        <v>910</v>
      </c>
      <c r="D13" s="799">
        <f ca="1">结果表!H107</f>
        <v>218181</v>
      </c>
    </row>
    <row r="14" spans="1:5" ht="31.2">
      <c r="B14" s="3178"/>
      <c r="C14" s="1390" t="s">
        <v>911</v>
      </c>
      <c r="D14" s="796" t="str">
        <f ca="1">NUMBERSTRING(INT(D13*10000),2)&amp;"元整"</f>
        <v>贰拾壹亿捌仟壹佰捌拾壹万元整</v>
      </c>
    </row>
    <row r="15" spans="1:5" ht="15.6">
      <c r="B15" s="3183"/>
      <c r="C15" s="1391" t="s">
        <v>921</v>
      </c>
      <c r="D15" s="805">
        <f ca="1">结果表!H108</f>
        <v>16061</v>
      </c>
    </row>
    <row r="16" spans="1:5" ht="15.6">
      <c r="B16" s="3184" t="str">
        <f>结果表!E109</f>
        <v>——</v>
      </c>
      <c r="C16" s="1395" t="s">
        <v>922</v>
      </c>
      <c r="D16" s="1396" t="str">
        <f>结果表!H109</f>
        <v>——</v>
      </c>
    </row>
    <row r="17" spans="1:5" ht="15.6">
      <c r="B17" s="3185"/>
      <c r="C17" s="1390" t="s">
        <v>923</v>
      </c>
      <c r="D17" s="796" t="e">
        <f>NUMBERSTRING(INT(D16*10000),2)&amp;"元整"</f>
        <v>#VALUE!</v>
      </c>
    </row>
    <row r="18" spans="1:5" ht="15.6">
      <c r="B18" s="3186"/>
      <c r="C18" s="1391" t="s">
        <v>912</v>
      </c>
      <c r="D18" s="805" t="str">
        <f>结果表!H110</f>
        <v>——</v>
      </c>
    </row>
    <row r="19" spans="1:5" ht="15.6">
      <c r="B19" s="3177" t="str">
        <f>结果表!E111</f>
        <v>4.抵押净值</v>
      </c>
      <c r="C19" s="1395" t="s">
        <v>910</v>
      </c>
      <c r="D19" s="797">
        <f ca="1">结果表!H111</f>
        <v>185247</v>
      </c>
    </row>
    <row r="20" spans="1:5" ht="31.2">
      <c r="B20" s="3178"/>
      <c r="C20" s="1390" t="s">
        <v>923</v>
      </c>
      <c r="D20" s="796" t="str">
        <f ca="1">NUMBERSTRING(INT(D19*10000),2)&amp;"元整"</f>
        <v>壹拾捌亿伍仟贰佰肆拾柒万元整</v>
      </c>
    </row>
    <row r="21" spans="1:5" ht="16.2" thickBot="1">
      <c r="B21" s="3179"/>
      <c r="C21" s="1397" t="s">
        <v>921</v>
      </c>
      <c r="D21" s="806">
        <f ca="1">结果表!H112</f>
        <v>13637</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rgb="FF92D050"/>
  </sheetPr>
  <dimension ref="A1:AK83"/>
  <sheetViews>
    <sheetView view="pageBreakPreview" topLeftCell="A19" zoomScale="70" zoomScaleNormal="70" zoomScaleSheetLayoutView="70" workbookViewId="0">
      <selection activeCell="K55" sqref="K5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3506</v>
      </c>
      <c r="D1" s="1269" t="s">
        <v>43</v>
      </c>
      <c r="E1" s="1270" t="s">
        <v>678</v>
      </c>
      <c r="F1" s="997">
        <f ca="1">J53</f>
        <v>24.35</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161526</v>
      </c>
      <c r="C2" s="1287" t="s">
        <v>805</v>
      </c>
      <c r="D2" s="1287"/>
      <c r="E2" s="1293"/>
      <c r="F2" s="1294"/>
      <c r="G2" s="2473"/>
      <c r="H2" s="2463"/>
      <c r="I2" s="2463"/>
      <c r="J2" s="2463"/>
      <c r="K2" s="2464"/>
      <c r="L2" s="2463"/>
      <c r="M2" s="2463"/>
    </row>
    <row r="3" spans="1:37" ht="18" customHeight="1" thickBot="1">
      <c r="A3" s="1295" t="s">
        <v>806</v>
      </c>
      <c r="B3" s="1296">
        <f ca="1">IF(ISERROR(B2*10000/F43),0,ROUND(B2*10000/F43,0))</f>
        <v>11891</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5">
        <f ca="1">C6+C10+C12</f>
        <v>12064</v>
      </c>
      <c r="D5" s="1271" t="s">
        <v>693</v>
      </c>
      <c r="E5" s="1006"/>
      <c r="F5" s="1007"/>
      <c r="G5" s="1290"/>
      <c r="H5" s="290">
        <v>1</v>
      </c>
      <c r="I5" s="291" t="s">
        <v>692</v>
      </c>
      <c r="J5" s="1005">
        <f ca="1">J6+J10+J12</f>
        <v>0</v>
      </c>
      <c r="K5" s="1271" t="s">
        <v>693</v>
      </c>
      <c r="L5" s="1006"/>
      <c r="M5" s="1007"/>
    </row>
    <row r="6" spans="1:37" ht="18" customHeight="1">
      <c r="A6" s="1004" t="s">
        <v>398</v>
      </c>
      <c r="B6" s="3492" t="s">
        <v>694</v>
      </c>
      <c r="C6" s="1009">
        <f ca="1">ROUND(F6*F8*F7*(1-F9)/10000,0)</f>
        <v>12049</v>
      </c>
      <c r="D6" s="146" t="s">
        <v>2109</v>
      </c>
      <c r="E6" s="293" t="s">
        <v>696</v>
      </c>
      <c r="F6" s="294">
        <f ca="1">INDIRECT("'数据-取费表'!u"&amp;$G$1)</f>
        <v>2.7</v>
      </c>
      <c r="G6" s="1290"/>
      <c r="H6" s="1004" t="s">
        <v>398</v>
      </c>
      <c r="I6" s="3492" t="s">
        <v>694</v>
      </c>
      <c r="J6" s="292">
        <f ca="1">ROUND(M6*M8*M7*(1-M9)/10000,0)</f>
        <v>0</v>
      </c>
      <c r="K6" s="146" t="s">
        <v>2108</v>
      </c>
      <c r="L6" s="293" t="s">
        <v>696</v>
      </c>
      <c r="M6" s="294">
        <f ca="1">INDIRECT("'数据-取费表'!z"&amp;$G$1)</f>
        <v>0</v>
      </c>
    </row>
    <row r="7" spans="1:37" ht="18" customHeight="1">
      <c r="A7" s="1008"/>
      <c r="B7" s="3493"/>
      <c r="C7" s="1010"/>
      <c r="D7" s="298"/>
      <c r="E7" s="1011" t="s">
        <v>697</v>
      </c>
      <c r="F7" s="294">
        <f ca="1">IF(INDIRECT("'数据-取费表'!ah"&amp;$G$1)="",INDIRECT("'数据-取费表'!k"&amp;$G$1),INDIRECT("'数据-取费表'!ah"&amp;$G$1))</f>
        <v>135843.08000000002</v>
      </c>
      <c r="G7" s="1290"/>
      <c r="H7" s="295"/>
      <c r="I7" s="3493"/>
      <c r="J7" s="297"/>
      <c r="K7" s="298"/>
      <c r="L7" s="293" t="s">
        <v>697</v>
      </c>
      <c r="M7" s="294">
        <f ca="1">F7</f>
        <v>135843.08000000002</v>
      </c>
    </row>
    <row r="8" spans="1:37" ht="18" customHeight="1">
      <c r="A8" s="295"/>
      <c r="B8" s="3493"/>
      <c r="C8" s="297"/>
      <c r="D8" s="298"/>
      <c r="E8" s="293" t="s">
        <v>698</v>
      </c>
      <c r="F8" s="294">
        <f ca="1">INDIRECT("'数据-取费表'!ai"&amp;$G$1)</f>
        <v>365</v>
      </c>
      <c r="G8" s="1290"/>
      <c r="H8" s="295"/>
      <c r="I8" s="3493"/>
      <c r="J8" s="297"/>
      <c r="K8" s="298"/>
      <c r="L8" s="293" t="s">
        <v>698</v>
      </c>
      <c r="M8" s="294">
        <f ca="1">INDIRECT("'数据-取费表'!ai"&amp;$G$1)</f>
        <v>365</v>
      </c>
    </row>
    <row r="9" spans="1:37" ht="18" customHeight="1">
      <c r="A9" s="295"/>
      <c r="B9" s="3494"/>
      <c r="C9" s="297"/>
      <c r="D9" s="298"/>
      <c r="E9" s="293" t="s">
        <v>699</v>
      </c>
      <c r="F9" s="303">
        <f ca="1">INDIRECT("'数据-取费表'!w"&amp;$G$1)</f>
        <v>0.1</v>
      </c>
      <c r="G9" s="1290"/>
      <c r="H9" s="295"/>
      <c r="I9" s="3494"/>
      <c r="J9" s="297"/>
      <c r="K9" s="298"/>
      <c r="L9" s="304" t="s">
        <v>699</v>
      </c>
      <c r="M9" s="305">
        <f ca="1">INDIRECT("'数据-取费表'!ab"&amp;$G$1)</f>
        <v>0</v>
      </c>
    </row>
    <row r="10" spans="1:37" ht="18" customHeight="1">
      <c r="A10" s="1004" t="s">
        <v>402</v>
      </c>
      <c r="B10" s="1272" t="s">
        <v>700</v>
      </c>
      <c r="C10" s="307">
        <f ca="1">ROUND(IF(F10="押一",C6/12*F11,IF(F10="押二",C6/12*2*F11,IF(F10="押三",C6/12*3*F11,C11*F11))),0)</f>
        <v>15</v>
      </c>
      <c r="D10" s="149" t="s">
        <v>2117</v>
      </c>
      <c r="E10" s="304" t="s">
        <v>701</v>
      </c>
      <c r="F10" s="1051" t="s">
        <v>3416</v>
      </c>
      <c r="G10" s="1290"/>
      <c r="H10" s="1004" t="s">
        <v>402</v>
      </c>
      <c r="I10" s="1272" t="s">
        <v>700</v>
      </c>
      <c r="J10" s="292">
        <f ca="1">ROUND(IF(M10="押一",J6/12*M11,IF(M10="押二",J6/12*2*M11,IF(M10="押三",J6/12*3*M11,J11*M11))),0)</f>
        <v>0</v>
      </c>
      <c r="K10" s="149" t="s">
        <v>2116</v>
      </c>
      <c r="L10" s="304" t="s">
        <v>701</v>
      </c>
      <c r="M10" s="1051"/>
    </row>
    <row r="11" spans="1:37" ht="18" customHeight="1">
      <c r="A11" s="299"/>
      <c r="B11" s="1273" t="s">
        <v>679</v>
      </c>
      <c r="C11" s="904"/>
      <c r="D11" s="1274"/>
      <c r="E11" s="304" t="s">
        <v>702</v>
      </c>
      <c r="F11" s="305">
        <f ca="1">'数据-取费表'!B39</f>
        <v>1.4999999999999999E-2</v>
      </c>
      <c r="G11" s="1290"/>
      <c r="H11" s="1012"/>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99659</v>
      </c>
      <c r="D13" s="1016" t="s">
        <v>705</v>
      </c>
      <c r="E13" s="1016" t="s">
        <v>706</v>
      </c>
      <c r="F13" s="1017">
        <f ca="1">INDIRECT("'数据-取费表'!y"&amp;$G$1)</f>
        <v>0.85</v>
      </c>
      <c r="G13" s="1290"/>
      <c r="H13" s="1014">
        <v>2</v>
      </c>
      <c r="I13" s="1015" t="s">
        <v>704</v>
      </c>
      <c r="J13" s="1003">
        <f ca="1">ROUND(J14*J15,0)</f>
        <v>0</v>
      </c>
      <c r="K13" s="1022" t="s">
        <v>705</v>
      </c>
      <c r="L13" s="1297"/>
      <c r="M13" s="1298"/>
    </row>
    <row r="14" spans="1:37" ht="18" customHeight="1">
      <c r="A14" s="927" t="s">
        <v>397</v>
      </c>
      <c r="B14" s="293" t="s">
        <v>707</v>
      </c>
      <c r="C14" s="309">
        <f ca="1">INDIRECT("'数据-取费表'!m"&amp;$G$1)+INDIRECT("'数据-取费表'!t"&amp;$G$1)</f>
        <v>74714</v>
      </c>
      <c r="D14" s="1255" t="s">
        <v>708</v>
      </c>
      <c r="E14" s="1253"/>
      <c r="F14" s="310"/>
      <c r="G14" s="1290"/>
      <c r="H14" s="927" t="s">
        <v>398</v>
      </c>
      <c r="I14" s="293" t="s">
        <v>709</v>
      </c>
      <c r="J14" s="20">
        <f ca="1">C29</f>
        <v>117246</v>
      </c>
      <c r="K14" s="11"/>
      <c r="L14" s="758"/>
      <c r="M14" s="759"/>
    </row>
    <row r="15" spans="1:37" s="1302" customFormat="1" ht="18" customHeight="1" thickBot="1">
      <c r="A15" s="927" t="s">
        <v>399</v>
      </c>
      <c r="B15" s="293" t="s">
        <v>710</v>
      </c>
      <c r="C15" s="20">
        <f ca="1">ROUND(C14*F15,0)</f>
        <v>5230</v>
      </c>
      <c r="D15" s="311" t="s">
        <v>711</v>
      </c>
      <c r="E15" s="311" t="s">
        <v>712</v>
      </c>
      <c r="F15" s="312">
        <f>'数据-取费表'!B33</f>
        <v>7.0000000000000007E-2</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0"/>
      <c r="H16" s="1014" t="s">
        <v>393</v>
      </c>
      <c r="I16" s="1015" t="s">
        <v>714</v>
      </c>
      <c r="J16" s="301">
        <f ca="1">ROUND(J17+J22+J23+J24,0)</f>
        <v>357</v>
      </c>
      <c r="K16" s="1022" t="s">
        <v>715</v>
      </c>
      <c r="L16" s="1023"/>
      <c r="M16" s="1007"/>
    </row>
    <row r="17" spans="1:37" s="1302" customFormat="1" ht="18" customHeight="1">
      <c r="A17" s="927" t="s">
        <v>681</v>
      </c>
      <c r="B17" s="293" t="s">
        <v>716</v>
      </c>
      <c r="C17" s="20">
        <f ca="1">ROUND(F17*(F43+INDIRECT("'数据-取费表'!S"&amp;$G$1))/10000,0)</f>
        <v>2717</v>
      </c>
      <c r="D17" s="293" t="s">
        <v>717</v>
      </c>
      <c r="E17" s="293" t="s">
        <v>718</v>
      </c>
      <c r="F17" s="22">
        <f>'数据-取费表'!B35</f>
        <v>200</v>
      </c>
      <c r="G17" s="1301"/>
      <c r="H17" s="927" t="s">
        <v>398</v>
      </c>
      <c r="I17" s="293" t="s">
        <v>719</v>
      </c>
      <c r="J17" s="2138">
        <f ca="1">ROUND(IF(AND(项目基本情况!B11="自然人",项目基本情况!B10="北京市"),J6*M17/(1+'数据-取费表'!C42),J18+J19+J20),2)</f>
        <v>5.61</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0">
        <f ca="1">ROUND(C14*F18,0)</f>
        <v>1494</v>
      </c>
      <c r="D18" s="293" t="s">
        <v>711</v>
      </c>
      <c r="E18" s="293" t="s">
        <v>712</v>
      </c>
      <c r="F18" s="313">
        <f>'数据-取费表'!B36</f>
        <v>0.02</v>
      </c>
      <c r="G18" s="1301"/>
      <c r="H18" s="927" t="s">
        <v>397</v>
      </c>
      <c r="I18" s="293" t="s">
        <v>723</v>
      </c>
      <c r="J18" s="20">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0">
        <f ca="1">SUM(C14:C18)</f>
        <v>84155</v>
      </c>
      <c r="D19" s="122" t="s">
        <v>726</v>
      </c>
      <c r="E19" s="1267"/>
      <c r="F19" s="22"/>
      <c r="G19" s="1290"/>
      <c r="H19" s="927" t="s">
        <v>399</v>
      </c>
      <c r="I19" s="293" t="s">
        <v>727</v>
      </c>
      <c r="J19" s="20">
        <f ca="1">IF(K19="按租金收入计税",ROUND(J6*M19/(1+'数据-取费表'!C42),2),ROUND(C29*M19*0.7,2))</f>
        <v>0</v>
      </c>
      <c r="K19" s="1276" t="s">
        <v>3330</v>
      </c>
      <c r="L19" s="293" t="s">
        <v>712</v>
      </c>
      <c r="M19" s="313">
        <f>IF(K19="按租金收入计税",'数据-取费表'!B51,'数据-取费表'!B50)</f>
        <v>0.12</v>
      </c>
    </row>
    <row r="20" spans="1:37" s="1302" customFormat="1" ht="18" customHeight="1">
      <c r="A20" s="927" t="s">
        <v>402</v>
      </c>
      <c r="B20" s="293" t="s">
        <v>728</v>
      </c>
      <c r="C20" s="20">
        <f ca="1">ROUND(C19*F20,0)</f>
        <v>2525</v>
      </c>
      <c r="D20" s="314" t="s">
        <v>729</v>
      </c>
      <c r="E20" s="293" t="s">
        <v>712</v>
      </c>
      <c r="F20" s="313">
        <f>'数据-取费表'!B37</f>
        <v>0.03</v>
      </c>
      <c r="G20" s="1301"/>
      <c r="H20" s="927" t="s">
        <v>680</v>
      </c>
      <c r="I20" s="146" t="s">
        <v>730</v>
      </c>
      <c r="J20" s="21">
        <f ca="1">ROUND(M20*M21/10000,2)</f>
        <v>5.61</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0" t="s">
        <v>15</v>
      </c>
      <c r="D21" s="314" t="s">
        <v>734</v>
      </c>
      <c r="E21" s="293" t="s">
        <v>735</v>
      </c>
      <c r="F21" s="313">
        <f>'数据-取费表'!B38</f>
        <v>0.02</v>
      </c>
      <c r="G21" s="1301"/>
      <c r="H21" s="317"/>
      <c r="I21" s="302"/>
      <c r="J21" s="25"/>
      <c r="K21" s="318"/>
      <c r="L21" s="293" t="s">
        <v>736</v>
      </c>
      <c r="M21" s="294">
        <f ca="1">INDIRECT("'数据-取费表'!r"&amp;$G$1)</f>
        <v>37387.29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7"/>
      <c r="F22" s="22"/>
      <c r="G22" s="1290"/>
      <c r="H22" s="927" t="s">
        <v>402</v>
      </c>
      <c r="I22" s="293" t="s">
        <v>738</v>
      </c>
      <c r="J22" s="20">
        <f ca="1">ROUND(J14*M22,2)</f>
        <v>351.74</v>
      </c>
      <c r="K22" s="1254" t="s">
        <v>739</v>
      </c>
      <c r="L22" s="293" t="s">
        <v>712</v>
      </c>
      <c r="M22" s="319">
        <f ca="1">INDIRECT("'数据-取费表'!Ak"&amp;$G$1)</f>
        <v>3.0000000000000001E-3</v>
      </c>
    </row>
    <row r="23" spans="1:37" s="1302" customFormat="1" ht="18" customHeight="1">
      <c r="A23" s="927" t="s">
        <v>397</v>
      </c>
      <c r="B23" s="293" t="s">
        <v>740</v>
      </c>
      <c r="C23" s="20">
        <f ca="1">IF('数据-取费表'!B22&lt;=1,ROUND(C19*F24*F23/2,0)+ROUND(C20*F24*F23/2,0),ROUND(C19*(POWER((1+F24),F23/2)-1),0)+ROUND(C20*(POWER((1+F24),F23/2)-1),0))</f>
        <v>4061</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0">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0">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0"/>
      <c r="D25" s="122" t="s">
        <v>751</v>
      </c>
      <c r="E25" s="1267"/>
      <c r="F25" s="22"/>
      <c r="G25" s="1290"/>
      <c r="H25" s="1014" t="s">
        <v>394</v>
      </c>
      <c r="I25" s="1029" t="s">
        <v>752</v>
      </c>
      <c r="J25" s="301">
        <f ca="1">J5-J16</f>
        <v>-357</v>
      </c>
      <c r="K25" s="1030" t="s">
        <v>753</v>
      </c>
      <c r="L25" s="1031"/>
      <c r="M25" s="1032"/>
    </row>
    <row r="26" spans="1:37">
      <c r="A26" s="927" t="s">
        <v>397</v>
      </c>
      <c r="B26" s="293" t="s">
        <v>754</v>
      </c>
      <c r="C26" s="20">
        <f ca="1">ROUND((C19+C20)*F26,0)</f>
        <v>17336</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0">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117246</v>
      </c>
      <c r="D29" s="1027"/>
      <c r="E29" s="1025"/>
      <c r="F29" s="1028"/>
      <c r="G29" s="1301"/>
      <c r="H29" s="324" t="s">
        <v>396</v>
      </c>
      <c r="I29" s="325" t="s">
        <v>768</v>
      </c>
      <c r="J29" s="326">
        <f ca="1">ROUND(J26/(1+F40)^F41,0)</f>
        <v>0</v>
      </c>
      <c r="K29" s="327" t="s">
        <v>769</v>
      </c>
      <c r="L29" s="328"/>
      <c r="M29" s="329">
        <f ca="1">INDIRECT("'数据-取费表'!k"&amp;$G$1)</f>
        <v>135843.08000000002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2537</v>
      </c>
      <c r="D30" s="1022" t="s">
        <v>715</v>
      </c>
      <c r="E30" s="1023"/>
      <c r="F30" s="1007"/>
      <c r="G30" s="1290"/>
      <c r="H30" s="2465"/>
      <c r="I30" s="1303"/>
      <c r="J30" s="1304"/>
      <c r="K30" s="120"/>
      <c r="L30" s="2466"/>
      <c r="M30" s="2467"/>
    </row>
    <row r="31" spans="1:37" ht="18" customHeight="1">
      <c r="A31" s="927" t="s">
        <v>398</v>
      </c>
      <c r="B31" s="293" t="s">
        <v>719</v>
      </c>
      <c r="C31" s="2138">
        <f ca="1">ROUND(IF(AND(项目基本情况!B11="自然人",项目基本情况!B10="北京市"),C6*F31/(1+'数据-取费表'!C42),C32+C33+C34),2)</f>
        <v>2025.25</v>
      </c>
      <c r="D31" s="1255" t="s">
        <v>720</v>
      </c>
      <c r="E31" s="1254" t="s">
        <v>770</v>
      </c>
      <c r="F31" s="2137" t="str">
        <f>IF(项目基本情况!B11="企业","——",IF(M47="住宅",IF(F6*F7*F8/12/(1+'数据-取费表'!F30)&gt;100000,4%,2.5%),IF(F6*F7*F8/12/(1+'数据-取费表'!F30)&gt;100000,12%,7%)))</f>
        <v>——</v>
      </c>
      <c r="G31" s="1290"/>
      <c r="H31" s="2564" t="s">
        <v>2302</v>
      </c>
      <c r="I31" s="1303"/>
      <c r="J31" s="1304"/>
      <c r="K31" s="120"/>
      <c r="L31" s="2466"/>
      <c r="M31" s="2467"/>
    </row>
    <row r="32" spans="1:37" ht="18" customHeight="1">
      <c r="A32" s="927" t="s">
        <v>397</v>
      </c>
      <c r="B32" s="293" t="s">
        <v>723</v>
      </c>
      <c r="C32" s="20">
        <f ca="1">IF(项目基本情况!B11="自然人","——",ROUND(C6*F32/(1+'数据-取费表'!C42),2))</f>
        <v>642.61</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0">
        <f ca="1">IF(项目基本情况!B11="自然人","——",IF(D33="按租金收入计税",ROUND(C6*F33/(1+'数据-取费表'!C42),2),IF(D33="按房产原值计税",ROUND(C29*F33*0.7,2),INDIRECT("'数据-取费表'!Aj"&amp;$G$1))))</f>
        <v>1377.03</v>
      </c>
      <c r="D33" s="1276" t="s">
        <v>3330</v>
      </c>
      <c r="E33" s="293" t="s">
        <v>712</v>
      </c>
      <c r="F33" s="313">
        <f>IF(D33="按票据","——",IF(D33="按租金收入计税",'数据-取费表'!B51,'数据-取费表'!B50))</f>
        <v>0.12</v>
      </c>
      <c r="G33" s="1290"/>
      <c r="H33" s="2468"/>
      <c r="I33" s="1303"/>
      <c r="J33" s="1304"/>
      <c r="K33" s="2469"/>
      <c r="L33" s="2468"/>
      <c r="M33" s="2468"/>
    </row>
    <row r="34" spans="1:18" ht="18" customHeight="1">
      <c r="A34" s="1004" t="s">
        <v>680</v>
      </c>
      <c r="B34" s="146" t="s">
        <v>730</v>
      </c>
      <c r="C34" s="21">
        <f ca="1">IF(项目基本情况!B11="自然人","——",ROUND(F34*F35/10000,2))</f>
        <v>5.61</v>
      </c>
      <c r="D34" s="315" t="s">
        <v>731</v>
      </c>
      <c r="E34" s="293" t="s">
        <v>732</v>
      </c>
      <c r="F34" s="316">
        <f>'数据-取费表'!B52</f>
        <v>1.5</v>
      </c>
      <c r="G34" s="1290"/>
      <c r="H34" s="2465"/>
      <c r="I34" s="1303"/>
      <c r="J34" s="1304"/>
      <c r="K34" s="2470"/>
      <c r="L34" s="2471"/>
      <c r="M34" s="2471"/>
    </row>
    <row r="35" spans="1:18" ht="18" customHeight="1">
      <c r="A35" s="1038"/>
      <c r="B35" s="1036"/>
      <c r="C35" s="25"/>
      <c r="D35" s="318"/>
      <c r="E35" s="293" t="s">
        <v>736</v>
      </c>
      <c r="F35" s="294">
        <f ca="1">INDIRECT("'数据-取费表'!r"&amp;$G$1)</f>
        <v>37387.29</v>
      </c>
      <c r="G35" s="1290"/>
      <c r="H35" s="2465"/>
      <c r="I35" s="1303"/>
      <c r="J35" s="1304"/>
      <c r="K35" s="2469"/>
      <c r="L35" s="2468"/>
      <c r="M35" s="2468"/>
    </row>
    <row r="36" spans="1:18" ht="18" customHeight="1">
      <c r="A36" s="1037" t="s">
        <v>402</v>
      </c>
      <c r="B36" s="293" t="s">
        <v>738</v>
      </c>
      <c r="C36" s="20">
        <f ca="1">ROUND(C29*F36,2)</f>
        <v>351.74</v>
      </c>
      <c r="D36" s="1254" t="s">
        <v>771</v>
      </c>
      <c r="E36" s="293" t="s">
        <v>712</v>
      </c>
      <c r="F36" s="319">
        <f ca="1">INDIRECT("'数据-取费表'!Ak"&amp;$G$1)</f>
        <v>3.0000000000000001E-3</v>
      </c>
      <c r="G36" s="1290"/>
      <c r="H36" s="2468"/>
      <c r="I36" s="1303"/>
      <c r="J36" s="1304"/>
      <c r="K36" s="2326"/>
      <c r="L36" s="2468"/>
      <c r="M36" s="2468"/>
    </row>
    <row r="37" spans="1:18" ht="18" customHeight="1">
      <c r="A37" s="927" t="s">
        <v>437</v>
      </c>
      <c r="B37" s="293" t="s">
        <v>742</v>
      </c>
      <c r="C37" s="20">
        <f ca="1">ROUND(C13*F37,2)</f>
        <v>99.66</v>
      </c>
      <c r="D37" s="1254" t="s">
        <v>743</v>
      </c>
      <c r="E37" s="293" t="s">
        <v>744</v>
      </c>
      <c r="F37" s="320">
        <f ca="1">INDIRECT("'数据-取费表'!Al"&amp;$G$1)</f>
        <v>1E-3</v>
      </c>
      <c r="G37" s="1290"/>
      <c r="H37" s="2468"/>
      <c r="I37" s="1303"/>
      <c r="J37" s="1304"/>
      <c r="K37" s="2326"/>
      <c r="L37" s="2468"/>
      <c r="M37" s="2468"/>
    </row>
    <row r="38" spans="1:18" ht="18" customHeight="1" thickBot="1">
      <c r="A38" s="1024" t="s">
        <v>684</v>
      </c>
      <c r="B38" s="1025" t="s">
        <v>728</v>
      </c>
      <c r="C38" s="1026">
        <f ca="1">ROUND(C5*F38,2)</f>
        <v>60.32</v>
      </c>
      <c r="D38" s="1027" t="s">
        <v>748</v>
      </c>
      <c r="E38" s="1025" t="s">
        <v>744</v>
      </c>
      <c r="F38" s="1021">
        <f ca="1">INDIRECT("'数据-取费表'!Am"&amp;$G$1)</f>
        <v>5.0000000000000001E-3</v>
      </c>
      <c r="G38" s="1290"/>
      <c r="H38" s="2468"/>
      <c r="I38" s="1303"/>
      <c r="J38" s="1304"/>
      <c r="K38" s="2466"/>
      <c r="L38" s="2468"/>
      <c r="M38" s="2468"/>
    </row>
    <row r="39" spans="1:18" ht="24.6" customHeight="1" thickTop="1">
      <c r="A39" s="1014" t="s">
        <v>394</v>
      </c>
      <c r="B39" s="1029" t="s">
        <v>772</v>
      </c>
      <c r="C39" s="301">
        <f ca="1">C5-C30</f>
        <v>9527</v>
      </c>
      <c r="D39" s="1030" t="s">
        <v>773</v>
      </c>
      <c r="E39" s="1031"/>
      <c r="F39" s="1032"/>
      <c r="G39" s="1290"/>
      <c r="H39" s="2468"/>
      <c r="I39" s="1303"/>
      <c r="J39" s="1304"/>
      <c r="K39" s="2466"/>
      <c r="L39" s="2468"/>
      <c r="M39" s="2468"/>
    </row>
    <row r="40" spans="1:18" ht="18" customHeight="1">
      <c r="A40" s="290" t="s">
        <v>395</v>
      </c>
      <c r="B40" s="291" t="s">
        <v>774</v>
      </c>
      <c r="C40" s="292">
        <f ca="1">ROUND(C39*(1-((1+F42)/(1+F40))^F41)/(F40-F42),0)</f>
        <v>152497</v>
      </c>
      <c r="D40" s="315" t="s">
        <v>758</v>
      </c>
      <c r="E40" s="293" t="s">
        <v>759</v>
      </c>
      <c r="F40" s="303">
        <f ca="1">INDIRECT("'数据-取费表'!I"&amp;$G$1)</f>
        <v>5.5E-2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24.35</v>
      </c>
      <c r="G41" s="1290"/>
      <c r="H41" s="120"/>
      <c r="I41" s="1303"/>
      <c r="J41" s="1304"/>
      <c r="K41" s="2326"/>
      <c r="L41" s="120"/>
      <c r="M41" s="120"/>
    </row>
    <row r="42" spans="1:18" ht="18" customHeight="1">
      <c r="A42" s="299"/>
      <c r="B42" s="300"/>
      <c r="C42" s="301"/>
      <c r="D42" s="318"/>
      <c r="E42" s="293" t="s">
        <v>766</v>
      </c>
      <c r="F42" s="303">
        <f ca="1">INDIRECT("'数据-取费表'!v"&amp;$G$1)</f>
        <v>0.02</v>
      </c>
      <c r="G42" s="1290"/>
      <c r="H42" s="120"/>
      <c r="I42" s="1303"/>
      <c r="J42" s="1304"/>
      <c r="K42" s="2326"/>
      <c r="L42" s="120"/>
      <c r="M42" s="120"/>
    </row>
    <row r="43" spans="1:18" ht="18" customHeight="1" thickBot="1">
      <c r="A43" s="324" t="s">
        <v>396</v>
      </c>
      <c r="B43" s="325" t="s">
        <v>776</v>
      </c>
      <c r="C43" s="326">
        <f ca="1">ROUND(C40*10000/F43,0)</f>
        <v>11226</v>
      </c>
      <c r="D43" s="327" t="s">
        <v>777</v>
      </c>
      <c r="E43" s="328" t="s">
        <v>778</v>
      </c>
      <c r="F43" s="329">
        <f ca="1">INDIRECT("'数据-取费表'!k"&amp;$G$1)</f>
        <v>135843.08000000002</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8" thickBot="1">
      <c r="A46" s="1309" t="s">
        <v>809</v>
      </c>
      <c r="C46" s="1310">
        <f ca="1">C68-C40</f>
        <v>-158550</v>
      </c>
      <c r="D46" s="1311" t="str">
        <f>C2</f>
        <v>万元</v>
      </c>
      <c r="E46" s="1305"/>
      <c r="F46" s="1305"/>
      <c r="I46" s="1312" t="s">
        <v>810</v>
      </c>
      <c r="J46" s="1313"/>
      <c r="K46" s="1314"/>
      <c r="L46" s="1315">
        <f ca="1">IF(M47="住宅",0,IF(L48&gt;J51,L60,J60))</f>
        <v>9029</v>
      </c>
      <c r="O46" s="1316" t="s">
        <v>811</v>
      </c>
      <c r="P46" s="1317" t="s">
        <v>812</v>
      </c>
      <c r="Q46" s="1318" t="s">
        <v>813</v>
      </c>
      <c r="R46" s="1318" t="s">
        <v>814</v>
      </c>
    </row>
    <row r="47" spans="1:18" s="1290" customFormat="1" ht="13.8" thickBot="1">
      <c r="A47" s="891" t="s">
        <v>687</v>
      </c>
      <c r="B47" s="923" t="s">
        <v>688</v>
      </c>
      <c r="C47" s="1052" t="s">
        <v>689</v>
      </c>
      <c r="D47" s="923" t="s">
        <v>690</v>
      </c>
      <c r="E47" s="993" t="s">
        <v>691</v>
      </c>
      <c r="F47" s="994"/>
      <c r="G47" s="680"/>
      <c r="I47" s="1319" t="s">
        <v>815</v>
      </c>
      <c r="J47" s="1320" t="s">
        <v>3417</v>
      </c>
      <c r="K47" s="1321" t="s">
        <v>816</v>
      </c>
      <c r="L47" s="1322">
        <f ca="1">INDIRECT("'数据-取费表'!d"&amp;$G$1)</f>
        <v>40</v>
      </c>
      <c r="M47" s="1286" t="str">
        <f>IF(ISNUMBER(FIND("住宅",C1)),"住宅","非住宅")</f>
        <v>非住宅</v>
      </c>
      <c r="O47" s="1323" t="s">
        <v>403</v>
      </c>
      <c r="P47" s="1324" t="s">
        <v>817</v>
      </c>
      <c r="Q47" s="1325">
        <f ca="1">C40+J29</f>
        <v>152497</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3418</v>
      </c>
      <c r="K48" s="1328" t="s">
        <v>820</v>
      </c>
      <c r="L48" s="1329">
        <f ca="1">INDIRECT("'数据-取费表'!f"&amp;$G$1)</f>
        <v>24.35</v>
      </c>
      <c r="O48" s="1323" t="s">
        <v>404</v>
      </c>
      <c r="P48" s="1324" t="s">
        <v>821</v>
      </c>
      <c r="Q48" s="1325">
        <f ca="1">J60</f>
        <v>9029</v>
      </c>
      <c r="R48" s="1325" t="s">
        <v>822</v>
      </c>
    </row>
    <row r="49" spans="1:18" s="1290" customFormat="1" ht="13.8" thickBot="1">
      <c r="A49" s="920" t="s">
        <v>439</v>
      </c>
      <c r="B49" s="1277" t="s">
        <v>779</v>
      </c>
      <c r="C49" s="1049">
        <f ca="1">ROUND(F49*F51*F50*(1-F52)/10000,0)</f>
        <v>0</v>
      </c>
      <c r="D49" s="990" t="s">
        <v>2110</v>
      </c>
      <c r="E49" s="1278" t="s">
        <v>780</v>
      </c>
      <c r="F49" s="995"/>
      <c r="H49" s="681"/>
      <c r="I49" s="1326" t="s">
        <v>823</v>
      </c>
      <c r="J49" s="1330">
        <f>'数据-取费表'!N18</f>
        <v>2013</v>
      </c>
      <c r="K49" s="1328" t="s">
        <v>824</v>
      </c>
      <c r="L49" s="1331"/>
      <c r="O49" s="1332" t="s">
        <v>405</v>
      </c>
      <c r="P49" s="1324" t="s">
        <v>825</v>
      </c>
      <c r="Q49" s="1325">
        <f ca="1">C29</f>
        <v>117246</v>
      </c>
      <c r="R49" s="1325" t="s">
        <v>818</v>
      </c>
    </row>
    <row r="50" spans="1:18" s="1290" customFormat="1" ht="13.8" thickBot="1">
      <c r="A50" s="921"/>
      <c r="B50" s="924"/>
      <c r="C50" s="1053"/>
      <c r="D50" s="898"/>
      <c r="E50" s="991" t="s">
        <v>697</v>
      </c>
      <c r="F50" s="992">
        <f ca="1">F7</f>
        <v>135843.08000000002</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4">
        <f ca="1">F8</f>
        <v>365</v>
      </c>
      <c r="I51" s="1336" t="s">
        <v>829</v>
      </c>
      <c r="J51" s="1329">
        <f>IF(J49="",J50,J49+J50-YEAR('数据-取费表'!B2))</f>
        <v>48</v>
      </c>
      <c r="K51" s="1337" t="s">
        <v>830</v>
      </c>
      <c r="L51" s="1338">
        <f ca="1">ROUND(-PV(INDIRECT("'数据-取费表'!h"&amp;$G$1),J51,(C39-C13*C76),0),0)</f>
        <v>46112</v>
      </c>
      <c r="M51" s="1339"/>
      <c r="O51" s="1332" t="s">
        <v>407</v>
      </c>
      <c r="P51" s="1324" t="s">
        <v>831</v>
      </c>
      <c r="Q51" s="1335">
        <f>J52</f>
        <v>7.0000000000000007E-2</v>
      </c>
      <c r="R51" s="1325"/>
    </row>
    <row r="52" spans="1:18" s="1290" customFormat="1" ht="13.8" thickBot="1">
      <c r="A52" s="922"/>
      <c r="B52" s="924"/>
      <c r="C52" s="925"/>
      <c r="D52" s="898"/>
      <c r="E52" s="926" t="s">
        <v>699</v>
      </c>
      <c r="F52" s="989"/>
      <c r="I52" s="1340" t="s">
        <v>832</v>
      </c>
      <c r="J52" s="1341">
        <v>7.0000000000000007E-2</v>
      </c>
      <c r="K52" s="1340" t="s">
        <v>833</v>
      </c>
      <c r="L52" s="1341"/>
      <c r="O52" s="1332" t="s">
        <v>408</v>
      </c>
      <c r="P52" s="1324" t="s">
        <v>834</v>
      </c>
      <c r="Q52" s="1325">
        <f ca="1">J53</f>
        <v>24.35</v>
      </c>
      <c r="R52" s="1325" t="s">
        <v>835</v>
      </c>
    </row>
    <row r="53" spans="1:18" s="1290" customFormat="1" ht="36.6" thickBot="1">
      <c r="A53" s="1077" t="s">
        <v>440</v>
      </c>
      <c r="B53" s="1279" t="s">
        <v>700</v>
      </c>
      <c r="C53" s="307">
        <f ca="1">ROUND(IF(F53="押一",C49/12*F11,IF(F53="押二",C49/12*2*F11,IF(F53="押三",C49/12*3*F11,C54*F11))),0)</f>
        <v>0</v>
      </c>
      <c r="D53" s="149" t="s">
        <v>2116</v>
      </c>
      <c r="E53" s="304" t="s">
        <v>701</v>
      </c>
      <c r="F53" s="1051"/>
      <c r="I53" s="1342" t="s">
        <v>836</v>
      </c>
      <c r="J53" s="2004">
        <f ca="1">IF(M47="住宅",IF(D1="——",MAX(J51,L48),MAX(J51,L48-'数据-取费表'!B24)),IF(D1="——",MIN(J51,L48),MIN(J51,L48-'数据-取费表'!B24)))</f>
        <v>24.35</v>
      </c>
      <c r="K53" s="3495" t="s">
        <v>837</v>
      </c>
      <c r="L53" s="3496"/>
      <c r="O53" s="1323" t="s">
        <v>409</v>
      </c>
      <c r="P53" s="1324" t="s">
        <v>838</v>
      </c>
      <c r="Q53" s="1325">
        <f ca="1">Q47+Q48</f>
        <v>161526</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f ca="1">ROUND(IF(J47="钢混",J57/J50,1-(1-2%)*(J50-J57)/J50),3)</f>
        <v>0.39400000000000002</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99659</v>
      </c>
      <c r="D56" s="1350"/>
      <c r="E56" s="1351"/>
      <c r="F56" s="1343"/>
      <c r="I56" s="1352" t="s">
        <v>842</v>
      </c>
      <c r="J56" s="3172" t="s">
        <v>3403</v>
      </c>
      <c r="K56" s="1326" t="s">
        <v>843</v>
      </c>
      <c r="L56" s="1329" t="str">
        <f ca="1">IF(L48&lt;J51,"——",L48-J53)</f>
        <v>——</v>
      </c>
      <c r="O56" s="1323" t="s">
        <v>403</v>
      </c>
      <c r="P56" s="1324" t="s">
        <v>817</v>
      </c>
      <c r="Q56" s="1325">
        <f ca="1">C40+J29</f>
        <v>152497</v>
      </c>
      <c r="R56" s="1325" t="s">
        <v>818</v>
      </c>
    </row>
    <row r="57" spans="1:18" s="1290" customFormat="1" ht="24.6" thickBot="1">
      <c r="A57" s="1354"/>
      <c r="B57" s="895" t="s">
        <v>767</v>
      </c>
      <c r="C57" s="229">
        <f ca="1">C29</f>
        <v>117246</v>
      </c>
      <c r="D57" s="1355"/>
      <c r="E57" s="1356"/>
      <c r="F57" s="1357"/>
      <c r="I57" s="1358" t="s">
        <v>844</v>
      </c>
      <c r="J57" s="1359">
        <f ca="1">IF(OR(M47="住宅",J51&lt;L48,J56="是"),"——",J51-L48)</f>
        <v>23.65</v>
      </c>
      <c r="K57" s="1326" t="s">
        <v>845</v>
      </c>
      <c r="L57" s="1329" t="str">
        <f ca="1">IF(L48&lt;J51,"——",IF(L55="比较法",L49,IF(L55="基准地价",L50,L51)))</f>
        <v>——</v>
      </c>
      <c r="O57" s="1323" t="s">
        <v>404</v>
      </c>
      <c r="P57" s="1324" t="s">
        <v>846</v>
      </c>
      <c r="Q57" s="1325">
        <f ca="1">L60</f>
        <v>0</v>
      </c>
      <c r="R57" s="1325" t="s">
        <v>847</v>
      </c>
    </row>
    <row r="58" spans="1:18" s="1290" customFormat="1" ht="24.6" thickBot="1">
      <c r="A58" s="306" t="s">
        <v>393</v>
      </c>
      <c r="B58" s="903" t="s">
        <v>714</v>
      </c>
      <c r="C58" s="307">
        <f ca="1">ROUND(C59+C64+C65+C66,0)</f>
        <v>457</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6</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46898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1" t="s">
        <v>853</v>
      </c>
      <c r="J60" s="1362">
        <f ca="1">IF(OR(M47="住宅",J51&lt;L48,J56="是"),"0",ROUND(J59/(1+J52)^J53,0))</f>
        <v>9029</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0">
        <f ca="1">IF(项目基本情况!B11="自然人","——",IF(D61="按租金收入计税",ROUND(C49*F61/(1+'数据-取费表'!C42),2),IF(D61="按房产原值计税",ROUND(C57*F61*0.7,2),INDIRECT("'数据-取费表'!Aj"&amp;$G$1))))</f>
        <v>0</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1">
        <f ca="1">IF(项目基本情况!B11="自然人","——",ROUND(F62*F63/10000,2))</f>
        <v>5.61</v>
      </c>
      <c r="D62" s="910" t="s">
        <v>786</v>
      </c>
      <c r="E62" s="895" t="s">
        <v>787</v>
      </c>
      <c r="F62" s="316">
        <f t="shared" si="0"/>
        <v>1.5</v>
      </c>
      <c r="I62" s="1365" t="s">
        <v>858</v>
      </c>
      <c r="J62" s="609" t="s">
        <v>859</v>
      </c>
      <c r="K62" s="609" t="s">
        <v>860</v>
      </c>
      <c r="L62" s="609" t="s">
        <v>861</v>
      </c>
      <c r="M62" s="1366" t="s">
        <v>862</v>
      </c>
      <c r="O62" s="1323" t="s">
        <v>409</v>
      </c>
      <c r="P62" s="1324" t="s">
        <v>863</v>
      </c>
      <c r="Q62" s="1325">
        <f ca="1">Q56+Q57</f>
        <v>152497</v>
      </c>
      <c r="R62" s="1325" t="s">
        <v>410</v>
      </c>
    </row>
    <row r="63" spans="1:18" s="1290" customFormat="1" ht="13.8" thickBot="1">
      <c r="A63" s="317"/>
      <c r="B63" s="901"/>
      <c r="C63" s="25"/>
      <c r="D63" s="911"/>
      <c r="E63" s="895" t="s">
        <v>788</v>
      </c>
      <c r="F63" s="294">
        <f t="shared" ca="1" si="0"/>
        <v>37387.29</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0">
        <f ca="1">ROUND(C57*F64,2)</f>
        <v>351.74</v>
      </c>
      <c r="D64" s="909" t="s">
        <v>791</v>
      </c>
      <c r="E64" s="895" t="s">
        <v>783</v>
      </c>
      <c r="F64" s="319">
        <f t="shared" ca="1" si="0"/>
        <v>3.0000000000000001E-3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0">
        <f ca="1">ROUND(C56*F65,2)</f>
        <v>99.66</v>
      </c>
      <c r="D65" s="909" t="s">
        <v>743</v>
      </c>
      <c r="E65" s="895" t="s">
        <v>744</v>
      </c>
      <c r="F65" s="320">
        <f t="shared" ca="1" si="0"/>
        <v>1E-3</v>
      </c>
      <c r="I65" s="1365" t="s">
        <v>867</v>
      </c>
      <c r="J65" s="609">
        <v>40</v>
      </c>
      <c r="K65" s="609">
        <v>30</v>
      </c>
      <c r="L65" s="609">
        <v>50</v>
      </c>
      <c r="M65" s="1367">
        <v>0.02</v>
      </c>
      <c r="O65" s="1323" t="s">
        <v>403</v>
      </c>
      <c r="P65" s="1324" t="s">
        <v>868</v>
      </c>
      <c r="Q65" s="1325">
        <f ca="1">C40+J29</f>
        <v>152497</v>
      </c>
      <c r="R65" s="1325" t="s">
        <v>818</v>
      </c>
    </row>
    <row r="66" spans="1:18" s="1290" customFormat="1" ht="16.2" thickBot="1">
      <c r="A66" s="927" t="s">
        <v>793</v>
      </c>
      <c r="B66" s="895" t="s">
        <v>728</v>
      </c>
      <c r="C66" s="20">
        <f ca="1">ROUND(C48*F66,2)</f>
        <v>0</v>
      </c>
      <c r="D66" s="909" t="s">
        <v>794</v>
      </c>
      <c r="E66" s="895" t="s">
        <v>712</v>
      </c>
      <c r="F66" s="303">
        <f t="shared" ca="1" si="0"/>
        <v>5.0000000000000001E-3</v>
      </c>
      <c r="O66" s="1323" t="s">
        <v>404</v>
      </c>
      <c r="P66" s="1324" t="s">
        <v>846</v>
      </c>
      <c r="Q66" s="1325">
        <f ca="1">L60</f>
        <v>0</v>
      </c>
      <c r="R66" s="1325" t="s">
        <v>869</v>
      </c>
    </row>
    <row r="67" spans="1:18" s="1290" customFormat="1" ht="24.6" thickBot="1">
      <c r="A67" s="902" t="s">
        <v>394</v>
      </c>
      <c r="B67" s="912" t="s">
        <v>752</v>
      </c>
      <c r="C67" s="307">
        <f ca="1">C48-C58</f>
        <v>-457</v>
      </c>
      <c r="D67" s="908" t="s">
        <v>753</v>
      </c>
      <c r="E67" s="913"/>
      <c r="F67" s="914"/>
      <c r="O67" s="1332" t="s">
        <v>405</v>
      </c>
      <c r="P67" s="1324" t="s">
        <v>850</v>
      </c>
      <c r="Q67" s="1368">
        <f ca="1">L51</f>
        <v>46112</v>
      </c>
      <c r="R67" s="1325" t="s">
        <v>870</v>
      </c>
    </row>
    <row r="68" spans="1:18" s="1290" customFormat="1" ht="16.2" thickBot="1">
      <c r="A68" s="892" t="s">
        <v>395</v>
      </c>
      <c r="B68" s="893" t="s">
        <v>774</v>
      </c>
      <c r="C68" s="292">
        <f ca="1">ROUND(C67*(1-((1+F70)/(1+F68))^F69)/(F68-F70),0)</f>
        <v>-6053</v>
      </c>
      <c r="D68" s="910" t="s">
        <v>758</v>
      </c>
      <c r="E68" s="895" t="s">
        <v>759</v>
      </c>
      <c r="F68" s="303">
        <f ca="1">F40</f>
        <v>5.5E-2</v>
      </c>
      <c r="O68" s="1332" t="s">
        <v>406</v>
      </c>
      <c r="P68" s="1369" t="s">
        <v>871</v>
      </c>
      <c r="Q68" s="1325">
        <f ca="1">ROUND(Q69-Q70*Q71,0)</f>
        <v>2551</v>
      </c>
      <c r="R68" s="1325" t="s">
        <v>414</v>
      </c>
    </row>
    <row r="69" spans="1:18" s="1290" customFormat="1" ht="13.8" thickBot="1">
      <c r="A69" s="896"/>
      <c r="B69" s="897"/>
      <c r="C69" s="297"/>
      <c r="D69" s="915" t="s">
        <v>762</v>
      </c>
      <c r="E69" s="895" t="s">
        <v>763</v>
      </c>
      <c r="F69" s="323">
        <f ca="1">F41</f>
        <v>24.35</v>
      </c>
      <c r="O69" s="1332" t="s">
        <v>411</v>
      </c>
      <c r="P69" s="1369" t="s">
        <v>872</v>
      </c>
      <c r="Q69" s="1325">
        <f ca="1">C39</f>
        <v>9527</v>
      </c>
      <c r="R69" s="1325" t="s">
        <v>818</v>
      </c>
    </row>
    <row r="70" spans="1:18" s="1290" customFormat="1" ht="13.8" thickBot="1">
      <c r="A70" s="899"/>
      <c r="B70" s="900"/>
      <c r="C70" s="301"/>
      <c r="D70" s="911"/>
      <c r="E70" s="895" t="s">
        <v>766</v>
      </c>
      <c r="F70" s="989"/>
      <c r="O70" s="1332" t="s">
        <v>412</v>
      </c>
      <c r="P70" s="1369" t="s">
        <v>873</v>
      </c>
      <c r="Q70" s="1325">
        <f ca="1">C13</f>
        <v>99659</v>
      </c>
      <c r="R70" s="1325" t="s">
        <v>818</v>
      </c>
    </row>
    <row r="71" spans="1:18" s="1290" customFormat="1" ht="13.8" thickBot="1">
      <c r="A71" s="916" t="s">
        <v>396</v>
      </c>
      <c r="B71" s="917" t="s">
        <v>776</v>
      </c>
      <c r="C71" s="326">
        <f ca="1">ROUND(C68*10000/F71,0)</f>
        <v>-446</v>
      </c>
      <c r="D71" s="918" t="s">
        <v>777</v>
      </c>
      <c r="E71" s="919" t="s">
        <v>778</v>
      </c>
      <c r="F71" s="329">
        <f ca="1">F43</f>
        <v>135843.08000000002</v>
      </c>
      <c r="O71" s="1332" t="s">
        <v>413</v>
      </c>
      <c r="P71" s="1369" t="s">
        <v>874</v>
      </c>
      <c r="Q71" s="1335">
        <f ca="1">C76</f>
        <v>7.0000000000000007E-2</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6976</v>
      </c>
      <c r="D75" s="1290"/>
      <c r="E75" s="1290"/>
      <c r="F75" s="1290"/>
      <c r="K75" s="1307"/>
      <c r="L75" s="1290"/>
      <c r="O75" s="1323" t="s">
        <v>409</v>
      </c>
      <c r="P75" s="1324" t="s">
        <v>838</v>
      </c>
      <c r="Q75" s="1325">
        <f ca="1">Q65+Q66</f>
        <v>152497</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0.26800000000000002</v>
      </c>
    </row>
    <row r="80" spans="1:18">
      <c r="B80" s="330" t="s">
        <v>800</v>
      </c>
      <c r="C80" s="265">
        <f ca="1">ROUND(C75/C39,3)</f>
        <v>0.73199999999999998</v>
      </c>
    </row>
    <row r="81" spans="2:3">
      <c r="B81" s="261" t="s">
        <v>801</v>
      </c>
      <c r="C81" s="229"/>
    </row>
    <row r="82" spans="2:3">
      <c r="B82" s="264" t="s">
        <v>802</v>
      </c>
      <c r="C82" s="266">
        <f ca="1">1-C83</f>
        <v>0.34599999999999997</v>
      </c>
    </row>
    <row r="83" spans="2:3">
      <c r="B83" s="264" t="s">
        <v>803</v>
      </c>
      <c r="C83" s="265">
        <f ca="1">ROUND(C13/C40,3)</f>
        <v>0.65400000000000003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700-000000000000}">
      <formula1>"按租金收入计税,按房产原值计税"</formula1>
    </dataValidation>
    <dataValidation type="list" allowBlank="1" showInputMessage="1" showErrorMessage="1" sqref="D33 D61" xr:uid="{00000000-0002-0000-2700-000001000000}">
      <formula1>"按租金收入计税,按房产原值计税,按票据"</formula1>
    </dataValidation>
    <dataValidation type="list" allowBlank="1" showInputMessage="1" showErrorMessage="1" sqref="C1" xr:uid="{00000000-0002-0000-2700-000002000000}">
      <formula1>项目类型</formula1>
    </dataValidation>
    <dataValidation type="list" allowBlank="1" showInputMessage="1" showErrorMessage="1" sqref="J47" xr:uid="{00000000-0002-0000-2700-000003000000}">
      <formula1>"钢,钢混,砖混"</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56" xr:uid="{00000000-0002-0000-2700-000005000000}">
      <formula1>估价范围判定</formula1>
    </dataValidation>
    <dataValidation type="list" allowBlank="1" showInputMessage="1" showErrorMessage="1" sqref="L55" xr:uid="{00000000-0002-0000-2700-000006000000}">
      <formula1>"比较法,基准地价,收益还原"</formula1>
    </dataValidation>
    <dataValidation type="list" allowBlank="1" showInputMessage="1" showErrorMessage="1" sqref="M10 F10 F53" xr:uid="{00000000-0002-0000-2700-000007000000}">
      <formula1>"押一,押二,押三,自定义"</formula1>
    </dataValidation>
    <dataValidation type="list" allowBlank="1" showInputMessage="1" showErrorMessage="1" sqref="D1" xr:uid="{00000000-0002-0000-2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B8" sqref="B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99" t="s">
        <v>2835</v>
      </c>
      <c r="B1" s="3499"/>
      <c r="C1" s="3499"/>
      <c r="D1" s="3499"/>
      <c r="E1" s="3499"/>
      <c r="F1" s="3499"/>
      <c r="G1" s="3500"/>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7"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98"/>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activeCell="C5" sqref="C5:G9"/>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01" t="s">
        <v>3177</v>
      </c>
      <c r="B1" s="3501"/>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8"/>
  </cols>
  <sheetData>
    <row r="1" spans="1:6">
      <c r="A1" s="3502" t="s">
        <v>3228</v>
      </c>
      <c r="B1" s="3502"/>
      <c r="C1" s="3502"/>
      <c r="D1" s="3502"/>
      <c r="E1" s="3502"/>
      <c r="F1" s="3503"/>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2">
        <f>基准地价修正!G23</f>
        <v>45715</v>
      </c>
      <c r="B1" s="2924" t="s">
        <v>3374</v>
      </c>
      <c r="C1" s="2925"/>
      <c r="D1" s="2925"/>
      <c r="E1" s="2925"/>
      <c r="F1" s="2925"/>
      <c r="G1" s="2925"/>
      <c r="H1" s="2925"/>
      <c r="I1" s="2925"/>
      <c r="J1" s="2891"/>
      <c r="K1" s="2925" t="s">
        <v>454</v>
      </c>
      <c r="L1" s="2925"/>
      <c r="M1" s="2925"/>
      <c r="N1" s="2925"/>
      <c r="O1" s="2925"/>
      <c r="P1" s="2925"/>
      <c r="Q1" s="2891"/>
      <c r="R1" s="3504" t="s">
        <v>456</v>
      </c>
      <c r="S1" s="3505"/>
      <c r="T1" s="3505"/>
      <c r="U1" s="3505"/>
      <c r="V1" s="3505"/>
      <c r="W1" s="3505"/>
      <c r="X1" s="2891"/>
      <c r="Y1" s="3504" t="s">
        <v>457</v>
      </c>
      <c r="Z1" s="3505"/>
      <c r="AA1" s="3505"/>
      <c r="AB1" s="3505"/>
      <c r="AC1" s="3505"/>
      <c r="AD1" s="3505"/>
    </row>
    <row r="2" spans="1:30" s="2008" customFormat="1" ht="1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3.2">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3.2">
      <c r="A5" s="2038" t="s">
        <v>3370</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3.2">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3.2">
      <c r="A7" s="2038" t="s">
        <v>3378</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0" t="s">
        <v>3371</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0" t="s">
        <v>3369</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3.2">
      <c r="A10" s="2900" t="s">
        <v>3365</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3.2">
      <c r="A11" s="2900" t="s">
        <v>3364</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3.2">
      <c r="A12" s="2900" t="s">
        <v>3362</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3.2">
      <c r="A13" s="2900" t="s">
        <v>3361</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3.2">
      <c r="A14" s="2900" t="s">
        <v>3360</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0" t="s">
        <v>3358</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0" t="s">
        <v>3349</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3377</v>
      </c>
    </row>
    <row r="24" spans="1:30">
      <c r="I24" s="1403" t="s">
        <v>2821</v>
      </c>
    </row>
    <row r="26" spans="1:30" s="2007" customFormat="1" ht="13.2">
      <c r="B26" s="2924" t="s">
        <v>3375</v>
      </c>
      <c r="C26" s="2925"/>
      <c r="D26" s="2925"/>
      <c r="E26" s="2925"/>
      <c r="F26" s="2925"/>
      <c r="G26" s="2925"/>
      <c r="H26" s="2925"/>
      <c r="I26" s="2925"/>
      <c r="J26" s="2891"/>
      <c r="K26" s="2925" t="s">
        <v>2822</v>
      </c>
      <c r="L26" s="2925"/>
      <c r="M26" s="2925"/>
      <c r="N26" s="2925"/>
      <c r="O26" s="2925"/>
      <c r="P26" s="2925"/>
      <c r="Q26" s="2891"/>
      <c r="R26" s="3504" t="s">
        <v>2823</v>
      </c>
      <c r="S26" s="3505"/>
      <c r="T26" s="3505"/>
      <c r="U26" s="3505"/>
      <c r="V26" s="3505"/>
      <c r="W26" s="3505"/>
      <c r="X26" s="2891"/>
      <c r="Y26" s="3504" t="s">
        <v>2824</v>
      </c>
      <c r="Z26" s="3505"/>
      <c r="AA26" s="3505"/>
      <c r="AB26" s="3505"/>
      <c r="AC26" s="3505"/>
      <c r="AD26" s="3505"/>
    </row>
    <row r="27" spans="1:30" s="2008" customFormat="1" ht="1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3.2">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3.2">
      <c r="A30" s="2038" t="s">
        <v>3370</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3.2">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3.2">
      <c r="A32" s="2038" t="s">
        <v>3367</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3.2">
      <c r="A33" s="2900" t="s">
        <v>3373</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3.2">
      <c r="A34" s="2900" t="s">
        <v>3368</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3.2">
      <c r="A35" s="2900" t="s">
        <v>3366</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3.2">
      <c r="A36" s="2900" t="s">
        <v>3364</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3.2">
      <c r="A37" s="2900" t="s">
        <v>3363</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3.2">
      <c r="A38" s="2900" t="s">
        <v>3361</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3.2">
      <c r="A39" s="2900" t="s">
        <v>3360</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3.2">
      <c r="A40" s="2900" t="s">
        <v>3359</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3.2">
      <c r="A41" s="2900" t="s">
        <v>3349</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3.2">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3.2">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3.2">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3.2">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7">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8">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7">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8">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45715</v>
      </c>
      <c r="D1" s="1215" t="s">
        <v>603</v>
      </c>
      <c r="E1" s="1210">
        <f>'数据-取费表'!B22</f>
        <v>3</v>
      </c>
      <c r="F1" s="1215" t="s">
        <v>604</v>
      </c>
      <c r="G1" s="1211">
        <f ca="1">INDIRECT("d"&amp;$K$1)/100</f>
        <v>3.1E-2</v>
      </c>
      <c r="H1" s="1215" t="s">
        <v>634</v>
      </c>
      <c r="I1" s="1211">
        <f ca="1">F4/100</f>
        <v>1.4999999999999999E-2</v>
      </c>
      <c r="J1" s="1216">
        <f>IF(C1&gt;C13,0,MATCH(C1,C$13:C$114,-1))+IF(SUMIF(C13:C114,C1,D13:D114)=0,13,12)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0" t="s">
        <v>925</v>
      </c>
      <c r="E3" s="800" t="s">
        <v>931</v>
      </c>
      <c r="F3" s="800" t="s">
        <v>925</v>
      </c>
      <c r="G3" s="800" t="s">
        <v>926</v>
      </c>
      <c r="H3" s="800" t="s">
        <v>925</v>
      </c>
      <c r="I3" s="800" t="s">
        <v>926</v>
      </c>
    </row>
    <row r="4" spans="1:9" ht="30">
      <c r="A4" s="1401" t="str">
        <f>项目基本情况!S2</f>
        <v>北京市顺义新顺南大街8号院1幢房地产</v>
      </c>
      <c r="B4" s="800">
        <f>项目基本情况!C17</f>
        <v>135843.08000000002</v>
      </c>
      <c r="C4" s="800">
        <f>项目基本情况!C18</f>
        <v>37387.29</v>
      </c>
      <c r="D4" s="800">
        <f ca="1">结果表!D118</f>
        <v>128509</v>
      </c>
      <c r="E4" s="800">
        <f ca="1">结果表!E118</f>
        <v>9460</v>
      </c>
      <c r="F4" s="800">
        <f ca="1">结果表!F118</f>
        <v>89672</v>
      </c>
      <c r="G4" s="800">
        <f ca="1">结果表!G118</f>
        <v>6601</v>
      </c>
      <c r="H4" s="800">
        <f ca="1">结果表!H118</f>
        <v>218181</v>
      </c>
      <c r="I4" s="800">
        <f ca="1">结果表!I118</f>
        <v>16061</v>
      </c>
    </row>
    <row r="5" spans="1:9" ht="30" customHeight="1">
      <c r="A5" s="3190" t="s">
        <v>927</v>
      </c>
      <c r="B5" s="3190"/>
      <c r="C5" s="3190"/>
      <c r="D5" s="3190" t="str">
        <f ca="1">结果表!D119</f>
        <v>壹拾贰亿捌仟伍佰零玖万元整</v>
      </c>
      <c r="E5" s="3190"/>
      <c r="F5" s="3190" t="str">
        <f ca="1">结果表!F119</f>
        <v>捌亿玖仟陆佰柒拾贰万元整</v>
      </c>
      <c r="G5" s="3190"/>
      <c r="H5" s="3190" t="str">
        <f ca="1">结果表!H119</f>
        <v>贰拾壹亿捌仟壹佰捌拾壹万元整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218181</v>
      </c>
      <c r="E8" s="3189"/>
      <c r="F8" s="3189"/>
      <c r="G8" s="3189"/>
      <c r="H8" s="3189"/>
      <c r="I8" s="3189"/>
    </row>
    <row r="9" spans="1:9" ht="15">
      <c r="A9" s="3190" t="s">
        <v>927</v>
      </c>
      <c r="B9" s="3190"/>
      <c r="C9" s="3190"/>
      <c r="D9" s="3190" t="str">
        <f ca="1">结果表!D123</f>
        <v>贰拾壹亿捌仟壹佰捌拾壹万元整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抵押净值</v>
      </c>
      <c r="B12" s="3189"/>
      <c r="C12" s="3189"/>
      <c r="D12" s="3189">
        <f ca="1">结果表!D126</f>
        <v>185247</v>
      </c>
      <c r="E12" s="3189"/>
      <c r="F12" s="3189"/>
      <c r="G12" s="3189"/>
      <c r="H12" s="3189"/>
      <c r="I12" s="3189"/>
    </row>
    <row r="13" spans="1:9" ht="15.6" thickBot="1">
      <c r="A13" s="3187" t="s">
        <v>927</v>
      </c>
      <c r="B13" s="3187"/>
      <c r="C13" s="3187"/>
      <c r="D13" s="3187" t="str">
        <f ca="1">结果表!D127</f>
        <v>壹拾捌亿伍仟贰佰肆拾柒万元整</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2" t="s">
        <v>949</v>
      </c>
      <c r="B1" s="3202"/>
      <c r="C1" s="3202"/>
      <c r="D1" s="3202"/>
    </row>
    <row r="2" spans="1:4" ht="17.399999999999999">
      <c r="A2" s="3203" t="s">
        <v>933</v>
      </c>
      <c r="B2" s="3203"/>
      <c r="C2" s="3203"/>
      <c r="D2" s="3203"/>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f>项目基本情况!D4</f>
        <v>0</v>
      </c>
      <c r="B5" s="1407">
        <f>项目基本情况!E4</f>
        <v>0</v>
      </c>
      <c r="C5" s="1410"/>
      <c r="D5" s="1409" t="s">
        <v>938</v>
      </c>
    </row>
    <row r="6" spans="1:4" ht="17.399999999999999">
      <c r="A6" s="3203" t="s">
        <v>939</v>
      </c>
      <c r="B6" s="3203"/>
      <c r="C6" s="3203"/>
      <c r="D6" s="3203"/>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10" t="s">
        <v>956</v>
      </c>
      <c r="B15" s="3205" t="s">
        <v>109</v>
      </c>
      <c r="C15" s="3206"/>
    </row>
    <row r="16" spans="1:7" ht="14.4">
      <c r="A16" s="3211"/>
      <c r="B16" s="3205" t="s">
        <v>42</v>
      </c>
      <c r="C16" s="3206"/>
    </row>
    <row r="17" spans="1:3" ht="14.4">
      <c r="A17" s="3211"/>
      <c r="B17" s="3208" t="s">
        <v>957</v>
      </c>
      <c r="C17" s="1427" t="s">
        <v>956</v>
      </c>
    </row>
    <row r="18" spans="1:3" ht="14.4">
      <c r="A18" s="3211"/>
      <c r="B18" s="3208"/>
      <c r="C18" s="1427" t="s">
        <v>958</v>
      </c>
    </row>
    <row r="19" spans="1:3" ht="14.4">
      <c r="A19" s="3211"/>
      <c r="B19" s="3208"/>
      <c r="C19" s="1427" t="s">
        <v>959</v>
      </c>
    </row>
    <row r="20" spans="1:3" ht="14.4">
      <c r="A20" s="3212"/>
      <c r="B20" s="3207" t="s">
        <v>960</v>
      </c>
      <c r="C20" s="3206"/>
    </row>
    <row r="21" spans="1:3" ht="14.4">
      <c r="A21" s="1428" t="s">
        <v>961</v>
      </c>
      <c r="B21" s="1429"/>
      <c r="C21" s="1430"/>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7" t="s">
        <v>967</v>
      </c>
    </row>
    <row r="26" spans="1:3" ht="14.4">
      <c r="A26" s="3209"/>
      <c r="B26" s="3208"/>
      <c r="C26" s="1427" t="s">
        <v>968</v>
      </c>
    </row>
    <row r="27" spans="1:3" ht="14.4">
      <c r="A27" s="3209"/>
      <c r="B27" s="3208"/>
      <c r="C27" s="1427" t="s">
        <v>969</v>
      </c>
    </row>
    <row r="28" spans="1:3" ht="14.4">
      <c r="A28" s="3209"/>
      <c r="B28" s="3208"/>
      <c r="C28" s="1427" t="s">
        <v>970</v>
      </c>
    </row>
    <row r="29" spans="1:3" ht="14.4">
      <c r="A29" s="3209"/>
      <c r="B29" s="3208"/>
      <c r="C29" s="1427" t="s">
        <v>971</v>
      </c>
    </row>
    <row r="30" spans="1:3" ht="14.4">
      <c r="A30" s="3209"/>
      <c r="B30" s="3208"/>
      <c r="C30" s="1427" t="s">
        <v>972</v>
      </c>
    </row>
    <row r="31" spans="1:3" ht="14.4">
      <c r="A31" s="3209"/>
      <c r="B31" s="3208"/>
      <c r="C31" s="1427" t="s">
        <v>973</v>
      </c>
    </row>
    <row r="32" spans="1:3" ht="14.4">
      <c r="A32" s="3209"/>
      <c r="B32" s="3208"/>
      <c r="C32" s="1427" t="s">
        <v>974</v>
      </c>
    </row>
    <row r="33" spans="1:3" ht="14.4">
      <c r="A33" s="3209"/>
      <c r="B33" s="320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45720</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8"/>
      <c r="E18" s="3215" t="s">
        <v>2162</v>
      </c>
      <c r="F18" s="3214"/>
      <c r="G18" s="3214"/>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2025-03-04T07:08:07Z</dcterms:modified>
</cp:coreProperties>
</file>