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6-1-0041北京市海淀区功德寺棚户区改造项目HD-GDS-001地块在建工程\"/>
    </mc:Choice>
  </mc:AlternateContent>
  <xr:revisionPtr revIDLastSave="0" documentId="13_ncr:1_{DB4233C8-631C-40DD-B3FB-8761F8AE6B8C}" xr6:coauthVersionLast="47" xr6:coauthVersionMax="47" xr10:uidLastSave="{00000000-0000-0000-0000-000000000000}"/>
  <bookViews>
    <workbookView xWindow="-120" yWindow="-120" windowWidth="29040" windowHeight="158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地价-分区" sheetId="79" r:id="rId24"/>
    <sheet name="土地案例" sheetId="85" r:id="rId25"/>
    <sheet name="本项目成交情况" sheetId="86" r:id="rId26"/>
    <sheet name="假设开发法" sheetId="12" r:id="rId27"/>
    <sheet name="比较法-住宅" sheetId="21" r:id="rId28"/>
    <sheet name="住宅" sheetId="88" r:id="rId29"/>
    <sheet name="收益法" sheetId="15" r:id="rId30"/>
    <sheet name="收益法 (元)" sheetId="81" state="hidden" r:id="rId31"/>
    <sheet name="收益法 (元)fei" sheetId="67" state="hidden" r:id="rId32"/>
    <sheet name="收益法-酒店模型" sheetId="77" state="hidden" r:id="rId33"/>
    <sheet name="收益法（汇总）" sheetId="70"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r:id="rId39"/>
    <sheet name="车位" sheetId="87" r:id="rId40"/>
    <sheet name="比较法-仓储" sheetId="36" state="hidden" r:id="rId41"/>
    <sheet name="土地比较法-工业" sheetId="40" state="hidden" r:id="rId42"/>
    <sheet name="基准地价（汇总）" sheetId="76" state="hidden" r:id="rId43"/>
    <sheet name="基准地价修正" sheetId="43" r:id="rId44"/>
    <sheet name="剩余法（现房）" sheetId="82" state="hidden" r:id="rId45"/>
    <sheet name="成本逼近法" sheetId="83" state="hidden" r:id="rId46"/>
    <sheet name="修正" sheetId="45" state="hidden" r:id="rId47"/>
    <sheet name="容积率修正" sheetId="46" r:id="rId48"/>
    <sheet name="成本法（废）" sheetId="11" state="hidden" r:id="rId49"/>
    <sheet name="因素修正幅度" sheetId="65" state="hidden" r:id="rId50"/>
    <sheet name="区片价（范围）" sheetId="75"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6" hidden="1">'比较法-办公'!$A$1:$L$50</definedName>
    <definedName name="_xlnm._FilterDatabase" localSheetId="40"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7" hidden="1">'比较法-住宅'!$A$1:$L$49</definedName>
    <definedName name="_xlnm._FilterDatabase" localSheetId="45"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6">'比较法-办公'!$A$1:$K$55,'比较法-办公'!$A$58:$M$132</definedName>
    <definedName name="_xlnm.Print_Area" localSheetId="40">'比较法-仓储'!$A$1:$K$42,'比较法-仓储'!$A$45:$M$96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7">'比较法-住宅'!$A$1:$K$54,'比较法-住宅'!$A$57:$M$131</definedName>
    <definedName name="_xlnm.Print_Area" localSheetId="45">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假设开发法!$A$1:$K$37</definedName>
    <definedName name="_xlnm.Print_Area" localSheetId="18">结果表!$A$1:$I$127</definedName>
    <definedName name="_xlnm.Print_Area" localSheetId="44">'剩余法（现房）'!$A$1:$K$34</definedName>
    <definedName name="_xlnm.Print_Area" localSheetId="29">收益法!$A$1:$F$49,收益法!$H$3:$M$33,收益法!$A$51:$F$79,收益法!$I$51:$N$70</definedName>
    <definedName name="_xlnm.Print_Area" localSheetId="30">'收益法 (元)'!$A$1:$F$49,'收益法 (元)'!$H$3:$M$33,'收益法 (元)'!$A$51:$F$79,'收益法 (元)'!$I$51:$N$70</definedName>
    <definedName name="_xlnm.Print_Area" localSheetId="31">'收益法 (元)fei'!$A$1:$F$43,'收益法 (元)fei'!$H$3:$M$29,'收益法 (元)fei'!$A$45:$F$71,'收益法 (元)fei'!$I$46:$N$65</definedName>
    <definedName name="_xlnm.Print_Area" localSheetId="33">'收益法（汇总）'!$A$1:$F$13</definedName>
    <definedName name="_xlnm.Print_Area" localSheetId="14">'数据-汇总表'!$A$1:$P$32</definedName>
    <definedName name="_xlnm.Print_Area" localSheetId="41">'土地比较法-工业'!$A$1:$K$63,'土地比较法-工业'!$A$66:$M$123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'[1]数据-取费表'!$A$54:$A$64</definedName>
    <definedName name="城镇土地纳税等级分级范围">'数据-取费表'!$A$54:$A$64</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修正!$C$19:$C$53</definedName>
    <definedName name="法定最高年限" localSheetId="39">[1]定义!$G$1:$G$6</definedName>
    <definedName name="法定最高年限">定义!$G$1:$G$6</definedName>
    <definedName name="工业">定义!$AB$2:$AB$12</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服务">定义!$Z$2:$Z$14</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定义!$X$2:$X$9</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[1]修正!$C$73:$C$140</definedName>
    <definedName name="商业街名称">修正!$C$73:$C$140</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'[1]土地比较法-工业'!$B$99:$M$99</definedName>
    <definedName name="套工道路等级">'土地比较法-工业'!$B$99:$M$99</definedName>
    <definedName name="套工地质条件" localSheetId="39">'[1]土地比较法-工业'!$B$116:$M$116</definedName>
    <definedName name="套工地质条件">'土地比较法-工业'!$B$116:$M$116</definedName>
    <definedName name="套工交易情况" localSheetId="39">'[1]土地比较法-住宅、综合'!$A$74:$M$74</definedName>
    <definedName name="套工交易情况">'土地比较法-住宅、综合'!$A$74:$M$74</definedName>
    <definedName name="套工土地级别" localSheetId="39">'[1]土地比较法-工业'!$B$101:$M$101</definedName>
    <definedName name="套工土地级别">'土地比较法-工业'!$B$101:$M$101</definedName>
    <definedName name="套工用途" localSheetId="39">'[1]土地比较法-工业'!$B$72:$M$72</definedName>
    <definedName name="套工用途">'土地比较法-工业'!$B$72:$M$72</definedName>
    <definedName name="套工宗地开发程度" localSheetId="39">'[1]土地比较法-工业'!$B$114:$M$114</definedName>
    <definedName name="套工宗地开发程度">'土地比较法-工业'!$B$114:$M$114</definedName>
    <definedName name="套工宗地形状" localSheetId="39">'[1]土地比较法-工业'!$B$112:$M$112</definedName>
    <definedName name="套工宗地形状">'土地比较法-工业'!$B$112:$M$112</definedName>
    <definedName name="套综道路等级" localSheetId="39">'[1]土地比较法-住宅、综合'!$B$107:$M$107</definedName>
    <definedName name="套综道路等级">'土地比较法-住宅、综合'!$B$107:$M$107</definedName>
    <definedName name="套综工程地质条件" localSheetId="39">'[1]土地比较法-住宅、综合'!$B$126:$M$126</definedName>
    <definedName name="套综工程地质条件">'土地比较法-住宅、综合'!$B$126:$M$126</definedName>
    <definedName name="套综交易情况" localSheetId="39">'[1]土地比较法-住宅、综合'!$A$74:$M$74</definedName>
    <definedName name="套综交易情况">'土地比较法-住宅、综合'!$A$74:$M$74</definedName>
    <definedName name="套综临街宽度及深度" localSheetId="39">'[1]土地比较法-住宅、综合'!$B$122:$M$122</definedName>
    <definedName name="套综临街宽度及深度">'土地比较法-住宅、综合'!$B$122:$M$122</definedName>
    <definedName name="套综土地级别" localSheetId="39">'[1]土地比较法-住宅、综合'!$B$109:$M$109</definedName>
    <definedName name="套综土地级别">'土地比较法-住宅、综合'!$B$109:$M$109</definedName>
    <definedName name="套综用途" localSheetId="39">'[1]土地比较法-住宅、综合'!$B$76:$M$76</definedName>
    <definedName name="套综用途">'土地比较法-住宅、综合'!$B$76:$M$76</definedName>
    <definedName name="套综宗地内开发程度" localSheetId="39">'[1]土地比较法-住宅、综合'!$B$124:$M$124</definedName>
    <definedName name="套综宗地内开发程度">'土地比较法-住宅、综合'!$B$124:$M$124</definedName>
    <definedName name="套综宗地形状" localSheetId="39">'[1]土地比较法-住宅、综合'!$B$120:$M$120</definedName>
    <definedName name="套综宗地形状">'土地比较法-住宅、综合'!$B$120:$M$120</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39">'[1]数据-汇总表'!$C$17:$C$26</definedName>
    <definedName name="项目类型" localSheetId="32">'[2]数据-汇总表'!$C$17:$C$26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定义!$AA$2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AE283" i="84" l="1"/>
  <c r="C10" i="12"/>
  <c r="M74" i="84" l="1"/>
  <c r="Q57" i="84"/>
  <c r="Q56" i="84"/>
  <c r="Q55" i="84"/>
  <c r="Q54" i="84"/>
  <c r="L97" i="86"/>
  <c r="L96" i="86"/>
  <c r="L95" i="86"/>
  <c r="L22" i="1"/>
  <c r="L23" i="1" s="1"/>
  <c r="J13" i="78"/>
  <c r="I9" i="39" l="1"/>
  <c r="G9" i="39"/>
  <c r="E9" i="39"/>
  <c r="I7" i="39"/>
  <c r="G7" i="39"/>
  <c r="E7" i="39"/>
  <c r="Y281" i="84"/>
  <c r="AH8" i="1" s="1"/>
  <c r="K24" i="1" l="1"/>
  <c r="K23" i="1"/>
  <c r="K22" i="1"/>
  <c r="C21" i="6" l="1"/>
  <c r="C20" i="6"/>
  <c r="C19" i="6"/>
  <c r="K63" i="84"/>
  <c r="K64" i="84"/>
  <c r="K62" i="84"/>
  <c r="A3" i="3"/>
  <c r="AF282" i="84" l="1"/>
  <c r="P56" i="84" s="1"/>
  <c r="AE282" i="84"/>
  <c r="O56" i="84" s="1"/>
  <c r="X138" i="84"/>
  <c r="P55" i="84" s="1"/>
  <c r="W138" i="84"/>
  <c r="O55" i="84" s="1"/>
  <c r="P49" i="84"/>
  <c r="P54" i="84" s="1"/>
  <c r="O49" i="84"/>
  <c r="O54" i="84" s="1"/>
  <c r="S32" i="87"/>
  <c r="R32" i="87"/>
  <c r="S20" i="87"/>
  <c r="R20" i="87"/>
  <c r="R9" i="87"/>
  <c r="S7" i="87"/>
  <c r="R7" i="87"/>
  <c r="S67" i="86"/>
  <c r="P57" i="84" l="1"/>
  <c r="L64" i="84"/>
  <c r="O64" i="84" s="1"/>
  <c r="M15" i="3"/>
  <c r="G21" i="6" s="1"/>
  <c r="K14" i="3"/>
  <c r="G20" i="6" s="1"/>
  <c r="L63" i="84"/>
  <c r="O63" i="84" s="1"/>
  <c r="L62" i="84"/>
  <c r="I13" i="3"/>
  <c r="F19" i="6" s="1"/>
  <c r="O57" i="84"/>
  <c r="H466" i="84"/>
  <c r="G465" i="84"/>
  <c r="G467" i="84" s="1"/>
  <c r="F465" i="84"/>
  <c r="F467" i="84" s="1"/>
  <c r="H464" i="84"/>
  <c r="H463" i="84"/>
  <c r="H462" i="84"/>
  <c r="H461" i="84"/>
  <c r="H460" i="84"/>
  <c r="H459" i="84"/>
  <c r="H458" i="84"/>
  <c r="H457" i="84"/>
  <c r="H456" i="84"/>
  <c r="H455" i="84"/>
  <c r="H454" i="84"/>
  <c r="H453" i="84"/>
  <c r="H452" i="84"/>
  <c r="H451" i="84"/>
  <c r="H450" i="84"/>
  <c r="H449" i="84"/>
  <c r="H448" i="84"/>
  <c r="H447" i="84"/>
  <c r="H446" i="84"/>
  <c r="H445" i="84"/>
  <c r="H444" i="84"/>
  <c r="H443" i="84"/>
  <c r="H442" i="84"/>
  <c r="H441" i="84"/>
  <c r="H440" i="84"/>
  <c r="H439" i="84"/>
  <c r="H438" i="84"/>
  <c r="H437" i="84"/>
  <c r="H436" i="84"/>
  <c r="H435" i="84"/>
  <c r="H434" i="84"/>
  <c r="H433" i="84"/>
  <c r="H432" i="84"/>
  <c r="H431" i="84"/>
  <c r="H430" i="84"/>
  <c r="H429" i="84"/>
  <c r="H428" i="84"/>
  <c r="H427" i="84"/>
  <c r="H426" i="84"/>
  <c r="H425" i="84"/>
  <c r="H424" i="84"/>
  <c r="H423" i="84"/>
  <c r="H422" i="84"/>
  <c r="H421" i="84"/>
  <c r="H420" i="84"/>
  <c r="H419" i="84"/>
  <c r="H418" i="84"/>
  <c r="H417" i="84"/>
  <c r="H416" i="84"/>
  <c r="H415" i="84"/>
  <c r="H414" i="84"/>
  <c r="H413" i="84"/>
  <c r="H412" i="84"/>
  <c r="H411" i="84"/>
  <c r="H410" i="84"/>
  <c r="H409" i="84"/>
  <c r="H408" i="84"/>
  <c r="H407" i="84"/>
  <c r="H406" i="84"/>
  <c r="H405" i="84"/>
  <c r="H404" i="84"/>
  <c r="H403" i="84"/>
  <c r="H402" i="84"/>
  <c r="H401" i="84"/>
  <c r="H400" i="84"/>
  <c r="H399" i="84"/>
  <c r="H398" i="84"/>
  <c r="H397" i="84"/>
  <c r="H396" i="84"/>
  <c r="H395" i="84"/>
  <c r="H394" i="84"/>
  <c r="H393" i="84"/>
  <c r="H392" i="84"/>
  <c r="H391" i="84"/>
  <c r="H390" i="84"/>
  <c r="H389" i="84"/>
  <c r="H388" i="84"/>
  <c r="H387" i="84"/>
  <c r="H386" i="84"/>
  <c r="H385" i="84"/>
  <c r="H384" i="84"/>
  <c r="H383" i="84"/>
  <c r="H382" i="84"/>
  <c r="H381" i="84"/>
  <c r="H380" i="84"/>
  <c r="H379" i="84"/>
  <c r="H378" i="84"/>
  <c r="H377" i="84"/>
  <c r="H376" i="84"/>
  <c r="H375" i="84"/>
  <c r="H374" i="84"/>
  <c r="H373" i="84"/>
  <c r="H372" i="84"/>
  <c r="H371" i="84"/>
  <c r="H370" i="84"/>
  <c r="H369" i="84"/>
  <c r="H368" i="84"/>
  <c r="H367" i="84"/>
  <c r="H366" i="84"/>
  <c r="H365" i="84"/>
  <c r="H364" i="84"/>
  <c r="H363" i="84"/>
  <c r="H362" i="84"/>
  <c r="H361" i="84"/>
  <c r="H360" i="84"/>
  <c r="H359" i="84"/>
  <c r="H358" i="84"/>
  <c r="H357" i="84"/>
  <c r="H356" i="84"/>
  <c r="H355" i="84"/>
  <c r="H354" i="84"/>
  <c r="H353" i="84"/>
  <c r="H352" i="84"/>
  <c r="H351" i="84"/>
  <c r="H350" i="84"/>
  <c r="H349" i="84"/>
  <c r="H348" i="84"/>
  <c r="H347" i="84"/>
  <c r="H346" i="84"/>
  <c r="H345" i="84"/>
  <c r="H344" i="84"/>
  <c r="H343" i="84"/>
  <c r="H342" i="84"/>
  <c r="H341" i="84"/>
  <c r="H340" i="84"/>
  <c r="H339" i="84"/>
  <c r="H338" i="84"/>
  <c r="H337" i="84"/>
  <c r="H336" i="84"/>
  <c r="H335" i="84"/>
  <c r="H334" i="84"/>
  <c r="H333" i="84"/>
  <c r="H332" i="84"/>
  <c r="H331" i="84"/>
  <c r="H330" i="84"/>
  <c r="H329" i="84"/>
  <c r="H328" i="84"/>
  <c r="H327" i="84"/>
  <c r="H326" i="84"/>
  <c r="H325" i="84"/>
  <c r="H324" i="84"/>
  <c r="H323" i="84"/>
  <c r="H322" i="84"/>
  <c r="H321" i="84"/>
  <c r="H320" i="84"/>
  <c r="H319" i="84"/>
  <c r="H318" i="84"/>
  <c r="H317" i="84"/>
  <c r="H316" i="84"/>
  <c r="H315" i="84"/>
  <c r="H314" i="84"/>
  <c r="H313" i="84"/>
  <c r="H312" i="84"/>
  <c r="H311" i="84"/>
  <c r="H310" i="84"/>
  <c r="H309" i="84"/>
  <c r="H308" i="84"/>
  <c r="H307" i="84"/>
  <c r="H306" i="84"/>
  <c r="H305" i="84"/>
  <c r="H304" i="84"/>
  <c r="H303" i="84"/>
  <c r="H302" i="84"/>
  <c r="H301" i="84"/>
  <c r="H300" i="84"/>
  <c r="H299" i="84"/>
  <c r="H298" i="84"/>
  <c r="H297" i="84"/>
  <c r="H296" i="84"/>
  <c r="H295" i="84"/>
  <c r="H294" i="84"/>
  <c r="H293" i="84"/>
  <c r="H292" i="84"/>
  <c r="H291" i="84"/>
  <c r="H290" i="84"/>
  <c r="H289" i="84"/>
  <c r="H288" i="84"/>
  <c r="H287" i="84"/>
  <c r="H286" i="84"/>
  <c r="H285" i="84"/>
  <c r="H284" i="84"/>
  <c r="H283" i="84"/>
  <c r="H282" i="84"/>
  <c r="H281" i="84"/>
  <c r="H280" i="84"/>
  <c r="H279" i="84"/>
  <c r="H278" i="84"/>
  <c r="H277" i="84"/>
  <c r="H276" i="84"/>
  <c r="H275" i="84"/>
  <c r="H274" i="84"/>
  <c r="H273" i="84"/>
  <c r="H272" i="84"/>
  <c r="H271" i="84"/>
  <c r="H270" i="84"/>
  <c r="H269" i="84"/>
  <c r="H268" i="84"/>
  <c r="H267" i="84"/>
  <c r="H266" i="84"/>
  <c r="H265" i="84"/>
  <c r="H264" i="84"/>
  <c r="H263" i="84"/>
  <c r="H262" i="84"/>
  <c r="H261" i="84"/>
  <c r="H260" i="84"/>
  <c r="H259" i="84"/>
  <c r="H258" i="84"/>
  <c r="H257" i="84"/>
  <c r="H256" i="84"/>
  <c r="H255" i="84"/>
  <c r="H254" i="84"/>
  <c r="H253" i="84"/>
  <c r="H252" i="84"/>
  <c r="H251" i="84"/>
  <c r="H250" i="84"/>
  <c r="H249" i="84"/>
  <c r="H248" i="84"/>
  <c r="H247" i="84"/>
  <c r="H246" i="84"/>
  <c r="H245" i="84"/>
  <c r="H244" i="84"/>
  <c r="H243" i="84"/>
  <c r="H242" i="84"/>
  <c r="H241" i="84"/>
  <c r="H240" i="84"/>
  <c r="H239" i="84"/>
  <c r="H238" i="84"/>
  <c r="H237" i="84"/>
  <c r="H236" i="84"/>
  <c r="H235" i="84"/>
  <c r="H234" i="84"/>
  <c r="H233" i="84"/>
  <c r="H232" i="84"/>
  <c r="H231" i="84"/>
  <c r="H230" i="84"/>
  <c r="H229" i="84"/>
  <c r="H228" i="84"/>
  <c r="H227" i="84"/>
  <c r="H226" i="84"/>
  <c r="H225" i="84"/>
  <c r="H224" i="84"/>
  <c r="H223" i="84"/>
  <c r="H222" i="84"/>
  <c r="H221" i="84"/>
  <c r="H220" i="84"/>
  <c r="H219" i="84"/>
  <c r="H218" i="84"/>
  <c r="H217" i="84"/>
  <c r="H216" i="84"/>
  <c r="H215" i="84"/>
  <c r="H214" i="84"/>
  <c r="H213" i="84"/>
  <c r="H212" i="84"/>
  <c r="H211" i="84"/>
  <c r="H210" i="84"/>
  <c r="H209" i="84"/>
  <c r="H208" i="84"/>
  <c r="H207" i="84"/>
  <c r="H206" i="84"/>
  <c r="H205" i="84"/>
  <c r="H204" i="84"/>
  <c r="H203" i="84"/>
  <c r="H202" i="84"/>
  <c r="H201" i="84"/>
  <c r="H200" i="84"/>
  <c r="H199" i="84"/>
  <c r="H198" i="84"/>
  <c r="H197" i="84"/>
  <c r="H196" i="84"/>
  <c r="H195" i="84"/>
  <c r="H194" i="84"/>
  <c r="H193" i="84"/>
  <c r="H192" i="84"/>
  <c r="H191" i="84"/>
  <c r="H190" i="84"/>
  <c r="H189" i="84"/>
  <c r="H188" i="84"/>
  <c r="H187" i="84"/>
  <c r="H186" i="84"/>
  <c r="H185" i="84"/>
  <c r="H184" i="84"/>
  <c r="H183" i="84"/>
  <c r="H182" i="84"/>
  <c r="H181" i="84"/>
  <c r="H180" i="84"/>
  <c r="H179" i="84"/>
  <c r="H178" i="84"/>
  <c r="H177" i="84"/>
  <c r="H176" i="84"/>
  <c r="H175" i="84"/>
  <c r="H174" i="84"/>
  <c r="H173" i="84"/>
  <c r="H172" i="84"/>
  <c r="H171" i="84"/>
  <c r="H170" i="84"/>
  <c r="H169" i="84"/>
  <c r="H168" i="84"/>
  <c r="H167" i="84"/>
  <c r="H166" i="84"/>
  <c r="H165" i="84"/>
  <c r="H164" i="84"/>
  <c r="H163" i="84"/>
  <c r="H162" i="84"/>
  <c r="H161" i="84"/>
  <c r="H160" i="84"/>
  <c r="H159" i="84"/>
  <c r="H158" i="84"/>
  <c r="H157" i="84"/>
  <c r="H156" i="84"/>
  <c r="H155" i="84"/>
  <c r="H154" i="84"/>
  <c r="H153" i="84"/>
  <c r="H152" i="84"/>
  <c r="H151" i="84"/>
  <c r="H150" i="84"/>
  <c r="H149" i="84"/>
  <c r="H148" i="84"/>
  <c r="H147" i="84"/>
  <c r="H146" i="84"/>
  <c r="H145" i="84"/>
  <c r="H144" i="84"/>
  <c r="H143" i="84"/>
  <c r="H142" i="84"/>
  <c r="H141"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30" i="84"/>
  <c r="H29" i="84"/>
  <c r="H28" i="84"/>
  <c r="H27" i="84"/>
  <c r="H26" i="84"/>
  <c r="H25" i="84"/>
  <c r="H24" i="84"/>
  <c r="H23" i="84"/>
  <c r="H22" i="84"/>
  <c r="H21" i="84"/>
  <c r="H20" i="84"/>
  <c r="H19" i="84"/>
  <c r="H18" i="84"/>
  <c r="H17" i="84"/>
  <c r="H16" i="84"/>
  <c r="H15" i="84"/>
  <c r="H14" i="84"/>
  <c r="H13" i="84"/>
  <c r="H12" i="84"/>
  <c r="H11" i="84"/>
  <c r="H10" i="84"/>
  <c r="H9" i="84"/>
  <c r="H8" i="84"/>
  <c r="H7" i="84"/>
  <c r="H6" i="84"/>
  <c r="H5" i="84"/>
  <c r="H4" i="84"/>
  <c r="H3" i="84"/>
  <c r="H2" i="84"/>
  <c r="H465" i="84" l="1"/>
  <c r="O62" i="84"/>
  <c r="O65" i="84" s="1"/>
  <c r="L65" i="84"/>
  <c r="D15" i="77"/>
  <c r="I75" i="77"/>
  <c r="I74" i="77"/>
  <c r="A77" i="77"/>
  <c r="A73" i="77"/>
  <c r="A80" i="77" s="1"/>
  <c r="I57" i="77"/>
  <c r="I58" i="77"/>
  <c r="A60" i="77"/>
  <c r="A56" i="77"/>
  <c r="E68" i="77"/>
  <c r="I76" i="77" l="1"/>
  <c r="N65" i="84"/>
  <c r="I59" i="77"/>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K12" i="78"/>
  <c r="K17" i="78" s="1"/>
  <c r="L12" i="78"/>
  <c r="L17" i="78" s="1"/>
  <c r="M12" i="78"/>
  <c r="M17" i="78" s="1"/>
  <c r="N12" i="78"/>
  <c r="N17" i="78" s="1"/>
  <c r="O12" i="78"/>
  <c r="O17" i="78" s="1"/>
  <c r="P12" i="78"/>
  <c r="P17" i="78" s="1"/>
  <c r="Q12" i="78"/>
  <c r="Q17" i="78" s="1"/>
  <c r="R12" i="78"/>
  <c r="R17" i="78" s="1"/>
  <c r="J11" i="78"/>
  <c r="J16" i="78" s="1"/>
  <c r="J12" i="78"/>
  <c r="J17" i="78" s="1"/>
  <c r="J10" i="78"/>
  <c r="J15" i="78" s="1"/>
  <c r="R16" i="78" l="1"/>
  <c r="C30" i="1"/>
  <c r="C27" i="83"/>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D72" i="39" s="1"/>
  <c r="AN7" i="79"/>
  <c r="AN8" i="79" s="1"/>
  <c r="AN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P11" i="79" l="1"/>
  <c r="E72" i="39"/>
  <c r="AB37" i="79"/>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P12" i="79" l="1"/>
  <c r="F72" i="39"/>
  <c r="AD37" i="79"/>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l="1"/>
  <c r="E60" i="78" s="1"/>
  <c r="B62" i="78"/>
  <c r="AP13" i="79"/>
  <c r="G72" i="39"/>
  <c r="L57" i="78"/>
  <c r="C61" i="78"/>
  <c r="K58" i="78"/>
  <c r="K63" i="78" s="1"/>
  <c r="I57" i="78"/>
  <c r="I63" i="78" s="1"/>
  <c r="E56" i="78"/>
  <c r="C56" i="78" s="1"/>
  <c r="B63" i="78"/>
  <c r="B59" i="78"/>
  <c r="E59" i="78" s="1"/>
  <c r="J57" i="78" s="1"/>
  <c r="AP14" i="79" l="1"/>
  <c r="AP15" i="79" s="1"/>
  <c r="AP16" i="79" s="1"/>
  <c r="AP17" i="79" s="1"/>
  <c r="AP18" i="79" s="1"/>
  <c r="AP19" i="79" s="1"/>
  <c r="AP20" i="79" s="1"/>
  <c r="AP21" i="79" s="1"/>
  <c r="AP22" i="79" s="1"/>
  <c r="AP23" i="79" s="1"/>
  <c r="AP24" i="79" s="1"/>
  <c r="AP25" i="79" s="1"/>
  <c r="AP26" i="79" s="1"/>
  <c r="AP27" i="79" s="1"/>
  <c r="AP28" i="79" s="1"/>
  <c r="H72" i="39"/>
  <c r="O58" i="78"/>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5" i="79" l="1"/>
  <c r="T26" i="79"/>
  <c r="S24" i="79"/>
  <c r="AG24" i="79" s="1"/>
  <c r="Z3" i="79"/>
  <c r="S41" i="79"/>
  <c r="AG41" i="79" s="1"/>
  <c r="S39" i="79"/>
  <c r="AG39" i="79" s="1"/>
  <c r="S42" i="79"/>
  <c r="AG42" i="79" s="1"/>
  <c r="S40" i="79"/>
  <c r="AG40" i="79" s="1"/>
  <c r="S43" i="79"/>
  <c r="AG43" i="79" s="1"/>
  <c r="S38" i="79"/>
  <c r="AG38" i="79" s="1"/>
  <c r="S37" i="79"/>
  <c r="AG37" i="79" s="1"/>
  <c r="AA35" i="79"/>
  <c r="AD35" i="79" s="1"/>
  <c r="T48" i="79"/>
  <c r="W48" i="79" s="1"/>
  <c r="AK48" i="79" s="1"/>
  <c r="U54" i="79"/>
  <c r="AI54" i="79" s="1"/>
  <c r="AD55" i="79"/>
  <c r="S56" i="79"/>
  <c r="AG56" i="79" s="1"/>
  <c r="U58" i="79"/>
  <c r="AI58" i="79" s="1"/>
  <c r="AD59" i="79"/>
  <c r="T38" i="79"/>
  <c r="T42" i="79"/>
  <c r="T41" i="79"/>
  <c r="T40" i="79"/>
  <c r="T43" i="79"/>
  <c r="T39" i="79"/>
  <c r="T37" i="79"/>
  <c r="AD46" i="79"/>
  <c r="AD44" i="79"/>
  <c r="AD45" i="79"/>
  <c r="AD42" i="79"/>
  <c r="AD43" i="79"/>
  <c r="AR48" i="79"/>
  <c r="AR49" i="79" s="1"/>
  <c r="AR50" i="79" s="1"/>
  <c r="AR51" i="79" s="1"/>
  <c r="AR52" i="79" s="1"/>
  <c r="AR53" i="79" s="1"/>
  <c r="AR54" i="79" s="1"/>
  <c r="AR55" i="79" s="1"/>
  <c r="AR56" i="79" s="1"/>
  <c r="AR57" i="79" s="1"/>
  <c r="AR58" i="79" s="1"/>
  <c r="AR59" i="79" s="1"/>
  <c r="AR60" i="79" s="1"/>
  <c r="U37" i="79"/>
  <c r="AI37" i="79" s="1"/>
  <c r="U41" i="79"/>
  <c r="AI41" i="79" s="1"/>
  <c r="U38" i="79"/>
  <c r="AI38" i="79" s="1"/>
  <c r="U43" i="79"/>
  <c r="AI43"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W50" i="79"/>
  <c r="AK50" i="79" s="1"/>
  <c r="AH48" i="79"/>
  <c r="W43" i="79"/>
  <c r="AK43" i="79" s="1"/>
  <c r="AH43" i="79"/>
  <c r="AH38" i="79"/>
  <c r="W38" i="79"/>
  <c r="AK38" i="79" s="1"/>
  <c r="W40" i="79"/>
  <c r="AK40" i="79" s="1"/>
  <c r="AH40" i="79"/>
  <c r="W37" i="79"/>
  <c r="AK37" i="79" s="1"/>
  <c r="AH37" i="79"/>
  <c r="AH41" i="79"/>
  <c r="W41" i="79"/>
  <c r="AK41" i="79" s="1"/>
  <c r="AH39" i="79"/>
  <c r="W39" i="79"/>
  <c r="AK39" i="79" s="1"/>
  <c r="AH42" i="79"/>
  <c r="W42" i="79"/>
  <c r="AK42"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E54" i="77"/>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B19" i="72" s="1"/>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F66"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E38" i="71" s="1"/>
  <c r="E39" i="71" s="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s="1"/>
  <c r="E32" i="71" s="1"/>
  <c r="U32" i="71" s="1"/>
  <c r="C30" i="71"/>
  <c r="C38" i="71"/>
  <c r="D38" i="71" s="1"/>
  <c r="F51" i="71"/>
  <c r="F52" i="71" s="1"/>
  <c r="V52" i="71" s="1"/>
  <c r="P28" i="71"/>
  <c r="E28" i="71" s="1"/>
  <c r="E67" i="71"/>
  <c r="E66" i="71" s="1"/>
  <c r="Q28" i="71"/>
  <c r="C59" i="71"/>
  <c r="D59" i="71" s="1"/>
  <c r="O68" i="71"/>
  <c r="D68" i="71"/>
  <c r="C67" i="71"/>
  <c r="D67" i="71" s="1"/>
  <c r="E71" i="71"/>
  <c r="E70" i="71" s="1"/>
  <c r="C75" i="71"/>
  <c r="D75" i="71" s="1"/>
  <c r="D76" i="71"/>
  <c r="C79" i="71"/>
  <c r="D79" i="71" s="1"/>
  <c r="E79" i="71"/>
  <c r="E78" i="71" s="1"/>
  <c r="D80" i="71"/>
  <c r="C83" i="71"/>
  <c r="D83" i="71" s="1"/>
  <c r="F28" i="71"/>
  <c r="F27" i="71" s="1"/>
  <c r="F26" i="71" s="1"/>
  <c r="C66" i="71"/>
  <c r="O65" i="71" s="1"/>
  <c r="O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F21" i="21"/>
  <c r="AA21" i="21" s="1"/>
  <c r="D81" i="21"/>
  <c r="H19" i="21" s="1"/>
  <c r="G20" i="20"/>
  <c r="C27" i="40" s="1"/>
  <c r="C22" i="20"/>
  <c r="H27" i="40"/>
  <c r="AB27" i="40" s="1"/>
  <c r="J27" i="40"/>
  <c r="AC27" i="40" s="1"/>
  <c r="H31" i="39"/>
  <c r="AB31" i="39" s="1"/>
  <c r="J31" i="39"/>
  <c r="AC31" i="39" s="1"/>
  <c r="J18" i="36"/>
  <c r="H18" i="35"/>
  <c r="AB18" i="35" s="1"/>
  <c r="J18" i="35"/>
  <c r="AC18" i="35" s="1"/>
  <c r="H21" i="37"/>
  <c r="AB21" i="37" s="1"/>
  <c r="F21" i="37"/>
  <c r="H21" i="34"/>
  <c r="AB21" i="34" s="1"/>
  <c r="H21" i="33"/>
  <c r="U21" i="33" s="1"/>
  <c r="F21" i="33"/>
  <c r="E83" i="21"/>
  <c r="F83" i="21" s="1"/>
  <c r="G83" i="21" s="1"/>
  <c r="H1" i="69"/>
  <c r="U21" i="37"/>
  <c r="AA21" i="33"/>
  <c r="S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6"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s="1"/>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F38" i="39" s="1"/>
  <c r="J30" i="36"/>
  <c r="H30" i="36"/>
  <c r="F30" i="36"/>
  <c r="AA30" i="36" s="1"/>
  <c r="C26" i="35"/>
  <c r="C79" i="35" s="1"/>
  <c r="J31" i="35"/>
  <c r="W31" i="35" s="1"/>
  <c r="H31" i="35"/>
  <c r="AB31" i="35" s="1"/>
  <c r="F31" i="35"/>
  <c r="AA31" i="35" s="1"/>
  <c r="D87" i="35"/>
  <c r="E87" i="35" s="1"/>
  <c r="F87" i="35" s="1"/>
  <c r="G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S41" i="21" s="1"/>
  <c r="J41" i="21"/>
  <c r="AC41" i="21" s="1"/>
  <c r="H41" i="21"/>
  <c r="AB41" i="21" s="1"/>
  <c r="D82" i="39"/>
  <c r="E82" i="39" s="1"/>
  <c r="F82" i="39" s="1"/>
  <c r="G82" i="39" s="1"/>
  <c r="D78" i="40"/>
  <c r="E78" i="40" s="1"/>
  <c r="F78" i="40" s="1"/>
  <c r="G78" i="40" s="1"/>
  <c r="H78" i="40" s="1"/>
  <c r="I78" i="40" s="1"/>
  <c r="J78" i="40" s="1"/>
  <c r="K78" i="40" s="1"/>
  <c r="L78" i="40" s="1"/>
  <c r="M78" i="40" s="1"/>
  <c r="B122" i="40"/>
  <c r="H42" i="40" s="1"/>
  <c r="AB42" i="40" s="1"/>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B81" i="40"/>
  <c r="B79" i="40"/>
  <c r="F14" i="40" s="1"/>
  <c r="S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B115" i="39"/>
  <c r="D110" i="39"/>
  <c r="F36" i="39"/>
  <c r="AA36" i="39" s="1"/>
  <c r="D108" i="39"/>
  <c r="E108" i="39" s="1"/>
  <c r="D106" i="39"/>
  <c r="E106" i="39" s="1"/>
  <c r="F106" i="39" s="1"/>
  <c r="G106" i="39" s="1"/>
  <c r="H106" i="39" s="1"/>
  <c r="I106" i="39" s="1"/>
  <c r="J106" i="39" s="1"/>
  <c r="K106" i="39" s="1"/>
  <c r="L106" i="39" s="1"/>
  <c r="M106" i="39" s="1"/>
  <c r="D102" i="39"/>
  <c r="F29" i="39" s="1"/>
  <c r="S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s="1"/>
  <c r="AC25" i="39" s="1"/>
  <c r="D96" i="39"/>
  <c r="E96" i="39" s="1"/>
  <c r="F96" i="39" s="1"/>
  <c r="G96" i="39" s="1"/>
  <c r="D94" i="39"/>
  <c r="E94" i="39" s="1"/>
  <c r="F94" i="39" s="1"/>
  <c r="G94" i="39" s="1"/>
  <c r="D92" i="39"/>
  <c r="E92" i="39" s="1"/>
  <c r="F92" i="39" s="1"/>
  <c r="G92" i="39" s="1"/>
  <c r="D90" i="39"/>
  <c r="E90" i="39" s="1"/>
  <c r="B87" i="39"/>
  <c r="J16" i="39" s="1"/>
  <c r="AC16" i="39" s="1"/>
  <c r="B85" i="39"/>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B108" i="37"/>
  <c r="J38" i="37" s="1"/>
  <c r="AC38" i="37" s="1"/>
  <c r="C23" i="37"/>
  <c r="C19" i="37"/>
  <c r="C17" i="37"/>
  <c r="C15" i="37"/>
  <c r="B112" i="37"/>
  <c r="J40" i="37" s="1"/>
  <c r="AC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c r="D64" i="36"/>
  <c r="E64" i="36" s="1"/>
  <c r="F64" i="36" s="1"/>
  <c r="G64" i="36" s="1"/>
  <c r="J16" i="36"/>
  <c r="W16" i="36" s="1"/>
  <c r="D62" i="36"/>
  <c r="E62" i="36" s="1"/>
  <c r="F62" i="36" s="1"/>
  <c r="G62" i="36" s="1"/>
  <c r="B59" i="36"/>
  <c r="J13" i="36" s="1"/>
  <c r="B57" i="36"/>
  <c r="J12" i="36" s="1"/>
  <c r="B55" i="36"/>
  <c r="F11" i="36" s="1"/>
  <c r="AA11" i="36" s="1"/>
  <c r="C51" i="36"/>
  <c r="H9" i="36" s="1"/>
  <c r="AB9" i="36" s="1"/>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B97" i="35"/>
  <c r="H34" i="35" s="1"/>
  <c r="B77" i="35"/>
  <c r="H25" i="35" s="1"/>
  <c r="AB25" i="35" s="1"/>
  <c r="B75" i="35"/>
  <c r="J24" i="35" s="1"/>
  <c r="AC24" i="35" s="1"/>
  <c r="B73" i="35"/>
  <c r="B57" i="35"/>
  <c r="H11" i="35" s="1"/>
  <c r="AB11" i="35" s="1"/>
  <c r="B61" i="35"/>
  <c r="B59" i="35"/>
  <c r="F12" i="35" s="1"/>
  <c r="B131" i="34"/>
  <c r="B129" i="34"/>
  <c r="H46" i="34" s="1"/>
  <c r="U46" i="34" s="1"/>
  <c r="B127" i="34"/>
  <c r="J45" i="34" s="1"/>
  <c r="W45" i="34" s="1"/>
  <c r="B99" i="34"/>
  <c r="J32" i="34" s="1"/>
  <c r="W32" i="34" s="1"/>
  <c r="B97" i="34"/>
  <c r="B95" i="34"/>
  <c r="B93" i="34"/>
  <c r="H29" i="34" s="1"/>
  <c r="AB29" i="34" s="1"/>
  <c r="B75" i="34"/>
  <c r="H14" i="34" s="1"/>
  <c r="B73" i="34"/>
  <c r="B71" i="34"/>
  <c r="B130" i="33"/>
  <c r="B128" i="33"/>
  <c r="B126" i="33"/>
  <c r="B98" i="33"/>
  <c r="F31" i="33" s="1"/>
  <c r="B96" i="33"/>
  <c r="B94" i="33"/>
  <c r="B74" i="33"/>
  <c r="B72" i="33"/>
  <c r="F13" i="33" s="1"/>
  <c r="S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D64" i="35"/>
  <c r="E64" i="35" s="1"/>
  <c r="F64" i="35" s="1"/>
  <c r="G6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c r="J40" i="33"/>
  <c r="AC40" i="33" s="1"/>
  <c r="H40" i="33"/>
  <c r="AB40" i="33" s="1"/>
  <c r="Q39" i="33"/>
  <c r="Z39" i="33"/>
  <c r="J39" i="33"/>
  <c r="AC39" i="33" s="1"/>
  <c r="Q38" i="33"/>
  <c r="Z38" i="33"/>
  <c r="J38" i="33"/>
  <c r="AC38" i="33" s="1"/>
  <c r="H38" i="33"/>
  <c r="AB38" i="33"/>
  <c r="F38" i="33"/>
  <c r="Q37" i="33"/>
  <c r="Z37" i="33" s="1"/>
  <c r="Q36" i="33"/>
  <c r="Z36" i="33" s="1"/>
  <c r="Q35" i="33"/>
  <c r="Z35" i="33"/>
  <c r="H35" i="33"/>
  <c r="AB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69"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J35" i="21" s="1"/>
  <c r="W35"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H46" i="21" s="1"/>
  <c r="U46" i="21" s="1"/>
  <c r="B128" i="21"/>
  <c r="B126" i="21"/>
  <c r="B98" i="21"/>
  <c r="F31" i="21" s="1"/>
  <c r="S31" i="21" s="1"/>
  <c r="B96" i="21"/>
  <c r="J30" i="21" s="1"/>
  <c r="AC30" i="21" s="1"/>
  <c r="B94" i="21"/>
  <c r="J29" i="21" s="1"/>
  <c r="AC29" i="21" s="1"/>
  <c r="B92" i="21"/>
  <c r="J28" i="21" s="1"/>
  <c r="W28" i="21" s="1"/>
  <c r="B90" i="21"/>
  <c r="J27" i="21" s="1"/>
  <c r="W27" i="21" s="1"/>
  <c r="B74" i="21"/>
  <c r="H14" i="21" s="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J5" i="3" s="1"/>
  <c r="BK585" i="3"/>
  <c r="BM585" i="3"/>
  <c r="BN585" i="3"/>
  <c r="BO585" i="3"/>
  <c r="BO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AC19" i="21" s="1"/>
  <c r="J26" i="21"/>
  <c r="AC26" i="21" s="1"/>
  <c r="F26" i="21"/>
  <c r="S26" i="21" s="1"/>
  <c r="F47" i="39"/>
  <c r="S47" i="39" s="1"/>
  <c r="F37" i="39"/>
  <c r="S37" i="39" s="1"/>
  <c r="U30" i="37"/>
  <c r="F39" i="37"/>
  <c r="S39" i="37" s="1"/>
  <c r="F29" i="36"/>
  <c r="AA29" i="36" s="1"/>
  <c r="F16" i="36"/>
  <c r="AA16" i="36" s="1"/>
  <c r="W28" i="36"/>
  <c r="U31" i="36"/>
  <c r="H22" i="35"/>
  <c r="AB22" i="35" s="1"/>
  <c r="S31" i="35"/>
  <c r="F36" i="34"/>
  <c r="J35" i="34"/>
  <c r="H39" i="33"/>
  <c r="AB39" i="33" s="1"/>
  <c r="U35" i="33"/>
  <c r="S40" i="33"/>
  <c r="W39" i="33"/>
  <c r="F13" i="40"/>
  <c r="AA13" i="40" s="1"/>
  <c r="H13" i="40"/>
  <c r="AB13" i="40" s="1"/>
  <c r="U11" i="40"/>
  <c r="U36" i="40"/>
  <c r="F44" i="39"/>
  <c r="AA44" i="39" s="1"/>
  <c r="H42" i="39"/>
  <c r="AB42" i="39" s="1"/>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11" i="21"/>
  <c r="S11" i="21" s="1"/>
  <c r="C17" i="39"/>
  <c r="H32" i="33"/>
  <c r="AB32" i="33"/>
  <c r="H11" i="21"/>
  <c r="U11" i="21" s="1"/>
  <c r="J11" i="21"/>
  <c r="W11" i="21" s="1"/>
  <c r="H39" i="40"/>
  <c r="U39" i="40" s="1"/>
  <c r="H38" i="40"/>
  <c r="AB38" i="40" s="1"/>
  <c r="F37" i="40"/>
  <c r="AA37" i="40" s="1"/>
  <c r="H25" i="40"/>
  <c r="AB25" i="40" s="1"/>
  <c r="H19" i="40"/>
  <c r="U19" i="40" s="1"/>
  <c r="J17" i="40"/>
  <c r="W17" i="40" s="1"/>
  <c r="J13" i="40"/>
  <c r="AB10" i="39"/>
  <c r="AB12" i="35"/>
  <c r="J34" i="36"/>
  <c r="W34" i="36" s="1"/>
  <c r="U30" i="36"/>
  <c r="J30" i="35"/>
  <c r="W30" i="35" s="1"/>
  <c r="H30" i="35"/>
  <c r="AB30" i="35" s="1"/>
  <c r="F22" i="35"/>
  <c r="AA22" i="35" s="1"/>
  <c r="H10" i="35"/>
  <c r="U10" i="35" s="1"/>
  <c r="H16" i="36"/>
  <c r="AB16" i="36" s="1"/>
  <c r="J85" i="36"/>
  <c r="K85" i="36" s="1"/>
  <c r="L85" i="36" s="1"/>
  <c r="M85" i="36" s="1"/>
  <c r="J29" i="36"/>
  <c r="AC29" i="36" s="1"/>
  <c r="F12" i="36"/>
  <c r="S12" i="36" s="1"/>
  <c r="F34" i="36"/>
  <c r="S34" i="36" s="1"/>
  <c r="F23" i="35"/>
  <c r="AA23" i="35" s="1"/>
  <c r="J32" i="35"/>
  <c r="AC32" i="35" s="1"/>
  <c r="H14" i="35"/>
  <c r="AB14" i="35" s="1"/>
  <c r="H33" i="35"/>
  <c r="F35" i="37"/>
  <c r="S35" i="37" s="1"/>
  <c r="F101" i="37"/>
  <c r="G101" i="37" s="1"/>
  <c r="H101" i="37" s="1"/>
  <c r="I101" i="37" s="1"/>
  <c r="J101" i="37" s="1"/>
  <c r="K101" i="37" s="1"/>
  <c r="L101" i="37" s="1"/>
  <c r="M101" i="37" s="1"/>
  <c r="J34" i="37"/>
  <c r="W34" i="37"/>
  <c r="J33" i="37"/>
  <c r="AC33" i="37" s="1"/>
  <c r="H40" i="34"/>
  <c r="U40" i="34" s="1"/>
  <c r="H36" i="34"/>
  <c r="U36" i="34" s="1"/>
  <c r="F37" i="34"/>
  <c r="AA37" i="34" s="1"/>
  <c r="S35" i="34"/>
  <c r="F25" i="34"/>
  <c r="S25" i="34" s="1"/>
  <c r="H23" i="34"/>
  <c r="AB23" i="34" s="1"/>
  <c r="U23" i="34"/>
  <c r="J23" i="34"/>
  <c r="F19" i="34"/>
  <c r="H17" i="34"/>
  <c r="U17" i="34" s="1"/>
  <c r="F15" i="34"/>
  <c r="AA15" i="34" s="1"/>
  <c r="J15" i="34"/>
  <c r="W15" i="34" s="1"/>
  <c r="H15" i="34"/>
  <c r="AB15" i="34" s="1"/>
  <c r="W8" i="34"/>
  <c r="F41" i="33"/>
  <c r="S41" i="33" s="1"/>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A12" i="36"/>
  <c r="AB30" i="36"/>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AA42" i="34"/>
  <c r="S42" i="34"/>
  <c r="AA38" i="34"/>
  <c r="J37" i="34"/>
  <c r="AC37" i="34" s="1"/>
  <c r="J11" i="33"/>
  <c r="W11" i="33" s="1"/>
  <c r="I123" i="21"/>
  <c r="J123" i="21" s="1"/>
  <c r="K123" i="21" s="1"/>
  <c r="L123" i="21" s="1"/>
  <c r="M123" i="21" s="1"/>
  <c r="J42" i="21"/>
  <c r="AC42" i="21" s="1"/>
  <c r="H42" i="21"/>
  <c r="J44" i="34"/>
  <c r="F44" i="34"/>
  <c r="AA44" i="34" s="1"/>
  <c r="J10" i="35"/>
  <c r="AC10" i="35" s="1"/>
  <c r="J14" i="21"/>
  <c r="F14" i="21"/>
  <c r="S14" i="21" s="1"/>
  <c r="H28" i="21"/>
  <c r="AB28" i="21" s="1"/>
  <c r="F28" i="21"/>
  <c r="AA28" i="21" s="1"/>
  <c r="H30" i="21"/>
  <c r="U30" i="21" s="1"/>
  <c r="J44" i="21"/>
  <c r="AC44" i="21" s="1"/>
  <c r="H44" i="21"/>
  <c r="U44" i="21" s="1"/>
  <c r="F44" i="21"/>
  <c r="AA44" i="21"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J13" i="33"/>
  <c r="H29" i="33"/>
  <c r="U29" i="33" s="1"/>
  <c r="J31" i="33"/>
  <c r="J45" i="33"/>
  <c r="W45" i="33" s="1"/>
  <c r="J14" i="34"/>
  <c r="F14" i="34"/>
  <c r="S14" i="34" s="1"/>
  <c r="H32" i="34"/>
  <c r="F32" i="34"/>
  <c r="F11" i="35"/>
  <c r="S11" i="35" s="1"/>
  <c r="J26" i="36"/>
  <c r="W26" i="36"/>
  <c r="H28" i="36"/>
  <c r="U28" i="36" s="1"/>
  <c r="J11" i="36"/>
  <c r="AC11" i="36" s="1"/>
  <c r="H11" i="36"/>
  <c r="U11" i="36" s="1"/>
  <c r="E89" i="37"/>
  <c r="F89" i="37" s="1"/>
  <c r="G89" i="37" s="1"/>
  <c r="H89" i="37" s="1"/>
  <c r="I89" i="37" s="1"/>
  <c r="J89" i="37" s="1"/>
  <c r="K89" i="37" s="1"/>
  <c r="L89" i="37" s="1"/>
  <c r="M89" i="37" s="1"/>
  <c r="J29" i="37"/>
  <c r="F29" i="37"/>
  <c r="S29" i="37"/>
  <c r="F105" i="37"/>
  <c r="G105" i="37" s="1"/>
  <c r="H36" i="37"/>
  <c r="F107" i="37"/>
  <c r="J37" i="37"/>
  <c r="AC37" i="37" s="1"/>
  <c r="H37" i="37"/>
  <c r="U37" i="37" s="1"/>
  <c r="H40" i="37"/>
  <c r="F40" i="37"/>
  <c r="AA40" i="37" s="1"/>
  <c r="H14" i="33"/>
  <c r="U14" i="33" s="1"/>
  <c r="F14" i="33"/>
  <c r="S14" i="33" s="1"/>
  <c r="J14" i="33"/>
  <c r="F30" i="33"/>
  <c r="H44" i="33"/>
  <c r="J44" i="33"/>
  <c r="AC44" i="33" s="1"/>
  <c r="F44" i="33"/>
  <c r="S44" i="33" s="1"/>
  <c r="H13" i="34"/>
  <c r="U13" i="34" s="1"/>
  <c r="J13" i="34"/>
  <c r="W13" i="34" s="1"/>
  <c r="F13" i="34"/>
  <c r="AA13" i="34" s="1"/>
  <c r="F29" i="34"/>
  <c r="J31" i="34"/>
  <c r="AC31" i="34" s="1"/>
  <c r="H31" i="34"/>
  <c r="F31" i="34"/>
  <c r="S31" i="34"/>
  <c r="H47" i="34"/>
  <c r="U47" i="34" s="1"/>
  <c r="F47" i="34"/>
  <c r="S47" i="34" s="1"/>
  <c r="J47" i="34"/>
  <c r="AC47" i="34" s="1"/>
  <c r="H13" i="35"/>
  <c r="U13" i="35" s="1"/>
  <c r="J25" i="35"/>
  <c r="W25" i="35" s="1"/>
  <c r="F25" i="35"/>
  <c r="S25" i="35" s="1"/>
  <c r="F35" i="35"/>
  <c r="AA35" i="35" s="1"/>
  <c r="F25" i="36"/>
  <c r="H13" i="37"/>
  <c r="AB13" i="37" s="1"/>
  <c r="H38" i="37"/>
  <c r="AB38" i="37" s="1"/>
  <c r="F45" i="39"/>
  <c r="AA45" i="39" s="1"/>
  <c r="F16" i="39"/>
  <c r="S16" i="39" s="1"/>
  <c r="H16" i="39"/>
  <c r="AB16" i="39" s="1"/>
  <c r="H32" i="40"/>
  <c r="AB32" i="40" s="1"/>
  <c r="F35" i="40"/>
  <c r="AA35" i="40" s="1"/>
  <c r="H35" i="40"/>
  <c r="U35" i="40" s="1"/>
  <c r="J37" i="40"/>
  <c r="AC37" i="40" s="1"/>
  <c r="J39" i="40"/>
  <c r="AC39" i="40" s="1"/>
  <c r="H15" i="40"/>
  <c r="U15" i="40" s="1"/>
  <c r="J15" i="40"/>
  <c r="W15" i="40" s="1"/>
  <c r="F15" i="40"/>
  <c r="AA15" i="40" s="1"/>
  <c r="F14" i="37"/>
  <c r="S14" i="37" s="1"/>
  <c r="F15" i="39"/>
  <c r="J15" i="39"/>
  <c r="W15" i="39" s="1"/>
  <c r="H15" i="39"/>
  <c r="H16" i="40"/>
  <c r="U16" i="40" s="1"/>
  <c r="J16" i="40"/>
  <c r="F16" i="40"/>
  <c r="AA16" i="40" s="1"/>
  <c r="J14" i="37"/>
  <c r="J27" i="37"/>
  <c r="AC27" i="37" s="1"/>
  <c r="J36" i="37"/>
  <c r="AC36" i="37" s="1"/>
  <c r="J10" i="36"/>
  <c r="AC10" i="36" s="1"/>
  <c r="AA14" i="37"/>
  <c r="S11" i="36"/>
  <c r="AA14" i="34"/>
  <c r="AC28" i="21"/>
  <c r="F17" i="21"/>
  <c r="AA17" i="21" s="1"/>
  <c r="H17" i="21"/>
  <c r="AB17" i="21" s="1"/>
  <c r="F15" i="21"/>
  <c r="S15" i="21" s="1"/>
  <c r="G544" i="3"/>
  <c r="G536" i="3"/>
  <c r="G535" i="3"/>
  <c r="G531" i="3"/>
  <c r="G528" i="3"/>
  <c r="G527" i="3"/>
  <c r="G514" i="3"/>
  <c r="G510" i="3"/>
  <c r="G508" i="3"/>
  <c r="G500" i="3"/>
  <c r="G496" i="3"/>
  <c r="G584" i="3"/>
  <c r="G576" i="3"/>
  <c r="G568" i="3"/>
  <c r="G564" i="3"/>
  <c r="G560" i="3"/>
  <c r="BL576" i="3"/>
  <c r="BL564" i="3"/>
  <c r="BL554" i="3"/>
  <c r="BL534" i="3"/>
  <c r="BL516" i="3"/>
  <c r="BL506" i="3"/>
  <c r="BL502" i="3"/>
  <c r="BL582" i="3"/>
  <c r="BL578" i="3"/>
  <c r="BL574" i="3"/>
  <c r="BL544" i="3"/>
  <c r="BL536" i="3"/>
  <c r="G529" i="3"/>
  <c r="BL518" i="3"/>
  <c r="BL504" i="3"/>
  <c r="BL500" i="3"/>
  <c r="BL496" i="3"/>
  <c r="G493" i="3"/>
  <c r="BA582" i="3"/>
  <c r="AZ582" i="3" s="1"/>
  <c r="BA580" i="3"/>
  <c r="BA568" i="3"/>
  <c r="BA566" i="3"/>
  <c r="BA560" i="3"/>
  <c r="BA546" i="3"/>
  <c r="BA542" i="3"/>
  <c r="BA534" i="3"/>
  <c r="BA528" i="3"/>
  <c r="BA522" i="3"/>
  <c r="BA518" i="3"/>
  <c r="AZ518" i="3" s="1"/>
  <c r="BA508" i="3"/>
  <c r="BA506" i="3"/>
  <c r="AZ506" i="3" s="1"/>
  <c r="BA502" i="3"/>
  <c r="BA496" i="3"/>
  <c r="BA494" i="3"/>
  <c r="BA583" i="3"/>
  <c r="BA575" i="3"/>
  <c r="BA569" i="3"/>
  <c r="BA561" i="3"/>
  <c r="BA559" i="3"/>
  <c r="BA545" i="3"/>
  <c r="BA539" i="3"/>
  <c r="BA537" i="3"/>
  <c r="BA529" i="3"/>
  <c r="BA525" i="3"/>
  <c r="BA519" i="3"/>
  <c r="BA513" i="3"/>
  <c r="BA505" i="3"/>
  <c r="BA503" i="3"/>
  <c r="BA501" i="3"/>
  <c r="BA495" i="3"/>
  <c r="BA493" i="3"/>
  <c r="G583" i="3"/>
  <c r="G577" i="3"/>
  <c r="G575" i="3"/>
  <c r="G571" i="3"/>
  <c r="G567" i="3"/>
  <c r="G565" i="3"/>
  <c r="BL558" i="3"/>
  <c r="BA557" i="3"/>
  <c r="AC557" i="3"/>
  <c r="BQ557" i="3"/>
  <c r="BQ583" i="3"/>
  <c r="BL583" i="3" s="1"/>
  <c r="BQ581" i="3"/>
  <c r="BL581" i="3" s="1"/>
  <c r="BQ579" i="3"/>
  <c r="BQ577" i="3"/>
  <c r="BQ575" i="3"/>
  <c r="BQ573" i="3"/>
  <c r="BL573" i="3" s="1"/>
  <c r="BQ571" i="3"/>
  <c r="BQ569" i="3"/>
  <c r="BQ567" i="3"/>
  <c r="BL567" i="3" s="1"/>
  <c r="BQ565" i="3"/>
  <c r="BQ563" i="3"/>
  <c r="BL563" i="3"/>
  <c r="BQ561" i="3"/>
  <c r="BQ559" i="3"/>
  <c r="G555" i="3"/>
  <c r="G553" i="3"/>
  <c r="G549" i="3"/>
  <c r="G545" i="3"/>
  <c r="G543" i="3"/>
  <c r="G541" i="3"/>
  <c r="G537" i="3"/>
  <c r="BQ555" i="3"/>
  <c r="BQ553" i="3"/>
  <c r="BL553" i="3" s="1"/>
  <c r="BQ551" i="3"/>
  <c r="BQ549" i="3"/>
  <c r="BQ547" i="3"/>
  <c r="BQ545" i="3"/>
  <c r="BL545" i="3" s="1"/>
  <c r="BQ543" i="3"/>
  <c r="BQ541" i="3"/>
  <c r="BQ539" i="3"/>
  <c r="BL539" i="3" s="1"/>
  <c r="BQ537" i="3"/>
  <c r="BL537" i="3"/>
  <c r="BQ535" i="3"/>
  <c r="BQ533" i="3"/>
  <c r="BQ531" i="3"/>
  <c r="BQ529" i="3"/>
  <c r="BQ527" i="3"/>
  <c r="BQ525" i="3"/>
  <c r="BL525" i="3"/>
  <c r="BQ523" i="3"/>
  <c r="BA521" i="3"/>
  <c r="AC521" i="3"/>
  <c r="G521" i="3"/>
  <c r="BQ521" i="3"/>
  <c r="BL520" i="3"/>
  <c r="G515" i="3"/>
  <c r="G513" i="3"/>
  <c r="BQ519" i="3"/>
  <c r="BQ517" i="3"/>
  <c r="BQ515" i="3"/>
  <c r="BQ513" i="3"/>
  <c r="BL513" i="3" s="1"/>
  <c r="BQ511" i="3"/>
  <c r="AC509" i="3"/>
  <c r="BQ509" i="3"/>
  <c r="BL509" i="3" s="1"/>
  <c r="G507" i="3"/>
  <c r="G505" i="3"/>
  <c r="G501" i="3"/>
  <c r="G499" i="3"/>
  <c r="G497" i="3"/>
  <c r="BQ507" i="3"/>
  <c r="BQ505" i="3"/>
  <c r="BL505" i="3"/>
  <c r="AZ505" i="3" s="1"/>
  <c r="BQ503" i="3"/>
  <c r="BQ501" i="3"/>
  <c r="BL501" i="3"/>
  <c r="BQ499" i="3"/>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H24" i="35"/>
  <c r="AB24" i="35" s="1"/>
  <c r="H23" i="37"/>
  <c r="AB23" i="37" s="1"/>
  <c r="J32" i="37"/>
  <c r="AC32" i="37" s="1"/>
  <c r="F36" i="37"/>
  <c r="F37" i="37"/>
  <c r="AA37" i="37" s="1"/>
  <c r="F33" i="40"/>
  <c r="AA33" i="40"/>
  <c r="H33" i="40"/>
  <c r="U33" i="40" s="1"/>
  <c r="F34" i="40"/>
  <c r="S34" i="40" s="1"/>
  <c r="H34" i="40"/>
  <c r="AB34" i="40" s="1"/>
  <c r="J38" i="40"/>
  <c r="W38" i="40" s="1"/>
  <c r="H19" i="37"/>
  <c r="AB19" i="37" s="1"/>
  <c r="H42" i="33"/>
  <c r="AB42" i="33" s="1"/>
  <c r="J43" i="33"/>
  <c r="AC43" i="33" s="1"/>
  <c r="S28" i="31"/>
  <c r="S27" i="31"/>
  <c r="S26" i="31"/>
  <c r="W47" i="34"/>
  <c r="AC36" i="34"/>
  <c r="AC45" i="33"/>
  <c r="W44" i="33"/>
  <c r="U11" i="33"/>
  <c r="U19" i="21"/>
  <c r="W44" i="21"/>
  <c r="F43" i="33"/>
  <c r="AA43" i="33" s="1"/>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4" i="39"/>
  <c r="AC44" i="39" s="1"/>
  <c r="H23" i="40"/>
  <c r="AC12" i="37"/>
  <c r="H31" i="37"/>
  <c r="U31" i="37" s="1"/>
  <c r="J15" i="37"/>
  <c r="W15" i="37"/>
  <c r="H21" i="40"/>
  <c r="U21" i="40" s="1"/>
  <c r="F90" i="40"/>
  <c r="G90" i="40" s="1"/>
  <c r="F21" i="40"/>
  <c r="S21" i="40" s="1"/>
  <c r="S16" i="40"/>
  <c r="W25" i="39"/>
  <c r="U47" i="39"/>
  <c r="AB47" i="39"/>
  <c r="H39" i="39"/>
  <c r="AB39" i="39" s="1"/>
  <c r="H27" i="39"/>
  <c r="U27" i="39" s="1"/>
  <c r="J27" i="39"/>
  <c r="W27" i="39" s="1"/>
  <c r="F27" i="39"/>
  <c r="AA27" i="39" s="1"/>
  <c r="AB36" i="39"/>
  <c r="W11" i="39"/>
  <c r="J21" i="40"/>
  <c r="AC21" i="40" s="1"/>
  <c r="J52" i="40"/>
  <c r="H103" i="9"/>
  <c r="D8" i="53" s="1"/>
  <c r="B16" i="53"/>
  <c r="B33" i="72" s="1"/>
  <c r="A118" i="9"/>
  <c r="A4" i="52"/>
  <c r="B41" i="72" s="1"/>
  <c r="J13" i="39"/>
  <c r="W13" i="39" s="1"/>
  <c r="F13" i="39"/>
  <c r="S13"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AZ369" i="3" s="1"/>
  <c r="BA371" i="3"/>
  <c r="AZ371" i="3" s="1"/>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BL370" i="3"/>
  <c r="G371" i="3"/>
  <c r="BA373" i="3"/>
  <c r="BL374" i="3"/>
  <c r="G375" i="3"/>
  <c r="BA377" i="3"/>
  <c r="AZ377" i="3" s="1"/>
  <c r="BA379" i="3"/>
  <c r="BL380" i="3"/>
  <c r="G381" i="3"/>
  <c r="BA383" i="3"/>
  <c r="AZ383" i="3" s="1"/>
  <c r="BL384" i="3"/>
  <c r="G385" i="3"/>
  <c r="BA387" i="3"/>
  <c r="BL388" i="3"/>
  <c r="G389" i="3"/>
  <c r="BA391" i="3"/>
  <c r="BL392" i="3"/>
  <c r="G393" i="3"/>
  <c r="BM5" i="3"/>
  <c r="AZ341" i="3"/>
  <c r="AC5" i="3"/>
  <c r="AZ496" i="3"/>
  <c r="G548" i="3"/>
  <c r="G538" i="3"/>
  <c r="G520" i="3"/>
  <c r="G502" i="3"/>
  <c r="BK5" i="3"/>
  <c r="BI5" i="3"/>
  <c r="BE5" i="3"/>
  <c r="G17" i="3"/>
  <c r="BA17" i="3"/>
  <c r="BB5" i="3"/>
  <c r="E5" i="6" s="1"/>
  <c r="D22" i="83" s="1"/>
  <c r="C22" i="83" s="1"/>
  <c r="G509" i="3"/>
  <c r="U38" i="40"/>
  <c r="F83" i="43"/>
  <c r="H85" i="43" s="1"/>
  <c r="F50" i="43"/>
  <c r="H54" i="43" s="1"/>
  <c r="F72" i="43"/>
  <c r="H75" i="43" s="1"/>
  <c r="W37" i="37"/>
  <c r="W44" i="34"/>
  <c r="AC44" i="34"/>
  <c r="S15" i="37"/>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H35" i="37"/>
  <c r="U35" i="37" s="1"/>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AA25" i="39" s="1"/>
  <c r="H27" i="36"/>
  <c r="U27" i="36" s="1"/>
  <c r="F27" i="36"/>
  <c r="AA27" i="36" s="1"/>
  <c r="H33" i="34"/>
  <c r="U33" i="34" s="1"/>
  <c r="F32" i="37"/>
  <c r="AA32" i="37"/>
  <c r="F20" i="36"/>
  <c r="AA20" i="36" s="1"/>
  <c r="J33" i="34"/>
  <c r="H25" i="39"/>
  <c r="U25" i="39" s="1"/>
  <c r="K9" i="1"/>
  <c r="M9" i="1" s="1"/>
  <c r="W27" i="34"/>
  <c r="AC27" i="34"/>
  <c r="AB34" i="36"/>
  <c r="U34" i="36"/>
  <c r="W14" i="39"/>
  <c r="AA47" i="34"/>
  <c r="F12" i="33"/>
  <c r="H14" i="39"/>
  <c r="AB14" i="39" s="1"/>
  <c r="F41" i="40"/>
  <c r="B12" i="1"/>
  <c r="E12" i="1" s="1"/>
  <c r="B10" i="1"/>
  <c r="E10" i="1" s="1"/>
  <c r="K12" i="1"/>
  <c r="M12" i="1" s="1"/>
  <c r="S13" i="1"/>
  <c r="AR13" i="1" s="1"/>
  <c r="R13" i="1"/>
  <c r="J51" i="67"/>
  <c r="AA34" i="33"/>
  <c r="AB39" i="40"/>
  <c r="AC38" i="40"/>
  <c r="AA34" i="40"/>
  <c r="AC19" i="40"/>
  <c r="AC17" i="40"/>
  <c r="S30" i="40"/>
  <c r="U37" i="39"/>
  <c r="F34" i="39"/>
  <c r="AA34" i="39" s="1"/>
  <c r="F108" i="39"/>
  <c r="G108" i="39" s="1"/>
  <c r="H108" i="39" s="1"/>
  <c r="I108" i="39" s="1"/>
  <c r="J108" i="39" s="1"/>
  <c r="K108" i="39" s="1"/>
  <c r="L108" i="39" s="1"/>
  <c r="M108" i="39" s="1"/>
  <c r="J23" i="39"/>
  <c r="W23" i="39" s="1"/>
  <c r="F23" i="39"/>
  <c r="AA23" i="39" s="1"/>
  <c r="H23" i="39"/>
  <c r="AB23" i="39" s="1"/>
  <c r="W21" i="39"/>
  <c r="S19" i="39"/>
  <c r="AC15" i="39"/>
  <c r="S23" i="36"/>
  <c r="U26" i="36"/>
  <c r="S33" i="36"/>
  <c r="AA26" i="36"/>
  <c r="AA34" i="36"/>
  <c r="AC26" i="36"/>
  <c r="W14" i="36"/>
  <c r="AB14" i="36"/>
  <c r="U22" i="36"/>
  <c r="S16" i="36"/>
  <c r="AB20" i="36"/>
  <c r="U16" i="36"/>
  <c r="S14" i="36"/>
  <c r="AA25" i="35"/>
  <c r="S23" i="35"/>
  <c r="W24" i="35"/>
  <c r="U29" i="35"/>
  <c r="U28" i="35"/>
  <c r="AB27" i="35"/>
  <c r="U36" i="35"/>
  <c r="U32" i="35"/>
  <c r="S32" i="35"/>
  <c r="AA36" i="35"/>
  <c r="S28" i="35"/>
  <c r="U22" i="35"/>
  <c r="S22" i="35"/>
  <c r="AC12" i="35"/>
  <c r="F9" i="35"/>
  <c r="S9" i="35" s="1"/>
  <c r="H9" i="35"/>
  <c r="U9" i="35" s="1"/>
  <c r="S25" i="37"/>
  <c r="W27" i="37"/>
  <c r="U29" i="37"/>
  <c r="S32" i="37"/>
  <c r="AB31" i="37"/>
  <c r="W30" i="37"/>
  <c r="U32" i="37"/>
  <c r="W38" i="37"/>
  <c r="AC35" i="37"/>
  <c r="S30" i="37"/>
  <c r="S37" i="37"/>
  <c r="AC15" i="37"/>
  <c r="J17" i="37"/>
  <c r="G73" i="37"/>
  <c r="F17" i="37"/>
  <c r="AA17" i="37" s="1"/>
  <c r="F75" i="37"/>
  <c r="G75" i="37" s="1"/>
  <c r="F19" i="37"/>
  <c r="S19" i="37" s="1"/>
  <c r="F79" i="37"/>
  <c r="F23" i="37"/>
  <c r="U23" i="37"/>
  <c r="U15" i="37"/>
  <c r="H10" i="37"/>
  <c r="AB10" i="37" s="1"/>
  <c r="F63" i="37"/>
  <c r="F11" i="37"/>
  <c r="S11" i="37" s="1"/>
  <c r="W25" i="34"/>
  <c r="AB8" i="34"/>
  <c r="AA33" i="34"/>
  <c r="U43" i="34"/>
  <c r="AC39" i="34"/>
  <c r="W41" i="34"/>
  <c r="AC42" i="34"/>
  <c r="AB35" i="34"/>
  <c r="U39" i="34"/>
  <c r="S43" i="34"/>
  <c r="AA25" i="34"/>
  <c r="U28" i="34"/>
  <c r="S17" i="34"/>
  <c r="S23" i="34"/>
  <c r="U15" i="34"/>
  <c r="S13" i="34"/>
  <c r="H10" i="34"/>
  <c r="AB10" i="34" s="1"/>
  <c r="F11" i="34"/>
  <c r="S11" i="34" s="1"/>
  <c r="F70" i="34"/>
  <c r="G70" i="34" s="1"/>
  <c r="H70" i="34" s="1"/>
  <c r="I70" i="34" s="1"/>
  <c r="J70" i="34" s="1"/>
  <c r="K70" i="34" s="1"/>
  <c r="L70" i="34" s="1"/>
  <c r="M70" i="34" s="1"/>
  <c r="W42"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H27" i="33"/>
  <c r="AB27" i="33" s="1"/>
  <c r="F87" i="33"/>
  <c r="H25" i="33"/>
  <c r="U25" i="33" s="1"/>
  <c r="F25" i="33"/>
  <c r="S25" i="33" s="1"/>
  <c r="J23" i="33"/>
  <c r="AC23" i="33" s="1"/>
  <c r="F85" i="33"/>
  <c r="H23" i="33"/>
  <c r="F81" i="33"/>
  <c r="G81" i="33" s="1"/>
  <c r="F19" i="33"/>
  <c r="S19" i="33" s="1"/>
  <c r="J17" i="33"/>
  <c r="AC17" i="33" s="1"/>
  <c r="F79" i="33"/>
  <c r="G79" i="33" s="1"/>
  <c r="S15" i="33"/>
  <c r="W15" i="33"/>
  <c r="J10" i="33"/>
  <c r="W10" i="33" s="1"/>
  <c r="H10" i="33"/>
  <c r="U10" i="33" s="1"/>
  <c r="AC11" i="33"/>
  <c r="AB14" i="33"/>
  <c r="W43" i="21"/>
  <c r="W36" i="21"/>
  <c r="W41" i="21"/>
  <c r="AA43" i="21"/>
  <c r="S39" i="21"/>
  <c r="J15" i="21"/>
  <c r="W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17" i="68"/>
  <c r="E1" i="73"/>
  <c r="G22" i="69"/>
  <c r="G23" i="68"/>
  <c r="G30" i="12"/>
  <c r="G22" i="11"/>
  <c r="C6" i="43"/>
  <c r="B19" i="53"/>
  <c r="B37" i="72" s="1"/>
  <c r="A4" i="51"/>
  <c r="B6" i="72" s="1"/>
  <c r="L20" i="6"/>
  <c r="B6" i="1"/>
  <c r="E6" i="1" s="1"/>
  <c r="K11" i="1"/>
  <c r="M11" i="1" s="1"/>
  <c r="O11" i="1" s="1"/>
  <c r="B9" i="1"/>
  <c r="E9" i="1" s="1"/>
  <c r="W25" i="40"/>
  <c r="U34" i="40"/>
  <c r="AB33" i="40"/>
  <c r="S39" i="40"/>
  <c r="AB30" i="40"/>
  <c r="W30" i="40"/>
  <c r="W36" i="40"/>
  <c r="W21" i="40"/>
  <c r="S38" i="40"/>
  <c r="W39" i="40"/>
  <c r="S15" i="40"/>
  <c r="S35" i="40"/>
  <c r="U13" i="40"/>
  <c r="S33" i="40"/>
  <c r="AB15" i="40"/>
  <c r="U17" i="40"/>
  <c r="AB19" i="40"/>
  <c r="U10" i="40"/>
  <c r="S10" i="40"/>
  <c r="U15" i="39"/>
  <c r="AB15" i="39"/>
  <c r="AA16" i="39"/>
  <c r="W19" i="39"/>
  <c r="AC19" i="39"/>
  <c r="AA47" i="39"/>
  <c r="W36" i="39"/>
  <c r="U40" i="39"/>
  <c r="S10" i="39"/>
  <c r="S20" i="36"/>
  <c r="W29" i="36"/>
  <c r="AC20" i="36"/>
  <c r="AB28" i="36"/>
  <c r="W22" i="36"/>
  <c r="AC25" i="35"/>
  <c r="U25" i="35"/>
  <c r="U24" i="35"/>
  <c r="S35" i="35"/>
  <c r="AA35" i="37"/>
  <c r="W36" i="37"/>
  <c r="W32" i="37"/>
  <c r="S40" i="37"/>
  <c r="U38" i="37"/>
  <c r="AB37" i="37"/>
  <c r="AC34" i="37"/>
  <c r="U19" i="37"/>
  <c r="AA29" i="37"/>
  <c r="U8" i="37"/>
  <c r="AA40" i="34"/>
  <c r="AB40" i="34"/>
  <c r="U19" i="34"/>
  <c r="W19" i="34"/>
  <c r="AB33" i="34"/>
  <c r="AC45" i="34"/>
  <c r="AA31" i="34"/>
  <c r="AB47" i="34"/>
  <c r="U25" i="34"/>
  <c r="AB36" i="34"/>
  <c r="AC32" i="34"/>
  <c r="S37" i="34"/>
  <c r="U38" i="34"/>
  <c r="AC40" i="34"/>
  <c r="W40" i="34"/>
  <c r="AA19" i="34"/>
  <c r="S19" i="34"/>
  <c r="AA36" i="34"/>
  <c r="S36" i="34"/>
  <c r="AA8" i="34"/>
  <c r="S8" i="34"/>
  <c r="U32" i="34"/>
  <c r="AB32" i="34"/>
  <c r="U14" i="34"/>
  <c r="AB14" i="34"/>
  <c r="AC43" i="34"/>
  <c r="W43" i="34"/>
  <c r="W23" i="34"/>
  <c r="AC23" i="34"/>
  <c r="AC35" i="34"/>
  <c r="W35" i="34"/>
  <c r="AC37" i="33"/>
  <c r="U39" i="33"/>
  <c r="U38" i="33"/>
  <c r="S33" i="33"/>
  <c r="AB34" i="33"/>
  <c r="U44" i="33"/>
  <c r="AB44" i="33"/>
  <c r="S30" i="33"/>
  <c r="AA30" i="33"/>
  <c r="S31" i="33"/>
  <c r="AA31" i="33"/>
  <c r="U15" i="33"/>
  <c r="S11" i="33"/>
  <c r="U37" i="33"/>
  <c r="W8" i="33"/>
  <c r="S44" i="21"/>
  <c r="U28" i="21"/>
  <c r="I101" i="21"/>
  <c r="J101" i="21" s="1"/>
  <c r="K101" i="21" s="1"/>
  <c r="L101" i="21" s="1"/>
  <c r="M101" i="21" s="1"/>
  <c r="F33" i="21"/>
  <c r="AA33" i="21" s="1"/>
  <c r="J33" i="21"/>
  <c r="AC33" i="21" s="1"/>
  <c r="H33" i="21"/>
  <c r="AB33" i="21" s="1"/>
  <c r="AA26" i="21"/>
  <c r="AB46" i="21"/>
  <c r="U13" i="21"/>
  <c r="AB13" i="21"/>
  <c r="H15" i="21"/>
  <c r="U15" i="21" s="1"/>
  <c r="W39" i="21"/>
  <c r="W30" i="21"/>
  <c r="H45" i="21"/>
  <c r="U45" i="21" s="1"/>
  <c r="F29" i="21"/>
  <c r="AA29" i="21" s="1"/>
  <c r="F13" i="21"/>
  <c r="AA13" i="21" s="1"/>
  <c r="AC38" i="21"/>
  <c r="H32" i="21"/>
  <c r="U32" i="21" s="1"/>
  <c r="J32" i="21"/>
  <c r="W32" i="21" s="1"/>
  <c r="F32" i="21"/>
  <c r="S32" i="21" s="1"/>
  <c r="AA31" i="21"/>
  <c r="W29" i="21"/>
  <c r="K141" i="21"/>
  <c r="K144" i="21"/>
  <c r="K143" i="21"/>
  <c r="U27" i="21"/>
  <c r="AB25" i="21"/>
  <c r="W13" i="21"/>
  <c r="W42" i="21"/>
  <c r="F10" i="21"/>
  <c r="AA10" i="21" s="1"/>
  <c r="K145" i="21"/>
  <c r="W25" i="21"/>
  <c r="W31" i="21"/>
  <c r="S27" i="21"/>
  <c r="AC27" i="21"/>
  <c r="AB29" i="21"/>
  <c r="S28" i="21"/>
  <c r="AB36" i="21"/>
  <c r="C21" i="39"/>
  <c r="C17" i="40"/>
  <c r="C19" i="40"/>
  <c r="C25" i="40"/>
  <c r="C23" i="40"/>
  <c r="U32" i="40"/>
  <c r="B56" i="43"/>
  <c r="B67" i="43"/>
  <c r="B51" i="43"/>
  <c r="B54" i="43"/>
  <c r="B62" i="43"/>
  <c r="B65" i="43"/>
  <c r="D41" i="15"/>
  <c r="E4" i="4"/>
  <c r="B5" i="62" s="1"/>
  <c r="B73" i="72" s="1"/>
  <c r="C4" i="4"/>
  <c r="J34" i="39"/>
  <c r="AC34" i="39" s="1"/>
  <c r="H34" i="39"/>
  <c r="AB34" i="39" s="1"/>
  <c r="S34" i="39"/>
  <c r="J19" i="37"/>
  <c r="W19" i="37" s="1"/>
  <c r="AA19" i="37"/>
  <c r="J23" i="37"/>
  <c r="W23" i="37" s="1"/>
  <c r="G79" i="37"/>
  <c r="J10" i="37"/>
  <c r="W10" i="37" s="1"/>
  <c r="G63" i="37"/>
  <c r="H63" i="37" s="1"/>
  <c r="I63" i="37" s="1"/>
  <c r="J63" i="37" s="1"/>
  <c r="K63" i="37" s="1"/>
  <c r="L63" i="37" s="1"/>
  <c r="M63" i="37" s="1"/>
  <c r="H11" i="37"/>
  <c r="AB11" i="37" s="1"/>
  <c r="H11" i="34"/>
  <c r="U11" i="34" s="1"/>
  <c r="J10" i="34"/>
  <c r="AC10" i="34" s="1"/>
  <c r="AB41" i="33"/>
  <c r="U41" i="33"/>
  <c r="W35" i="33"/>
  <c r="H111" i="33"/>
  <c r="I111" i="33" s="1"/>
  <c r="J111" i="33" s="1"/>
  <c r="K111" i="33" s="1"/>
  <c r="L111" i="33" s="1"/>
  <c r="M111" i="33" s="1"/>
  <c r="J36" i="33"/>
  <c r="W36" i="33" s="1"/>
  <c r="H36" i="33"/>
  <c r="U36" i="33" s="1"/>
  <c r="S36" i="33"/>
  <c r="W32" i="33"/>
  <c r="U27" i="33"/>
  <c r="G91" i="33"/>
  <c r="H91" i="33" s="1"/>
  <c r="I91" i="33" s="1"/>
  <c r="J91" i="33" s="1"/>
  <c r="K91" i="33" s="1"/>
  <c r="L91" i="33" s="1"/>
  <c r="M91" i="33" s="1"/>
  <c r="J27" i="33"/>
  <c r="W27" i="33" s="1"/>
  <c r="AA25" i="33"/>
  <c r="G87" i="33"/>
  <c r="H87" i="33"/>
  <c r="I87" i="33" s="1"/>
  <c r="J87" i="33" s="1"/>
  <c r="K87" i="33" s="1"/>
  <c r="L87" i="33" s="1"/>
  <c r="M87" i="33" s="1"/>
  <c r="J25" i="33"/>
  <c r="AC25" i="33" s="1"/>
  <c r="F23" i="33"/>
  <c r="G85" i="33"/>
  <c r="AA19" i="33"/>
  <c r="H19" i="33"/>
  <c r="AB19" i="33" s="1"/>
  <c r="H17" i="33"/>
  <c r="U17" i="33" s="1"/>
  <c r="F17" i="33"/>
  <c r="S17" i="33" s="1"/>
  <c r="J23" i="21"/>
  <c r="W23" i="21" s="1"/>
  <c r="F85" i="21"/>
  <c r="G85" i="21" s="1"/>
  <c r="H23" i="21"/>
  <c r="AB23" i="21" s="1"/>
  <c r="S13" i="21"/>
  <c r="AP7" i="1"/>
  <c r="AA32" i="21"/>
  <c r="W34" i="39"/>
  <c r="AC23" i="37"/>
  <c r="J11" i="37"/>
  <c r="AC11" i="37" s="1"/>
  <c r="J11" i="34"/>
  <c r="W11" i="34" s="1"/>
  <c r="U19" i="33"/>
  <c r="H109" i="9"/>
  <c r="AD3" i="71"/>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AO13" i="1"/>
  <c r="F6" i="73"/>
  <c r="E2" i="69"/>
  <c r="B7" i="76"/>
  <c r="F20" i="31"/>
  <c r="F4" i="73"/>
  <c r="F7" i="73"/>
  <c r="F3" i="73"/>
  <c r="E12" i="76"/>
  <c r="E13" i="76"/>
  <c r="B13" i="76"/>
  <c r="E9" i="76"/>
  <c r="E7" i="76"/>
  <c r="B8" i="76"/>
  <c r="E10" i="76"/>
  <c r="E11" i="76"/>
  <c r="E8" i="76"/>
  <c r="B10" i="76"/>
  <c r="F5" i="73"/>
  <c r="B11" i="76"/>
  <c r="B12" i="76"/>
  <c r="B9" i="76"/>
  <c r="AC40" i="21" l="1"/>
  <c r="U40" i="21"/>
  <c r="S40" i="21"/>
  <c r="AB39" i="21"/>
  <c r="W25" i="33"/>
  <c r="W17" i="33"/>
  <c r="AB23" i="40"/>
  <c r="U23" i="40"/>
  <c r="AZ493" i="3"/>
  <c r="AA44" i="33"/>
  <c r="W16" i="40"/>
  <c r="AC16" i="40"/>
  <c r="S15" i="39"/>
  <c r="AA15" i="39"/>
  <c r="AC31" i="33"/>
  <c r="W31" i="33"/>
  <c r="U14" i="21"/>
  <c r="AB14" i="21"/>
  <c r="AC17" i="37"/>
  <c r="W17" i="37"/>
  <c r="S25" i="21"/>
  <c r="AA25" i="21"/>
  <c r="W14" i="21"/>
  <c r="AC14" i="21"/>
  <c r="U42" i="21"/>
  <c r="AB42" i="21"/>
  <c r="U34" i="39"/>
  <c r="AB17" i="37"/>
  <c r="S36" i="37"/>
  <c r="AA36" i="37"/>
  <c r="AA24" i="35"/>
  <c r="S24" i="35"/>
  <c r="W14" i="34"/>
  <c r="AC14" i="34"/>
  <c r="AC13" i="33"/>
  <c r="W13" i="33"/>
  <c r="U23" i="33"/>
  <c r="AB23" i="33"/>
  <c r="AA32" i="40"/>
  <c r="S32" i="40"/>
  <c r="AB25" i="33"/>
  <c r="AA22" i="36"/>
  <c r="AA12" i="33"/>
  <c r="S12" i="33"/>
  <c r="AZ338" i="3"/>
  <c r="AZ318" i="3"/>
  <c r="S25" i="36"/>
  <c r="AA25" i="36"/>
  <c r="S29" i="34"/>
  <c r="AA29" i="34"/>
  <c r="W14" i="33"/>
  <c r="AC14" i="33"/>
  <c r="U40" i="37"/>
  <c r="AB40" i="37"/>
  <c r="AB36" i="37"/>
  <c r="U36" i="37"/>
  <c r="W29" i="37"/>
  <c r="AC29" i="37"/>
  <c r="AA32" i="34"/>
  <c r="S32" i="34"/>
  <c r="AA17" i="40"/>
  <c r="AZ387" i="3"/>
  <c r="AZ334" i="3"/>
  <c r="AZ304" i="3"/>
  <c r="AZ380" i="3"/>
  <c r="AZ573" i="3"/>
  <c r="AZ580" i="3"/>
  <c r="F38" i="37"/>
  <c r="H13" i="33"/>
  <c r="U13" i="33" s="1"/>
  <c r="AA41" i="33"/>
  <c r="AA37" i="39"/>
  <c r="AC9" i="34"/>
  <c r="W9" i="34"/>
  <c r="BA526" i="3"/>
  <c r="BA512" i="3"/>
  <c r="BL495" i="3"/>
  <c r="F28" i="33"/>
  <c r="J28" i="33"/>
  <c r="J26" i="33"/>
  <c r="F26" i="33"/>
  <c r="E66" i="35"/>
  <c r="F16" i="35"/>
  <c r="S16" i="35" s="1"/>
  <c r="H30" i="34"/>
  <c r="J30" i="34"/>
  <c r="J46" i="34"/>
  <c r="F46" i="34"/>
  <c r="H33" i="36"/>
  <c r="J33" i="36"/>
  <c r="AC33" i="36" s="1"/>
  <c r="J45" i="39"/>
  <c r="H45" i="39"/>
  <c r="E121" i="39"/>
  <c r="F121" i="39" s="1"/>
  <c r="G121" i="39" s="1"/>
  <c r="H121" i="39" s="1"/>
  <c r="I121" i="39" s="1"/>
  <c r="J121" i="39" s="1"/>
  <c r="K121" i="39" s="1"/>
  <c r="L121" i="39" s="1"/>
  <c r="M121" i="39" s="1"/>
  <c r="H41" i="39"/>
  <c r="U41" i="39" s="1"/>
  <c r="BL562" i="3"/>
  <c r="BA558" i="3"/>
  <c r="AZ558" i="3" s="1"/>
  <c r="BA547" i="3"/>
  <c r="BA536" i="3"/>
  <c r="BA533" i="3"/>
  <c r="BL532" i="3"/>
  <c r="AZ532" i="3" s="1"/>
  <c r="BL526" i="3"/>
  <c r="BA523" i="3"/>
  <c r="BL514" i="3"/>
  <c r="AZ514" i="3" s="1"/>
  <c r="BA511" i="3"/>
  <c r="BA500" i="3"/>
  <c r="AZ500" i="3" s="1"/>
  <c r="BL499" i="3"/>
  <c r="BL498" i="3"/>
  <c r="BA497" i="3"/>
  <c r="AZ497" i="3" s="1"/>
  <c r="W19" i="33"/>
  <c r="S37" i="40"/>
  <c r="AZ148" i="3"/>
  <c r="AZ549" i="3"/>
  <c r="J28" i="37"/>
  <c r="J11" i="35"/>
  <c r="W11" i="35" s="1"/>
  <c r="H28" i="33"/>
  <c r="B97" i="43"/>
  <c r="B75" i="43"/>
  <c r="AA38" i="33"/>
  <c r="S38" i="33"/>
  <c r="J24" i="36"/>
  <c r="F24" i="36"/>
  <c r="J13" i="37"/>
  <c r="F13" i="37"/>
  <c r="J39" i="37"/>
  <c r="H39" i="37"/>
  <c r="AA36" i="40"/>
  <c r="S36" i="40"/>
  <c r="H87" i="35"/>
  <c r="I87" i="35" s="1"/>
  <c r="J87" i="35" s="1"/>
  <c r="K87" i="35" s="1"/>
  <c r="L87" i="35" s="1"/>
  <c r="M87" i="35" s="1"/>
  <c r="F29" i="35"/>
  <c r="S38" i="39"/>
  <c r="AA38" i="39"/>
  <c r="BA581" i="3"/>
  <c r="G581" i="3"/>
  <c r="G573" i="3"/>
  <c r="BA572" i="3"/>
  <c r="G572" i="3"/>
  <c r="BA565" i="3"/>
  <c r="BL560" i="3"/>
  <c r="S25" i="40"/>
  <c r="AZ305" i="3"/>
  <c r="AZ306" i="3"/>
  <c r="AC15" i="40"/>
  <c r="F14" i="39"/>
  <c r="H27" i="34"/>
  <c r="BL511" i="3"/>
  <c r="BL519" i="3"/>
  <c r="AZ519" i="3" s="1"/>
  <c r="BL521" i="3"/>
  <c r="AZ521" i="3" s="1"/>
  <c r="BL535" i="3"/>
  <c r="BL555" i="3"/>
  <c r="BL559" i="3"/>
  <c r="AZ559" i="3" s="1"/>
  <c r="BL565" i="3"/>
  <c r="BL571" i="3"/>
  <c r="BL579" i="3"/>
  <c r="G557" i="3"/>
  <c r="F28" i="37"/>
  <c r="F30" i="34"/>
  <c r="H31" i="33"/>
  <c r="H26" i="33"/>
  <c r="F30" i="21"/>
  <c r="AC38" i="34"/>
  <c r="J29" i="35"/>
  <c r="AC29" i="35" s="1"/>
  <c r="AA41" i="21"/>
  <c r="J45" i="21"/>
  <c r="F45" i="21"/>
  <c r="H24" i="36"/>
  <c r="BA419" i="3"/>
  <c r="G582" i="3"/>
  <c r="G566" i="3"/>
  <c r="G558" i="3"/>
  <c r="BL517" i="3"/>
  <c r="BL531" i="3"/>
  <c r="BL543" i="3"/>
  <c r="BL551" i="3"/>
  <c r="BL577" i="3"/>
  <c r="J20" i="35"/>
  <c r="W20" i="35" s="1"/>
  <c r="W25" i="37"/>
  <c r="J47" i="39"/>
  <c r="W47" i="39" s="1"/>
  <c r="G569" i="3"/>
  <c r="G554" i="3"/>
  <c r="BL443" i="3"/>
  <c r="G411" i="3"/>
  <c r="G421" i="3"/>
  <c r="G434" i="3"/>
  <c r="BL455" i="3"/>
  <c r="G467" i="3"/>
  <c r="G475" i="3"/>
  <c r="BL340" i="3"/>
  <c r="AZ340" i="3" s="1"/>
  <c r="G212" i="3"/>
  <c r="BL216" i="3"/>
  <c r="BA217" i="3"/>
  <c r="G220" i="3"/>
  <c r="BA227" i="3"/>
  <c r="AZ227" i="3" s="1"/>
  <c r="G229" i="3"/>
  <c r="BA240" i="3"/>
  <c r="BL242" i="3"/>
  <c r="BL243" i="3"/>
  <c r="G244" i="3"/>
  <c r="G249" i="3"/>
  <c r="BA250" i="3"/>
  <c r="G253" i="3"/>
  <c r="BL254" i="3"/>
  <c r="G261" i="3"/>
  <c r="BA265" i="3"/>
  <c r="G266" i="3"/>
  <c r="BA269" i="3"/>
  <c r="AZ269" i="3" s="1"/>
  <c r="G271" i="3"/>
  <c r="G283" i="3"/>
  <c r="BL286" i="3"/>
  <c r="G292" i="3"/>
  <c r="BA120" i="3"/>
  <c r="AZ120" i="3" s="1"/>
  <c r="G134" i="3"/>
  <c r="G146" i="3"/>
  <c r="G150" i="3"/>
  <c r="G154" i="3"/>
  <c r="G158" i="3"/>
  <c r="G164" i="3"/>
  <c r="G172" i="3"/>
  <c r="BA173" i="3"/>
  <c r="BA177" i="3"/>
  <c r="G184" i="3"/>
  <c r="BA189" i="3"/>
  <c r="G192" i="3"/>
  <c r="BL195" i="3"/>
  <c r="AZ195" i="3" s="1"/>
  <c r="G32" i="3"/>
  <c r="BA33" i="3"/>
  <c r="BL35" i="3"/>
  <c r="G41" i="3"/>
  <c r="G48" i="3"/>
  <c r="BL48" i="3"/>
  <c r="BL55" i="3"/>
  <c r="G57" i="3"/>
  <c r="G58" i="3"/>
  <c r="BA59" i="3"/>
  <c r="G61" i="3"/>
  <c r="BL61" i="3"/>
  <c r="BA67" i="3"/>
  <c r="G92" i="3"/>
  <c r="G93" i="3"/>
  <c r="BA98" i="3"/>
  <c r="BL101" i="3"/>
  <c r="BL102" i="3"/>
  <c r="BL110" i="3"/>
  <c r="C60" i="71"/>
  <c r="T60" i="71" s="1"/>
  <c r="Q68" i="71"/>
  <c r="E40" i="71"/>
  <c r="U40" i="71" s="1"/>
  <c r="AA37" i="71"/>
  <c r="C63" i="71"/>
  <c r="BA70" i="3"/>
  <c r="G73" i="3"/>
  <c r="G95" i="3"/>
  <c r="C82" i="71"/>
  <c r="D82" i="71" s="1"/>
  <c r="C39" i="71"/>
  <c r="C40" i="71" s="1"/>
  <c r="Y30" i="71"/>
  <c r="Z30" i="71" s="1"/>
  <c r="AB38" i="71"/>
  <c r="E63" i="71"/>
  <c r="E64" i="71" s="1"/>
  <c r="U64" i="71" s="1"/>
  <c r="S68" i="71"/>
  <c r="V68" i="71"/>
  <c r="BA410" i="3"/>
  <c r="BL416" i="3"/>
  <c r="G419" i="3"/>
  <c r="G424" i="3"/>
  <c r="G437" i="3"/>
  <c r="BL449" i="3"/>
  <c r="BL450" i="3"/>
  <c r="G474" i="3"/>
  <c r="BA487" i="3"/>
  <c r="G228" i="3"/>
  <c r="BA235" i="3"/>
  <c r="AZ235" i="3" s="1"/>
  <c r="BL235" i="3"/>
  <c r="BL236" i="3"/>
  <c r="BL259" i="3"/>
  <c r="BL298" i="3"/>
  <c r="BA149" i="3"/>
  <c r="BL165" i="3"/>
  <c r="BL185" i="3"/>
  <c r="G199" i="3"/>
  <c r="BA43" i="3"/>
  <c r="BL68" i="3"/>
  <c r="BA69" i="3"/>
  <c r="S76" i="71"/>
  <c r="G404" i="3"/>
  <c r="G409" i="3"/>
  <c r="G426" i="3"/>
  <c r="G452" i="3"/>
  <c r="G472" i="3"/>
  <c r="BA473" i="3"/>
  <c r="G481" i="3"/>
  <c r="BL484" i="3"/>
  <c r="G485" i="3"/>
  <c r="G358" i="3"/>
  <c r="G362" i="3"/>
  <c r="BL365" i="3"/>
  <c r="AZ365" i="3" s="1"/>
  <c r="G366" i="3"/>
  <c r="G387" i="3"/>
  <c r="G213" i="3"/>
  <c r="G218" i="3"/>
  <c r="G221" i="3"/>
  <c r="G226" i="3"/>
  <c r="G235" i="3"/>
  <c r="G255" i="3"/>
  <c r="BA255" i="3"/>
  <c r="G258" i="3"/>
  <c r="G143" i="3"/>
  <c r="BA148" i="3"/>
  <c r="BL158" i="3"/>
  <c r="BA162" i="3"/>
  <c r="AZ162" i="3" s="1"/>
  <c r="BL162" i="3"/>
  <c r="BA182" i="3"/>
  <c r="BA207" i="3"/>
  <c r="BL44" i="3"/>
  <c r="G50" i="3"/>
  <c r="G59" i="3"/>
  <c r="G64" i="3"/>
  <c r="G72" i="3"/>
  <c r="BL79" i="3"/>
  <c r="G89" i="3"/>
  <c r="BA91" i="3"/>
  <c r="AZ91" i="3" s="1"/>
  <c r="BA94" i="3"/>
  <c r="G105" i="3"/>
  <c r="BA105" i="3"/>
  <c r="G109" i="3"/>
  <c r="Y37" i="71"/>
  <c r="Z37" i="71" s="1"/>
  <c r="AB26" i="37"/>
  <c r="U26" i="37"/>
  <c r="AA17" i="33"/>
  <c r="AB36" i="33"/>
  <c r="AZ389" i="3"/>
  <c r="AZ378" i="3"/>
  <c r="AZ360" i="3"/>
  <c r="AZ501" i="3"/>
  <c r="AZ583" i="3"/>
  <c r="AZ534" i="3"/>
  <c r="AB46" i="34"/>
  <c r="J12" i="34"/>
  <c r="H12" i="34"/>
  <c r="J14" i="40"/>
  <c r="H14" i="40"/>
  <c r="AB34" i="37"/>
  <c r="U34" i="37"/>
  <c r="AC30" i="36"/>
  <c r="W30" i="36"/>
  <c r="BA584" i="3"/>
  <c r="AA35" i="33"/>
  <c r="AZ357" i="3"/>
  <c r="AZ310" i="3"/>
  <c r="AZ373" i="3"/>
  <c r="AZ539" i="3"/>
  <c r="AZ536" i="3"/>
  <c r="AC33" i="40"/>
  <c r="W33" i="40"/>
  <c r="H82" i="39"/>
  <c r="I82" i="39" s="1"/>
  <c r="J82" i="39" s="1"/>
  <c r="K82" i="39" s="1"/>
  <c r="L82" i="39" s="1"/>
  <c r="M82" i="39" s="1"/>
  <c r="H13" i="39"/>
  <c r="E108" i="21"/>
  <c r="F108" i="21" s="1"/>
  <c r="G108" i="21" s="1"/>
  <c r="H108" i="21" s="1"/>
  <c r="I108" i="21" s="1"/>
  <c r="J108" i="21" s="1"/>
  <c r="K108" i="21" s="1"/>
  <c r="L108" i="21" s="1"/>
  <c r="M108" i="21" s="1"/>
  <c r="H35" i="21"/>
  <c r="AB35" i="21" s="1"/>
  <c r="J41" i="40"/>
  <c r="H41" i="40"/>
  <c r="BA548" i="3"/>
  <c r="BL542" i="3"/>
  <c r="AZ542" i="3" s="1"/>
  <c r="BA541" i="3"/>
  <c r="AZ541" i="3" s="1"/>
  <c r="BL540" i="3"/>
  <c r="BA538" i="3"/>
  <c r="AZ538" i="3" s="1"/>
  <c r="BA530" i="3"/>
  <c r="BL528" i="3"/>
  <c r="AZ528" i="3" s="1"/>
  <c r="BL522" i="3"/>
  <c r="AZ522" i="3" s="1"/>
  <c r="BA520" i="3"/>
  <c r="AZ520" i="3" s="1"/>
  <c r="AZ525" i="3"/>
  <c r="AZ560" i="3"/>
  <c r="F35" i="21"/>
  <c r="AA35" i="21" s="1"/>
  <c r="AC22" i="35"/>
  <c r="W22" i="35"/>
  <c r="J39" i="39"/>
  <c r="F39" i="39"/>
  <c r="AC10" i="40"/>
  <c r="W10" i="40"/>
  <c r="BA577" i="3"/>
  <c r="BA574" i="3"/>
  <c r="AZ574" i="3" s="1"/>
  <c r="BL572" i="3"/>
  <c r="BA567" i="3"/>
  <c r="BL566" i="3"/>
  <c r="BA564" i="3"/>
  <c r="AZ564" i="3" s="1"/>
  <c r="BA555" i="3"/>
  <c r="S44" i="34"/>
  <c r="AB17" i="34"/>
  <c r="G585" i="3"/>
  <c r="BL586" i="3"/>
  <c r="BA586" i="3"/>
  <c r="BA585" i="3"/>
  <c r="J36" i="35"/>
  <c r="AC36" i="35" s="1"/>
  <c r="H12" i="36"/>
  <c r="AB12" i="36" s="1"/>
  <c r="J40" i="40"/>
  <c r="G580" i="3"/>
  <c r="BL14" i="3"/>
  <c r="BN5" i="3"/>
  <c r="BT5" i="3"/>
  <c r="BR5" i="3"/>
  <c r="S80" i="71"/>
  <c r="B79" i="71"/>
  <c r="B78" i="71" s="1"/>
  <c r="G586" i="3"/>
  <c r="F40" i="40"/>
  <c r="BA15" i="3"/>
  <c r="BF5" i="3"/>
  <c r="BA14" i="3"/>
  <c r="F7" i="1"/>
  <c r="G7" i="1" s="1"/>
  <c r="BL402" i="3"/>
  <c r="BL406" i="3"/>
  <c r="BL411" i="3"/>
  <c r="BA413" i="3"/>
  <c r="BL423" i="3"/>
  <c r="BL430" i="3"/>
  <c r="G380" i="3"/>
  <c r="G215" i="3"/>
  <c r="G223" i="3"/>
  <c r="G561" i="3"/>
  <c r="G13" i="3"/>
  <c r="BA13" i="3"/>
  <c r="G398" i="3"/>
  <c r="BA402" i="3"/>
  <c r="BA406" i="3"/>
  <c r="BL409" i="3"/>
  <c r="G415" i="3"/>
  <c r="BA420" i="3"/>
  <c r="BA422" i="3"/>
  <c r="BA437" i="3"/>
  <c r="G441" i="3"/>
  <c r="BL469" i="3"/>
  <c r="G351" i="3"/>
  <c r="BA291" i="3"/>
  <c r="A15" i="62"/>
  <c r="B61" i="72" s="1"/>
  <c r="BA400" i="3"/>
  <c r="BA401" i="3"/>
  <c r="BA404" i="3"/>
  <c r="BA405" i="3"/>
  <c r="G408" i="3"/>
  <c r="BL412" i="3"/>
  <c r="G413" i="3"/>
  <c r="BL419" i="3"/>
  <c r="G422" i="3"/>
  <c r="BA424" i="3"/>
  <c r="BL427" i="3"/>
  <c r="G429" i="3"/>
  <c r="BL433" i="3"/>
  <c r="BL434" i="3"/>
  <c r="G435" i="3"/>
  <c r="BA466" i="3"/>
  <c r="BL386" i="3"/>
  <c r="G217" i="3"/>
  <c r="AA21" i="37"/>
  <c r="S21" i="37"/>
  <c r="AC18" i="36"/>
  <c r="W18" i="36"/>
  <c r="AA21" i="34"/>
  <c r="S21" i="34"/>
  <c r="BA442" i="3"/>
  <c r="G453" i="3"/>
  <c r="BA455" i="3"/>
  <c r="AZ455" i="3" s="1"/>
  <c r="BA458" i="3"/>
  <c r="AZ458" i="3" s="1"/>
  <c r="BA462" i="3"/>
  <c r="G466" i="3"/>
  <c r="BA485" i="3"/>
  <c r="BL488" i="3"/>
  <c r="BA358" i="3"/>
  <c r="AZ358" i="3" s="1"/>
  <c r="BL381" i="3"/>
  <c r="AZ381" i="3" s="1"/>
  <c r="BA392" i="3"/>
  <c r="AZ392" i="3" s="1"/>
  <c r="BL208" i="3"/>
  <c r="BA214" i="3"/>
  <c r="BA216" i="3"/>
  <c r="AZ216" i="3" s="1"/>
  <c r="BL219" i="3"/>
  <c r="BL224" i="3"/>
  <c r="BA233" i="3"/>
  <c r="AZ233" i="3" s="1"/>
  <c r="BL233" i="3"/>
  <c r="BA249" i="3"/>
  <c r="BL249" i="3"/>
  <c r="BA253" i="3"/>
  <c r="BL262" i="3"/>
  <c r="BL263" i="3"/>
  <c r="BA275" i="3"/>
  <c r="BL278" i="3"/>
  <c r="G302" i="3"/>
  <c r="BA116" i="3"/>
  <c r="AZ116" i="3" s="1"/>
  <c r="BA121" i="3"/>
  <c r="BL121" i="3"/>
  <c r="BA125" i="3"/>
  <c r="BL127" i="3"/>
  <c r="AZ127" i="3" s="1"/>
  <c r="BA129" i="3"/>
  <c r="BA134" i="3"/>
  <c r="BL34" i="3"/>
  <c r="BA78" i="3"/>
  <c r="B100" i="43"/>
  <c r="B57" i="43"/>
  <c r="C31" i="39"/>
  <c r="B34" i="71"/>
  <c r="B35" i="71" s="1"/>
  <c r="B36" i="71" s="1"/>
  <c r="S36" i="71" s="1"/>
  <c r="X25" i="71"/>
  <c r="X34" i="71"/>
  <c r="X35" i="71"/>
  <c r="AB26" i="71"/>
  <c r="F38" i="71"/>
  <c r="F39" i="71" s="1"/>
  <c r="F40" i="71" s="1"/>
  <c r="V40" i="71" s="1"/>
  <c r="T72" i="71"/>
  <c r="C71" i="71"/>
  <c r="D71" i="71" s="1"/>
  <c r="U76" i="71"/>
  <c r="E75" i="71"/>
  <c r="E74" i="71" s="1"/>
  <c r="G436" i="3"/>
  <c r="BA439" i="3"/>
  <c r="BA440" i="3"/>
  <c r="AZ440" i="3" s="1"/>
  <c r="G442" i="3"/>
  <c r="G444" i="3"/>
  <c r="BA444" i="3"/>
  <c r="BA446" i="3"/>
  <c r="G448" i="3"/>
  <c r="BL451" i="3"/>
  <c r="BA452" i="3"/>
  <c r="G456" i="3"/>
  <c r="G457" i="3"/>
  <c r="BL457" i="3"/>
  <c r="G460" i="3"/>
  <c r="BL460" i="3"/>
  <c r="G470" i="3"/>
  <c r="G471" i="3"/>
  <c r="BA471" i="3"/>
  <c r="BA476" i="3"/>
  <c r="G478" i="3"/>
  <c r="BA480" i="3"/>
  <c r="BL487" i="3"/>
  <c r="G488" i="3"/>
  <c r="BA331" i="3"/>
  <c r="AZ331" i="3" s="1"/>
  <c r="BL350" i="3"/>
  <c r="BA353" i="3"/>
  <c r="BL353" i="3"/>
  <c r="BL359" i="3"/>
  <c r="AZ359" i="3" s="1"/>
  <c r="BL367" i="3"/>
  <c r="BA385" i="3"/>
  <c r="BA386" i="3"/>
  <c r="AZ386" i="3" s="1"/>
  <c r="BA212" i="3"/>
  <c r="G216" i="3"/>
  <c r="BL222" i="3"/>
  <c r="BL223" i="3"/>
  <c r="G224" i="3"/>
  <c r="BA229" i="3"/>
  <c r="AZ229" i="3" s="1"/>
  <c r="BL229" i="3"/>
  <c r="BA231" i="3"/>
  <c r="BL231" i="3"/>
  <c r="G233" i="3"/>
  <c r="G241" i="3"/>
  <c r="BA248" i="3"/>
  <c r="G251" i="3"/>
  <c r="BL252" i="3"/>
  <c r="G256" i="3"/>
  <c r="BA260" i="3"/>
  <c r="BL260" i="3"/>
  <c r="G262" i="3"/>
  <c r="G268" i="3"/>
  <c r="G270" i="3"/>
  <c r="BA270" i="3"/>
  <c r="G273" i="3"/>
  <c r="BA274" i="3"/>
  <c r="BL274" i="3"/>
  <c r="G281" i="3"/>
  <c r="BA282" i="3"/>
  <c r="AZ282" i="3" s="1"/>
  <c r="BL282" i="3"/>
  <c r="G285" i="3"/>
  <c r="BA288" i="3"/>
  <c r="BL289" i="3"/>
  <c r="G290" i="3"/>
  <c r="G291" i="3"/>
  <c r="BA301" i="3"/>
  <c r="BL122" i="3"/>
  <c r="G123" i="3"/>
  <c r="G178" i="3"/>
  <c r="BA47" i="3"/>
  <c r="BA65" i="3"/>
  <c r="Y25" i="71"/>
  <c r="Z25" i="71" s="1"/>
  <c r="C28" i="71"/>
  <c r="T28" i="71" s="1"/>
  <c r="Y28" i="71"/>
  <c r="Z28" i="71" s="1"/>
  <c r="AA27" i="71"/>
  <c r="BA443" i="3"/>
  <c r="AZ443" i="3" s="1"/>
  <c r="BA448" i="3"/>
  <c r="BA451" i="3"/>
  <c r="G454" i="3"/>
  <c r="BA456" i="3"/>
  <c r="G459" i="3"/>
  <c r="G463" i="3"/>
  <c r="BA464" i="3"/>
  <c r="BA469" i="3"/>
  <c r="BA470" i="3"/>
  <c r="BL472" i="3"/>
  <c r="G473" i="3"/>
  <c r="G477" i="3"/>
  <c r="G486" i="3"/>
  <c r="BA489" i="3"/>
  <c r="G492" i="3"/>
  <c r="BA349" i="3"/>
  <c r="AZ349" i="3" s="1"/>
  <c r="BA368" i="3"/>
  <c r="BL368" i="3"/>
  <c r="BA374" i="3"/>
  <c r="AZ374" i="3" s="1"/>
  <c r="BL385" i="3"/>
  <c r="G392" i="3"/>
  <c r="BL395" i="3"/>
  <c r="G397" i="3"/>
  <c r="BL211" i="3"/>
  <c r="G214" i="3"/>
  <c r="BA218" i="3"/>
  <c r="BL218" i="3"/>
  <c r="BA220" i="3"/>
  <c r="BL220" i="3"/>
  <c r="BL221" i="3"/>
  <c r="G222" i="3"/>
  <c r="BA225" i="3"/>
  <c r="BA228" i="3"/>
  <c r="BL230" i="3"/>
  <c r="G231" i="3"/>
  <c r="BL237" i="3"/>
  <c r="BL238" i="3"/>
  <c r="G239" i="3"/>
  <c r="G246" i="3"/>
  <c r="BA247" i="3"/>
  <c r="BL247" i="3"/>
  <c r="BA251" i="3"/>
  <c r="BL251" i="3"/>
  <c r="G254" i="3"/>
  <c r="G260" i="3"/>
  <c r="BL267" i="3"/>
  <c r="G276" i="3"/>
  <c r="BA277" i="3"/>
  <c r="BL277" i="3"/>
  <c r="BL280" i="3"/>
  <c r="G289" i="3"/>
  <c r="G295" i="3"/>
  <c r="BA296" i="3"/>
  <c r="G299" i="3"/>
  <c r="G126" i="3"/>
  <c r="BA132" i="3"/>
  <c r="AZ132" i="3" s="1"/>
  <c r="BL133" i="3"/>
  <c r="BL135" i="3"/>
  <c r="AZ135" i="3" s="1"/>
  <c r="BL74" i="3"/>
  <c r="D72" i="71"/>
  <c r="BA124" i="3"/>
  <c r="AZ124" i="3" s="1"/>
  <c r="G127" i="3"/>
  <c r="BA133" i="3"/>
  <c r="AZ133" i="3" s="1"/>
  <c r="G136" i="3"/>
  <c r="BL139" i="3"/>
  <c r="AZ139" i="3" s="1"/>
  <c r="G140" i="3"/>
  <c r="BL141" i="3"/>
  <c r="BL143" i="3"/>
  <c r="AZ143" i="3" s="1"/>
  <c r="BL154" i="3"/>
  <c r="G156" i="3"/>
  <c r="BL161" i="3"/>
  <c r="G162" i="3"/>
  <c r="BL169" i="3"/>
  <c r="BL170" i="3"/>
  <c r="G171" i="3"/>
  <c r="BL179" i="3"/>
  <c r="AZ179" i="3" s="1"/>
  <c r="G180" i="3"/>
  <c r="BA181" i="3"/>
  <c r="BA194" i="3"/>
  <c r="AZ194" i="3" s="1"/>
  <c r="BL194" i="3"/>
  <c r="BA198" i="3"/>
  <c r="BL205" i="3"/>
  <c r="G206" i="3"/>
  <c r="BL206" i="3"/>
  <c r="G21" i="3"/>
  <c r="BL24" i="3"/>
  <c r="G25" i="3"/>
  <c r="G30" i="3"/>
  <c r="G31" i="3"/>
  <c r="G38" i="3"/>
  <c r="BA38" i="3"/>
  <c r="G42" i="3"/>
  <c r="G46" i="3"/>
  <c r="G47" i="3"/>
  <c r="G51" i="3"/>
  <c r="G52" i="3"/>
  <c r="BL52" i="3"/>
  <c r="BL54" i="3"/>
  <c r="BL64" i="3"/>
  <c r="G66" i="3"/>
  <c r="G67" i="3"/>
  <c r="BL76" i="3"/>
  <c r="G78" i="3"/>
  <c r="G82" i="3"/>
  <c r="G83" i="3"/>
  <c r="BA88" i="3"/>
  <c r="BL93" i="3"/>
  <c r="BA97" i="3"/>
  <c r="BL97" i="3"/>
  <c r="G99" i="3"/>
  <c r="BA109" i="3"/>
  <c r="BA110" i="3"/>
  <c r="AZ110" i="3" s="1"/>
  <c r="W27" i="40"/>
  <c r="C31" i="71"/>
  <c r="Y35" i="71"/>
  <c r="Z35" i="71" s="1"/>
  <c r="C51" i="71"/>
  <c r="BA157" i="3"/>
  <c r="BA160" i="3"/>
  <c r="AZ160" i="3" s="1"/>
  <c r="BA168" i="3"/>
  <c r="AZ168" i="3" s="1"/>
  <c r="BL173" i="3"/>
  <c r="AZ173" i="3" s="1"/>
  <c r="BL175" i="3"/>
  <c r="AZ175" i="3" s="1"/>
  <c r="G179" i="3"/>
  <c r="G190" i="3"/>
  <c r="BL193" i="3"/>
  <c r="G194" i="3"/>
  <c r="G196" i="3"/>
  <c r="BA201" i="3"/>
  <c r="G20" i="3"/>
  <c r="BL23" i="3"/>
  <c r="G24" i="3"/>
  <c r="BA30" i="3"/>
  <c r="BA31" i="3"/>
  <c r="BA32" i="3"/>
  <c r="G35" i="3"/>
  <c r="G36" i="3"/>
  <c r="G40" i="3"/>
  <c r="BA42" i="3"/>
  <c r="G45" i="3"/>
  <c r="G54" i="3"/>
  <c r="BL69" i="3"/>
  <c r="AZ69" i="3" s="1"/>
  <c r="BA72" i="3"/>
  <c r="G76" i="3"/>
  <c r="BA77" i="3"/>
  <c r="BL86" i="3"/>
  <c r="BA87" i="3"/>
  <c r="G90" i="3"/>
  <c r="BL96" i="3"/>
  <c r="G106" i="3"/>
  <c r="BL106" i="3"/>
  <c r="BA108" i="3"/>
  <c r="G111" i="3"/>
  <c r="AC21" i="33"/>
  <c r="P27" i="6"/>
  <c r="C78" i="71"/>
  <c r="D78" i="71" s="1"/>
  <c r="N68" i="71"/>
  <c r="AB32" i="71"/>
  <c r="AA35" i="71"/>
  <c r="X38" i="71"/>
  <c r="AA38" i="71"/>
  <c r="B23" i="71"/>
  <c r="B22" i="71" s="1"/>
  <c r="B21" i="71" s="1"/>
  <c r="B20" i="71" s="1"/>
  <c r="BA145" i="3"/>
  <c r="BL146" i="3"/>
  <c r="G147" i="3"/>
  <c r="BA156" i="3"/>
  <c r="AZ156" i="3" s="1"/>
  <c r="BL157" i="3"/>
  <c r="BL159" i="3"/>
  <c r="AZ159" i="3" s="1"/>
  <c r="G160" i="3"/>
  <c r="BL166" i="3"/>
  <c r="BA174" i="3"/>
  <c r="BL181" i="3"/>
  <c r="BL186" i="3"/>
  <c r="G187" i="3"/>
  <c r="BL198" i="3"/>
  <c r="G204" i="3"/>
  <c r="BA22" i="3"/>
  <c r="G28" i="3"/>
  <c r="BL28" i="3"/>
  <c r="BA40" i="3"/>
  <c r="BA41" i="3"/>
  <c r="BA50" i="3"/>
  <c r="BA55" i="3"/>
  <c r="AZ55" i="3" s="1"/>
  <c r="G63" i="3"/>
  <c r="BA64" i="3"/>
  <c r="G80" i="3"/>
  <c r="G85" i="3"/>
  <c r="BL85" i="3"/>
  <c r="BA92" i="3"/>
  <c r="BA95" i="3"/>
  <c r="G96" i="3"/>
  <c r="BL103" i="3"/>
  <c r="G104" i="3"/>
  <c r="X26" i="71"/>
  <c r="Y29" i="71"/>
  <c r="Z29" i="71" s="1"/>
  <c r="X31" i="71"/>
  <c r="X32" i="71"/>
  <c r="Y38" i="71"/>
  <c r="Z38" i="71" s="1"/>
  <c r="B43" i="71"/>
  <c r="B44" i="71" s="1"/>
  <c r="S44" i="71" s="1"/>
  <c r="E47" i="71"/>
  <c r="E48" i="71" s="1"/>
  <c r="U48" i="71" s="1"/>
  <c r="F75" i="71"/>
  <c r="F74" i="71" s="1"/>
  <c r="AC27" i="39"/>
  <c r="AC34" i="21"/>
  <c r="U41" i="21"/>
  <c r="AA38" i="21"/>
  <c r="H113" i="21"/>
  <c r="H37" i="21"/>
  <c r="U37" i="21" s="1"/>
  <c r="F37" i="21"/>
  <c r="AA37" i="21" s="1"/>
  <c r="J37" i="21"/>
  <c r="W37" i="21" s="1"/>
  <c r="AC35" i="21"/>
  <c r="U35" i="21"/>
  <c r="AB32" i="21"/>
  <c r="U23" i="21"/>
  <c r="W19" i="21"/>
  <c r="F79" i="21"/>
  <c r="G79" i="21" s="1"/>
  <c r="J17" i="21"/>
  <c r="AC17" i="21" s="1"/>
  <c r="S17" i="21"/>
  <c r="U17" i="21"/>
  <c r="AA15" i="21"/>
  <c r="J9" i="21"/>
  <c r="AA9" i="21"/>
  <c r="H9" i="21"/>
  <c r="U9" i="21" s="1"/>
  <c r="W26" i="21"/>
  <c r="AC23" i="21"/>
  <c r="AC21" i="21"/>
  <c r="AC15" i="21"/>
  <c r="AB30" i="21"/>
  <c r="AB34" i="21"/>
  <c r="AB45" i="21"/>
  <c r="AB44" i="21"/>
  <c r="U43" i="21"/>
  <c r="AB38" i="21"/>
  <c r="S19" i="21"/>
  <c r="AA42" i="21"/>
  <c r="S37" i="21"/>
  <c r="AA36" i="21"/>
  <c r="U31" i="35"/>
  <c r="AC30" i="35"/>
  <c r="F66" i="35"/>
  <c r="G66" i="35" s="1"/>
  <c r="H16" i="35"/>
  <c r="J16" i="35"/>
  <c r="AC16" i="35" s="1"/>
  <c r="F14" i="35"/>
  <c r="J14" i="35"/>
  <c r="W29" i="35"/>
  <c r="W18" i="35"/>
  <c r="AC27" i="35"/>
  <c r="U14" i="35"/>
  <c r="AB13" i="35"/>
  <c r="AA11" i="35"/>
  <c r="AA33" i="35"/>
  <c r="AC31" i="35"/>
  <c r="AB20" i="35"/>
  <c r="AC20" i="35"/>
  <c r="AA16" i="35"/>
  <c r="AC9" i="35"/>
  <c r="S25" i="39"/>
  <c r="U42" i="39"/>
  <c r="J43" i="39"/>
  <c r="W43" i="39" s="1"/>
  <c r="H43" i="39"/>
  <c r="AB43" i="39" s="1"/>
  <c r="F43" i="39"/>
  <c r="S43" i="39" s="1"/>
  <c r="U44" i="39"/>
  <c r="S44" i="39"/>
  <c r="S45" i="39"/>
  <c r="S40" i="39"/>
  <c r="U19" i="39"/>
  <c r="U21" i="39"/>
  <c r="S21" i="39"/>
  <c r="AB29" i="39"/>
  <c r="U14" i="39"/>
  <c r="S11" i="39"/>
  <c r="W10" i="39"/>
  <c r="K6" i="1"/>
  <c r="G1" i="67"/>
  <c r="G1" i="69"/>
  <c r="G1" i="68"/>
  <c r="G1" i="15"/>
  <c r="K8" i="1"/>
  <c r="M8" i="1" s="1"/>
  <c r="K1" i="12"/>
  <c r="K7" i="1"/>
  <c r="M7" i="1" s="1"/>
  <c r="O7" i="1" s="1"/>
  <c r="P7" i="1" s="1"/>
  <c r="BH5" i="3"/>
  <c r="BD5" i="3"/>
  <c r="BG5" i="3"/>
  <c r="BP5" i="3"/>
  <c r="G29" i="6" s="1"/>
  <c r="BS5" i="3"/>
  <c r="J1" i="73"/>
  <c r="B58" i="43"/>
  <c r="AB34" i="35"/>
  <c r="U34" i="35"/>
  <c r="AB15" i="21"/>
  <c r="S23" i="37"/>
  <c r="AA23" i="37"/>
  <c r="S20" i="35"/>
  <c r="AC27" i="33"/>
  <c r="AA23" i="21"/>
  <c r="AB35" i="37"/>
  <c r="AA41" i="40"/>
  <c r="S41" i="40"/>
  <c r="AC33" i="34"/>
  <c r="W33" i="34"/>
  <c r="AZ494" i="3"/>
  <c r="BL587" i="3"/>
  <c r="BA587" i="3"/>
  <c r="AB33" i="33"/>
  <c r="U33" i="33"/>
  <c r="J9" i="33"/>
  <c r="H9" i="33"/>
  <c r="J30" i="33"/>
  <c r="H30" i="33"/>
  <c r="H46" i="33"/>
  <c r="J46" i="33"/>
  <c r="F13" i="35"/>
  <c r="J13" i="35"/>
  <c r="AB11" i="39"/>
  <c r="U11" i="39"/>
  <c r="BA563" i="3"/>
  <c r="AZ563" i="3" s="1"/>
  <c r="BA562" i="3"/>
  <c r="BL561" i="3"/>
  <c r="AZ561" i="3" s="1"/>
  <c r="BA556" i="3"/>
  <c r="AZ556" i="3" s="1"/>
  <c r="BA553" i="3"/>
  <c r="AZ553" i="3" s="1"/>
  <c r="BL552" i="3"/>
  <c r="BA552" i="3"/>
  <c r="BL546" i="3"/>
  <c r="BA544" i="3"/>
  <c r="AZ544" i="3" s="1"/>
  <c r="BA543" i="3"/>
  <c r="AZ543" i="3" s="1"/>
  <c r="BA540" i="3"/>
  <c r="AZ540" i="3" s="1"/>
  <c r="BA535" i="3"/>
  <c r="AZ535" i="3" s="1"/>
  <c r="BL533" i="3"/>
  <c r="AZ533" i="3" s="1"/>
  <c r="BL530" i="3"/>
  <c r="AZ530" i="3" s="1"/>
  <c r="BA527" i="3"/>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U13" i="37"/>
  <c r="AZ311" i="3"/>
  <c r="AZ364" i="3"/>
  <c r="AZ329" i="3"/>
  <c r="AZ566" i="3"/>
  <c r="AZ502" i="3"/>
  <c r="H31" i="21"/>
  <c r="J46" i="21"/>
  <c r="F46" i="21"/>
  <c r="B101" i="43"/>
  <c r="B79" i="43"/>
  <c r="C27" i="39"/>
  <c r="AC33" i="33"/>
  <c r="W33" i="33"/>
  <c r="F28" i="34"/>
  <c r="J28" i="34"/>
  <c r="J9" i="36"/>
  <c r="U12" i="36"/>
  <c r="H33" i="39"/>
  <c r="F33" i="39"/>
  <c r="J33" i="39"/>
  <c r="S11" i="40"/>
  <c r="AA11" i="40"/>
  <c r="AC34" i="40"/>
  <c r="W34" i="40"/>
  <c r="BL568" i="3"/>
  <c r="AZ406" i="3"/>
  <c r="AZ391" i="3"/>
  <c r="AZ313" i="3"/>
  <c r="AZ394" i="3"/>
  <c r="AA13" i="33"/>
  <c r="AZ511" i="3"/>
  <c r="AZ531" i="3"/>
  <c r="AZ513" i="3"/>
  <c r="AZ537" i="3"/>
  <c r="AZ568" i="3"/>
  <c r="AA14" i="33"/>
  <c r="F45" i="34"/>
  <c r="J29" i="34"/>
  <c r="F46" i="33"/>
  <c r="AC11" i="35"/>
  <c r="G587" i="3"/>
  <c r="F9" i="33"/>
  <c r="AA9" i="33" s="1"/>
  <c r="AC28" i="35"/>
  <c r="W28" i="35"/>
  <c r="J23" i="35"/>
  <c r="H23" i="35"/>
  <c r="F13" i="36"/>
  <c r="H13" i="36"/>
  <c r="H25" i="36"/>
  <c r="J25" i="36"/>
  <c r="F32" i="36"/>
  <c r="H32" i="36"/>
  <c r="J32" i="36"/>
  <c r="W32" i="36" s="1"/>
  <c r="H46" i="39"/>
  <c r="F46" i="39"/>
  <c r="J46" i="39"/>
  <c r="H38" i="39"/>
  <c r="J38" i="39"/>
  <c r="AC38" i="39" s="1"/>
  <c r="BL584" i="3"/>
  <c r="AZ584" i="3" s="1"/>
  <c r="BA579" i="3"/>
  <c r="AZ579" i="3" s="1"/>
  <c r="BA578" i="3"/>
  <c r="BL575" i="3"/>
  <c r="AZ575" i="3" s="1"/>
  <c r="BA571" i="3"/>
  <c r="AZ571" i="3" s="1"/>
  <c r="BL570" i="3"/>
  <c r="BA570" i="3"/>
  <c r="G570" i="3"/>
  <c r="S17" i="37"/>
  <c r="AA31" i="37"/>
  <c r="AB41" i="34"/>
  <c r="U16" i="39"/>
  <c r="AC34" i="33"/>
  <c r="AC13" i="34"/>
  <c r="AZ379" i="3"/>
  <c r="AZ322" i="3"/>
  <c r="AZ372" i="3"/>
  <c r="AZ347" i="3"/>
  <c r="AZ337" i="3"/>
  <c r="AZ376" i="3"/>
  <c r="AZ309" i="3"/>
  <c r="W37" i="40"/>
  <c r="AB35" i="40"/>
  <c r="AZ577" i="3"/>
  <c r="AZ529" i="3"/>
  <c r="AZ565" i="3"/>
  <c r="AZ526" i="3"/>
  <c r="AZ546" i="3"/>
  <c r="AZ572" i="3"/>
  <c r="W31" i="34"/>
  <c r="F27" i="37"/>
  <c r="H45" i="34"/>
  <c r="W13" i="40"/>
  <c r="AC13" i="40"/>
  <c r="AA26" i="33"/>
  <c r="S26" i="33"/>
  <c r="AB34" i="34"/>
  <c r="U34" i="34"/>
  <c r="J12" i="33"/>
  <c r="F29" i="33"/>
  <c r="J29" i="33"/>
  <c r="F45" i="33"/>
  <c r="H45" i="33"/>
  <c r="H35" i="35"/>
  <c r="U35" i="35" s="1"/>
  <c r="J35" i="35"/>
  <c r="AA27" i="35"/>
  <c r="S27" i="35"/>
  <c r="H23" i="36"/>
  <c r="J23" i="36"/>
  <c r="AC31" i="37"/>
  <c r="W31" i="37"/>
  <c r="AB40" i="40"/>
  <c r="U40" i="40"/>
  <c r="G551" i="3"/>
  <c r="BL550" i="3"/>
  <c r="G542" i="3"/>
  <c r="BL410" i="3"/>
  <c r="G412" i="3"/>
  <c r="AZ419" i="3"/>
  <c r="BL503" i="3"/>
  <c r="AZ503" i="3" s="1"/>
  <c r="BL515" i="3"/>
  <c r="AZ515" i="3" s="1"/>
  <c r="BL523" i="3"/>
  <c r="AZ523" i="3" s="1"/>
  <c r="BL527" i="3"/>
  <c r="BL547" i="3"/>
  <c r="AZ547" i="3" s="1"/>
  <c r="BL569" i="3"/>
  <c r="AZ569" i="3" s="1"/>
  <c r="BL557" i="3"/>
  <c r="AZ557" i="3" s="1"/>
  <c r="AB42" i="34"/>
  <c r="S36" i="39"/>
  <c r="BL585" i="3"/>
  <c r="AZ585" i="3" s="1"/>
  <c r="G574" i="3"/>
  <c r="BL16" i="3"/>
  <c r="AZ16" i="3" s="1"/>
  <c r="G399" i="3"/>
  <c r="BL400" i="3"/>
  <c r="AZ400" i="3" s="1"/>
  <c r="BL408" i="3"/>
  <c r="BL413" i="3"/>
  <c r="AZ413" i="3" s="1"/>
  <c r="G416" i="3"/>
  <c r="BL417" i="3"/>
  <c r="BL418" i="3"/>
  <c r="BL420" i="3"/>
  <c r="AZ420" i="3" s="1"/>
  <c r="G423" i="3"/>
  <c r="BL424" i="3"/>
  <c r="G427" i="3"/>
  <c r="BL428" i="3"/>
  <c r="BL429" i="3"/>
  <c r="BL432" i="3"/>
  <c r="BL435" i="3"/>
  <c r="BL436" i="3"/>
  <c r="BA438" i="3"/>
  <c r="G443" i="3"/>
  <c r="AZ462" i="3"/>
  <c r="J29" i="39"/>
  <c r="W29" i="39" s="1"/>
  <c r="H9" i="34"/>
  <c r="F12" i="34"/>
  <c r="S12" i="34" s="1"/>
  <c r="BA551" i="3"/>
  <c r="AZ551" i="3" s="1"/>
  <c r="BA550" i="3"/>
  <c r="BL548" i="3"/>
  <c r="AZ548" i="3" s="1"/>
  <c r="BL398" i="3"/>
  <c r="G402" i="3"/>
  <c r="BL403" i="3"/>
  <c r="AZ403" i="3" s="1"/>
  <c r="G406" i="3"/>
  <c r="BA408" i="3"/>
  <c r="AZ408" i="3" s="1"/>
  <c r="BA409" i="3"/>
  <c r="AZ409" i="3" s="1"/>
  <c r="BA411" i="3"/>
  <c r="AZ411" i="3" s="1"/>
  <c r="BL414" i="3"/>
  <c r="BL415" i="3"/>
  <c r="BA417" i="3"/>
  <c r="BL421" i="3"/>
  <c r="BL422" i="3"/>
  <c r="AZ422" i="3" s="1"/>
  <c r="BL425" i="3"/>
  <c r="BL426" i="3"/>
  <c r="AZ426" i="3" s="1"/>
  <c r="BA428" i="3"/>
  <c r="BA429" i="3"/>
  <c r="AZ429" i="3" s="1"/>
  <c r="BA430" i="3"/>
  <c r="AZ430" i="3" s="1"/>
  <c r="BA432" i="3"/>
  <c r="BA434" i="3"/>
  <c r="BA436" i="3"/>
  <c r="BL445" i="3"/>
  <c r="BL446" i="3"/>
  <c r="AZ446" i="3" s="1"/>
  <c r="BA450" i="3"/>
  <c r="AZ476" i="3"/>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G438" i="3"/>
  <c r="BL438" i="3"/>
  <c r="BL439" i="3"/>
  <c r="BA441" i="3"/>
  <c r="BA445" i="3"/>
  <c r="BL447" i="3"/>
  <c r="BL452" i="3"/>
  <c r="BL456" i="3"/>
  <c r="AZ456"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G279" i="3"/>
  <c r="BA447" i="3"/>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BL210" i="3"/>
  <c r="BL212" i="3"/>
  <c r="AZ212" i="3" s="1"/>
  <c r="BL214" i="3"/>
  <c r="AZ214" i="3" s="1"/>
  <c r="BL225" i="3"/>
  <c r="BL226" i="3"/>
  <c r="BA239" i="3"/>
  <c r="BL239" i="3"/>
  <c r="BA241" i="3"/>
  <c r="BL241" i="3"/>
  <c r="BA244" i="3"/>
  <c r="BL244" i="3"/>
  <c r="BA246" i="3"/>
  <c r="BA252" i="3"/>
  <c r="AZ252" i="3" s="1"/>
  <c r="BA254" i="3"/>
  <c r="AZ254" i="3" s="1"/>
  <c r="BA256" i="3"/>
  <c r="BL256" i="3"/>
  <c r="BA258" i="3"/>
  <c r="BL264" i="3"/>
  <c r="BL266" i="3"/>
  <c r="BA268" i="3"/>
  <c r="BA271" i="3"/>
  <c r="BL271" i="3"/>
  <c r="BA273" i="3"/>
  <c r="BA279" i="3"/>
  <c r="BA283" i="3"/>
  <c r="BA453" i="3"/>
  <c r="BL461" i="3"/>
  <c r="BL463" i="3"/>
  <c r="AZ487" i="3"/>
  <c r="BA388" i="3"/>
  <c r="AZ388" i="3" s="1"/>
  <c r="BA396" i="3"/>
  <c r="BA209" i="3"/>
  <c r="BL217" i="3"/>
  <c r="AZ217" i="3" s="1"/>
  <c r="BA219" i="3"/>
  <c r="AZ219" i="3" s="1"/>
  <c r="BA221" i="3"/>
  <c r="BA223" i="3"/>
  <c r="AZ223" i="3" s="1"/>
  <c r="BL228" i="3"/>
  <c r="AZ228" i="3" s="1"/>
  <c r="BA230" i="3"/>
  <c r="BL232" i="3"/>
  <c r="BL234" i="3"/>
  <c r="BA236" i="3"/>
  <c r="AZ236" i="3" s="1"/>
  <c r="BA238" i="3"/>
  <c r="AZ238" i="3" s="1"/>
  <c r="BA243" i="3"/>
  <c r="AZ243" i="3" s="1"/>
  <c r="BL248" i="3"/>
  <c r="AZ248" i="3" s="1"/>
  <c r="G250" i="3"/>
  <c r="BL250" i="3"/>
  <c r="AZ250" i="3" s="1"/>
  <c r="G252" i="3"/>
  <c r="BA259" i="3"/>
  <c r="AZ259" i="3" s="1"/>
  <c r="BL261" i="3"/>
  <c r="BA263" i="3"/>
  <c r="AZ263" i="3" s="1"/>
  <c r="BA267" i="3"/>
  <c r="AZ267"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AZ464" i="3" s="1"/>
  <c r="BL466" i="3"/>
  <c r="AZ466" i="3" s="1"/>
  <c r="G468" i="3"/>
  <c r="G469" i="3"/>
  <c r="BL476" i="3"/>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AZ276" i="3" s="1"/>
  <c r="BA278" i="3"/>
  <c r="AZ278" i="3" s="1"/>
  <c r="BA281" i="3"/>
  <c r="BA286" i="3"/>
  <c r="AZ286" i="3" s="1"/>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7" i="3"/>
  <c r="BA28" i="3"/>
  <c r="AZ28" i="3" s="1"/>
  <c r="AZ64" i="3"/>
  <c r="BA86" i="3"/>
  <c r="AZ86" i="3" s="1"/>
  <c r="P65" i="71"/>
  <c r="P66" i="71"/>
  <c r="V24" i="71"/>
  <c r="E23" i="71"/>
  <c r="E22" i="71" s="1"/>
  <c r="E21" i="71" s="1"/>
  <c r="E20" i="71" s="1"/>
  <c r="E19" i="71" s="1"/>
  <c r="E18" i="71" s="1"/>
  <c r="E17" i="71" s="1"/>
  <c r="E16" i="71" s="1"/>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AZ40" i="3" s="1"/>
  <c r="BL41" i="3"/>
  <c r="AZ41" i="3" s="1"/>
  <c r="BL45" i="3"/>
  <c r="BA48" i="3"/>
  <c r="BA49" i="3"/>
  <c r="BA51" i="3"/>
  <c r="G55" i="3"/>
  <c r="BL56" i="3"/>
  <c r="BA58" i="3"/>
  <c r="BL59" i="3"/>
  <c r="AZ59" i="3" s="1"/>
  <c r="BL60" i="3"/>
  <c r="BA61" i="3"/>
  <c r="AZ61" i="3" s="1"/>
  <c r="BA68" i="3"/>
  <c r="BA71" i="3"/>
  <c r="BA80" i="3"/>
  <c r="BL84" i="3"/>
  <c r="T40" i="71"/>
  <c r="D40" i="71"/>
  <c r="BL177" i="3"/>
  <c r="AZ177" i="3" s="1"/>
  <c r="BL183" i="3"/>
  <c r="AZ183" i="3" s="1"/>
  <c r="BA186" i="3"/>
  <c r="AZ186" i="3" s="1"/>
  <c r="BA190" i="3"/>
  <c r="BA197" i="3"/>
  <c r="AZ197" i="3" s="1"/>
  <c r="BL201" i="3"/>
  <c r="AZ201" i="3" s="1"/>
  <c r="BL203" i="3"/>
  <c r="AZ203" i="3" s="1"/>
  <c r="BA204" i="3"/>
  <c r="AZ204" i="3" s="1"/>
  <c r="BL21" i="3"/>
  <c r="G23" i="3"/>
  <c r="G29" i="3"/>
  <c r="BL29" i="3"/>
  <c r="G33" i="3"/>
  <c r="G34" i="3"/>
  <c r="BA37" i="3"/>
  <c r="G39" i="3"/>
  <c r="BL39" i="3"/>
  <c r="G43" i="3"/>
  <c r="G44" i="3"/>
  <c r="BA45" i="3"/>
  <c r="BA46" i="3"/>
  <c r="BL49" i="3"/>
  <c r="BL50" i="3"/>
  <c r="AZ50" i="3" s="1"/>
  <c r="BL51" i="3"/>
  <c r="G53" i="3"/>
  <c r="BL53" i="3"/>
  <c r="BA56" i="3"/>
  <c r="AZ56" i="3" s="1"/>
  <c r="BA57" i="3"/>
  <c r="BL58" i="3"/>
  <c r="G60" i="3"/>
  <c r="BA60" i="3"/>
  <c r="AZ60" i="3" s="1"/>
  <c r="BA63" i="3"/>
  <c r="BA66" i="3"/>
  <c r="BL73" i="3"/>
  <c r="BA74" i="3"/>
  <c r="AZ74" i="3" s="1"/>
  <c r="BA75" i="3"/>
  <c r="C32" i="71"/>
  <c r="D31" i="71"/>
  <c r="D46" i="71"/>
  <c r="C47" i="71"/>
  <c r="D47" i="71" s="1"/>
  <c r="C52" i="71"/>
  <c r="D51" i="71"/>
  <c r="C64" i="71"/>
  <c r="D64" i="71" s="1"/>
  <c r="D63" i="71"/>
  <c r="N67" i="71"/>
  <c r="B66" i="71"/>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AZ185" i="3" s="1"/>
  <c r="BL191" i="3"/>
  <c r="AZ191" i="3" s="1"/>
  <c r="BA193" i="3"/>
  <c r="BA196" i="3"/>
  <c r="AZ196" i="3" s="1"/>
  <c r="G203" i="3"/>
  <c r="BA205" i="3"/>
  <c r="BL20" i="3"/>
  <c r="BA21" i="3"/>
  <c r="BA25" i="3"/>
  <c r="AZ25" i="3" s="1"/>
  <c r="BA26" i="3"/>
  <c r="BA29" i="3"/>
  <c r="BA36" i="3"/>
  <c r="BL38" i="3"/>
  <c r="AZ38" i="3" s="1"/>
  <c r="BA39" i="3"/>
  <c r="BL47" i="3"/>
  <c r="AZ47" i="3" s="1"/>
  <c r="G49" i="3"/>
  <c r="BA52" i="3"/>
  <c r="AZ52" i="3" s="1"/>
  <c r="BA53" i="3"/>
  <c r="BA54" i="3"/>
  <c r="BL57" i="3"/>
  <c r="G62" i="3"/>
  <c r="BL62" i="3"/>
  <c r="AZ62" i="3" s="1"/>
  <c r="BL63" i="3"/>
  <c r="G65" i="3"/>
  <c r="BL65" i="3"/>
  <c r="AZ65" i="3" s="1"/>
  <c r="BL66" i="3"/>
  <c r="BL67" i="3"/>
  <c r="AZ67" i="3" s="1"/>
  <c r="G69" i="3"/>
  <c r="G71" i="3"/>
  <c r="BA73" i="3"/>
  <c r="BL77" i="3"/>
  <c r="AZ77" i="3" s="1"/>
  <c r="BA79" i="3"/>
  <c r="AZ79" i="3" s="1"/>
  <c r="C55" i="71"/>
  <c r="D54" i="71"/>
  <c r="BA89" i="3"/>
  <c r="G103" i="3"/>
  <c r="BA103" i="3"/>
  <c r="AZ103" i="3" s="1"/>
  <c r="BA104" i="3"/>
  <c r="BA106" i="3"/>
  <c r="BL108" i="3"/>
  <c r="AZ108" i="3" s="1"/>
  <c r="G110" i="3"/>
  <c r="BL111" i="3"/>
  <c r="AB21" i="33"/>
  <c r="B68" i="43"/>
  <c r="B88" i="43"/>
  <c r="D39" i="71"/>
  <c r="C74" i="71"/>
  <c r="D74" i="71" s="1"/>
  <c r="AA3" i="71"/>
  <c r="C27" i="71"/>
  <c r="D62" i="71"/>
  <c r="U68" i="71"/>
  <c r="D30" i="71"/>
  <c r="Y27" i="71"/>
  <c r="Z27" i="71" s="1"/>
  <c r="AA34" i="71"/>
  <c r="AB35" i="71"/>
  <c r="B51" i="71"/>
  <c r="B52" i="71" s="1"/>
  <c r="S52" i="71" s="1"/>
  <c r="B71" i="71"/>
  <c r="B70" i="71" s="1"/>
  <c r="BA84" i="3"/>
  <c r="BL88" i="3"/>
  <c r="AZ88" i="3" s="1"/>
  <c r="BL90" i="3"/>
  <c r="BL92" i="3"/>
  <c r="AZ92" i="3" s="1"/>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S18" i="36"/>
  <c r="B77" i="43"/>
  <c r="AA18" i="35"/>
  <c r="O66" i="71"/>
  <c r="AA28" i="71"/>
  <c r="AB27" i="71"/>
  <c r="C87" i="71"/>
  <c r="AB25" i="71"/>
  <c r="C43" i="71"/>
  <c r="C35" i="71"/>
  <c r="X33" i="71"/>
  <c r="AB37" i="71"/>
  <c r="X28"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J56" i="81"/>
  <c r="F48" i="68"/>
  <c r="C48" i="68" s="1"/>
  <c r="C22" i="68"/>
  <c r="C40" i="11"/>
  <c r="E19" i="69"/>
  <c r="C7" i="21"/>
  <c r="E7" i="21" s="1"/>
  <c r="G7" i="21" s="1"/>
  <c r="I7"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67" i="3"/>
  <c r="AZ468" i="3"/>
  <c r="AZ470" i="3"/>
  <c r="W37" i="39"/>
  <c r="F27" i="34"/>
  <c r="C23" i="39"/>
  <c r="U9" i="36"/>
  <c r="U14" i="37"/>
  <c r="H12" i="21"/>
  <c r="G526" i="3"/>
  <c r="AZ424" i="3"/>
  <c r="AZ434" i="3"/>
  <c r="AZ436" i="3"/>
  <c r="AZ438" i="3"/>
  <c r="AZ450" i="3"/>
  <c r="G28" i="6"/>
  <c r="U26" i="21"/>
  <c r="W38" i="39"/>
  <c r="U25" i="40"/>
  <c r="AA39" i="37"/>
  <c r="AC16" i="36"/>
  <c r="AB12" i="33"/>
  <c r="C29" i="39"/>
  <c r="U42" i="40"/>
  <c r="AC11" i="40"/>
  <c r="W36" i="35"/>
  <c r="J12" i="21"/>
  <c r="B73" i="43"/>
  <c r="B76" i="43"/>
  <c r="F9" i="36"/>
  <c r="J42" i="40"/>
  <c r="G562" i="3"/>
  <c r="AZ463" i="3"/>
  <c r="AZ489" i="3"/>
  <c r="AZ385"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M6" i="1"/>
  <c r="C19" i="82" s="1"/>
  <c r="T13" i="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B13" i="70"/>
  <c r="D9" i="69"/>
  <c r="D15" i="80"/>
  <c r="D21" i="12"/>
  <c r="D15" i="68"/>
  <c r="K11" i="68" s="1"/>
  <c r="M25" i="81"/>
  <c r="M8" i="81"/>
  <c r="F34" i="81"/>
  <c r="F23" i="81"/>
  <c r="M28" i="67"/>
  <c r="F42" i="67"/>
  <c r="D7" i="73"/>
  <c r="F36" i="67"/>
  <c r="L48" i="67"/>
  <c r="M6" i="67"/>
  <c r="M9" i="67"/>
  <c r="M8" i="15"/>
  <c r="M32" i="81"/>
  <c r="F6" i="81"/>
  <c r="M23" i="81"/>
  <c r="M22" i="15"/>
  <c r="C83" i="81"/>
  <c r="M22" i="67"/>
  <c r="M28" i="15"/>
  <c r="M9" i="15"/>
  <c r="F48" i="81"/>
  <c r="F9" i="15"/>
  <c r="D6" i="73"/>
  <c r="F21" i="81"/>
  <c r="C18" i="81"/>
  <c r="F6" i="15"/>
  <c r="F26" i="67"/>
  <c r="F7" i="67"/>
  <c r="M6" i="15"/>
  <c r="F23" i="15"/>
  <c r="F37" i="67"/>
  <c r="F22" i="81"/>
  <c r="F29" i="15"/>
  <c r="F27" i="15"/>
  <c r="M23" i="15"/>
  <c r="F29" i="81"/>
  <c r="F22" i="15"/>
  <c r="D3" i="73"/>
  <c r="M8" i="67"/>
  <c r="D5" i="73"/>
  <c r="M27" i="81"/>
  <c r="F9" i="81"/>
  <c r="F27" i="81"/>
  <c r="M25" i="15"/>
  <c r="F44" i="15"/>
  <c r="F6" i="67"/>
  <c r="M9" i="81"/>
  <c r="F44" i="81"/>
  <c r="L52" i="15"/>
  <c r="F8" i="67"/>
  <c r="L53" i="15"/>
  <c r="F34" i="15"/>
  <c r="F43" i="67"/>
  <c r="M29" i="67"/>
  <c r="F48" i="15"/>
  <c r="F7" i="15"/>
  <c r="J15" i="67"/>
  <c r="F8" i="81"/>
  <c r="M28" i="81"/>
  <c r="D4" i="73"/>
  <c r="C83" i="15"/>
  <c r="L47" i="67"/>
  <c r="M22" i="81"/>
  <c r="F16" i="67"/>
  <c r="F21" i="15"/>
  <c r="F38" i="67"/>
  <c r="F25" i="81"/>
  <c r="M26" i="67"/>
  <c r="L52" i="81"/>
  <c r="F40" i="67"/>
  <c r="C76" i="67"/>
  <c r="M24" i="67"/>
  <c r="L53" i="81"/>
  <c r="M32" i="15"/>
  <c r="M23" i="67"/>
  <c r="M21" i="81"/>
  <c r="F25" i="15"/>
  <c r="F13" i="67"/>
  <c r="M27" i="15"/>
  <c r="F8" i="15"/>
  <c r="M6" i="81"/>
  <c r="F7" i="81"/>
  <c r="M21" i="15"/>
  <c r="F9" i="67"/>
  <c r="G30" i="6" l="1"/>
  <c r="G31" i="6" s="1"/>
  <c r="E29" i="6"/>
  <c r="K15" i="1" s="1"/>
  <c r="U26" i="33"/>
  <c r="AB26" i="33"/>
  <c r="S13" i="37"/>
  <c r="AA13" i="37"/>
  <c r="AB28" i="33"/>
  <c r="U28" i="33"/>
  <c r="AB45" i="39"/>
  <c r="U45" i="39"/>
  <c r="S46" i="34"/>
  <c r="AA46" i="34"/>
  <c r="W28" i="33"/>
  <c r="AC28" i="33"/>
  <c r="C58" i="21"/>
  <c r="D58" i="21" s="1"/>
  <c r="AZ37" i="3"/>
  <c r="AZ486" i="3"/>
  <c r="AZ481" i="3"/>
  <c r="V20" i="71"/>
  <c r="AZ368" i="3"/>
  <c r="AZ249" i="3"/>
  <c r="AB24" i="36"/>
  <c r="U24" i="36"/>
  <c r="W13" i="37"/>
  <c r="AC13" i="37"/>
  <c r="W45" i="39"/>
  <c r="AC45" i="39"/>
  <c r="W46" i="34"/>
  <c r="AC46" i="34"/>
  <c r="AA28" i="33"/>
  <c r="S28" i="33"/>
  <c r="B20" i="31"/>
  <c r="B21" i="31" s="1"/>
  <c r="AZ113" i="3"/>
  <c r="AZ264" i="3"/>
  <c r="AZ454" i="3"/>
  <c r="S35" i="21"/>
  <c r="AA45" i="21"/>
  <c r="S45" i="21"/>
  <c r="S30" i="34"/>
  <c r="AA30" i="34"/>
  <c r="AB27" i="34"/>
  <c r="U27" i="34"/>
  <c r="S29" i="35"/>
  <c r="AA29" i="35"/>
  <c r="AB39" i="37"/>
  <c r="U39" i="37"/>
  <c r="AA24" i="36"/>
  <c r="S24" i="36"/>
  <c r="AC28" i="37"/>
  <c r="W28" i="37"/>
  <c r="S38" i="37"/>
  <c r="AA38" i="37"/>
  <c r="J7" i="36"/>
  <c r="AZ300" i="3"/>
  <c r="AZ292" i="3"/>
  <c r="AZ261" i="3"/>
  <c r="AZ205" i="3"/>
  <c r="AZ45" i="3"/>
  <c r="AZ284" i="3"/>
  <c r="AZ224" i="3"/>
  <c r="AZ230" i="3"/>
  <c r="AZ256" i="3"/>
  <c r="AZ447" i="3"/>
  <c r="AZ418" i="3"/>
  <c r="AZ402" i="3"/>
  <c r="W45" i="21"/>
  <c r="AC45" i="21"/>
  <c r="S30" i="21"/>
  <c r="AA30" i="21"/>
  <c r="AA28" i="37"/>
  <c r="S28" i="37"/>
  <c r="S14" i="39"/>
  <c r="AA14" i="39"/>
  <c r="AC39" i="37"/>
  <c r="W39" i="37"/>
  <c r="AC24" i="36"/>
  <c r="W24" i="36"/>
  <c r="AB33" i="36"/>
  <c r="U33" i="36"/>
  <c r="U30" i="34"/>
  <c r="AB30" i="34"/>
  <c r="W26" i="33"/>
  <c r="AC26" i="33"/>
  <c r="AZ453" i="3"/>
  <c r="AZ157" i="3"/>
  <c r="AZ198" i="3"/>
  <c r="AA40" i="40"/>
  <c r="S40" i="40"/>
  <c r="AC39" i="39"/>
  <c r="W39" i="39"/>
  <c r="U41" i="40"/>
  <c r="AB41" i="40"/>
  <c r="U13" i="39"/>
  <c r="AB13" i="39"/>
  <c r="W12" i="34"/>
  <c r="AC12" i="34"/>
  <c r="AZ83" i="3"/>
  <c r="AZ84" i="3"/>
  <c r="AZ53" i="3"/>
  <c r="AZ39" i="3"/>
  <c r="AZ294" i="3"/>
  <c r="AZ63" i="3"/>
  <c r="AZ57" i="3"/>
  <c r="AZ190" i="3"/>
  <c r="AZ137" i="3"/>
  <c r="AZ297" i="3"/>
  <c r="AZ570" i="3"/>
  <c r="AZ527" i="3"/>
  <c r="AZ552" i="3"/>
  <c r="B19" i="71"/>
  <c r="B18" i="71" s="1"/>
  <c r="B17" i="71" s="1"/>
  <c r="B16" i="71" s="1"/>
  <c r="S20" i="71"/>
  <c r="AZ97" i="3"/>
  <c r="AZ277" i="3"/>
  <c r="AZ247" i="3"/>
  <c r="AZ469" i="3"/>
  <c r="AZ274" i="3"/>
  <c r="AZ353" i="3"/>
  <c r="AC40" i="40"/>
  <c r="W40" i="40"/>
  <c r="AZ586" i="3"/>
  <c r="W41" i="40"/>
  <c r="AC41" i="40"/>
  <c r="AB14" i="40"/>
  <c r="U14" i="40"/>
  <c r="AC14" i="40"/>
  <c r="W14" i="40"/>
  <c r="C48" i="35"/>
  <c r="D48" i="35" s="1"/>
  <c r="E48" i="35" s="1"/>
  <c r="E7" i="35"/>
  <c r="G7" i="35" s="1"/>
  <c r="I7" i="35" s="1"/>
  <c r="AZ27" i="3"/>
  <c r="AZ241" i="3"/>
  <c r="AZ210" i="3"/>
  <c r="AZ332" i="3"/>
  <c r="AZ428" i="3"/>
  <c r="AZ181" i="3"/>
  <c r="AZ251" i="3"/>
  <c r="AZ218" i="3"/>
  <c r="AZ451" i="3"/>
  <c r="AZ121" i="3"/>
  <c r="AA39" i="39"/>
  <c r="S39" i="39"/>
  <c r="U12" i="34"/>
  <c r="AB12" i="34"/>
  <c r="W17" i="21"/>
  <c r="AB9" i="21"/>
  <c r="AC9" i="21"/>
  <c r="W9" i="21"/>
  <c r="U16" i="35"/>
  <c r="AB16" i="35"/>
  <c r="W16" i="35"/>
  <c r="W14" i="35"/>
  <c r="AC14" i="35"/>
  <c r="AA14" i="35"/>
  <c r="S14" i="35"/>
  <c r="AC43" i="39"/>
  <c r="AC17" i="39"/>
  <c r="U43" i="39"/>
  <c r="AC29" i="39"/>
  <c r="F75" i="15"/>
  <c r="F73" i="15"/>
  <c r="C7" i="15"/>
  <c r="C9" i="15" s="1"/>
  <c r="M7" i="15"/>
  <c r="J7" i="15" s="1"/>
  <c r="J9" i="15" s="1"/>
  <c r="F55" i="15"/>
  <c r="F79" i="15"/>
  <c r="C45" i="15"/>
  <c r="F56" i="15"/>
  <c r="N64" i="15"/>
  <c r="Q78" i="15"/>
  <c r="F70" i="15"/>
  <c r="F72" i="15"/>
  <c r="F64" i="67"/>
  <c r="F68" i="67"/>
  <c r="M7" i="67"/>
  <c r="J6" i="67" s="1"/>
  <c r="F50" i="67"/>
  <c r="F71" i="67"/>
  <c r="F65" i="67"/>
  <c r="Q16" i="1"/>
  <c r="F27" i="69" s="1"/>
  <c r="F45" i="69" s="1"/>
  <c r="H16" i="1"/>
  <c r="E12" i="6"/>
  <c r="E59" i="40" s="1"/>
  <c r="C27" i="67"/>
  <c r="F66" i="67"/>
  <c r="C6" i="67"/>
  <c r="F31" i="67"/>
  <c r="F51" i="67"/>
  <c r="Q71" i="67"/>
  <c r="N59" i="67"/>
  <c r="L59" i="67"/>
  <c r="Q61" i="67" s="1"/>
  <c r="C44" i="71"/>
  <c r="D43" i="71"/>
  <c r="AZ75" i="3"/>
  <c r="AZ273" i="3"/>
  <c r="AZ441" i="3"/>
  <c r="U9" i="34"/>
  <c r="AB9" i="34"/>
  <c r="AB23" i="36"/>
  <c r="U23" i="36"/>
  <c r="S29" i="33"/>
  <c r="AA29" i="33"/>
  <c r="U45" i="34"/>
  <c r="AB45" i="34"/>
  <c r="AB38" i="39"/>
  <c r="U38" i="39"/>
  <c r="AB25" i="36"/>
  <c r="U25" i="36"/>
  <c r="AC23" i="35"/>
  <c r="W23" i="35"/>
  <c r="S45" i="34"/>
  <c r="AA45" i="34"/>
  <c r="AA33" i="39"/>
  <c r="S33" i="39"/>
  <c r="W28" i="34"/>
  <c r="AC28" i="34"/>
  <c r="AB46" i="33"/>
  <c r="U46" i="33"/>
  <c r="AC9" i="33"/>
  <c r="W9" i="33"/>
  <c r="B27" i="71"/>
  <c r="B26" i="71" s="1"/>
  <c r="S28" i="71"/>
  <c r="C26" i="71"/>
  <c r="D26" i="71" s="1"/>
  <c r="D27" i="71"/>
  <c r="C56" i="71"/>
  <c r="D55" i="71"/>
  <c r="AZ71" i="3"/>
  <c r="AZ51" i="3"/>
  <c r="AZ302" i="3"/>
  <c r="AZ20" i="3"/>
  <c r="AZ244" i="3"/>
  <c r="AZ239" i="3"/>
  <c r="AZ397" i="3"/>
  <c r="AZ550" i="3"/>
  <c r="AB45" i="33"/>
  <c r="U45" i="33"/>
  <c r="AC12" i="33"/>
  <c r="W12" i="33"/>
  <c r="AA27" i="37"/>
  <c r="S27" i="37"/>
  <c r="W46" i="39"/>
  <c r="AC46" i="39"/>
  <c r="AB32" i="36"/>
  <c r="U32" i="36"/>
  <c r="AB13" i="36"/>
  <c r="U13" i="36"/>
  <c r="AB33" i="39"/>
  <c r="U33" i="39"/>
  <c r="AA28" i="34"/>
  <c r="S28" i="34"/>
  <c r="AB31" i="21"/>
  <c r="U31" i="21"/>
  <c r="AC13" i="35"/>
  <c r="W13" i="35"/>
  <c r="AB30" i="33"/>
  <c r="U30" i="33"/>
  <c r="G5" i="3"/>
  <c r="B3" i="3" s="1"/>
  <c r="AT6" i="3" s="1"/>
  <c r="C86" i="71"/>
  <c r="D86" i="71" s="1"/>
  <c r="D87" i="71"/>
  <c r="AZ111" i="3"/>
  <c r="AZ21" i="3"/>
  <c r="N65" i="71"/>
  <c r="N66" i="71"/>
  <c r="AZ58" i="3"/>
  <c r="AZ49" i="3"/>
  <c r="AZ130" i="3"/>
  <c r="AZ459" i="3"/>
  <c r="AZ283" i="3"/>
  <c r="AZ271" i="3"/>
  <c r="AZ491" i="3"/>
  <c r="AZ421" i="3"/>
  <c r="AZ414" i="3"/>
  <c r="AZ432" i="3"/>
  <c r="AZ417" i="3"/>
  <c r="AA45" i="33"/>
  <c r="S45" i="33"/>
  <c r="AA46" i="39"/>
  <c r="S46" i="39"/>
  <c r="AA32" i="36"/>
  <c r="S32" i="36"/>
  <c r="S13" i="36"/>
  <c r="AA13" i="36"/>
  <c r="AA46" i="33"/>
  <c r="S46" i="33"/>
  <c r="AZ510" i="3"/>
  <c r="AC30" i="33"/>
  <c r="W30" i="33"/>
  <c r="C36" i="71"/>
  <c r="D35" i="71"/>
  <c r="AZ29" i="3"/>
  <c r="T52" i="71"/>
  <c r="D52" i="71"/>
  <c r="T32" i="71"/>
  <c r="D32" i="71"/>
  <c r="AZ66" i="3"/>
  <c r="AZ178" i="3"/>
  <c r="AZ483" i="3"/>
  <c r="AC23" i="36"/>
  <c r="W23" i="36"/>
  <c r="AC35" i="35"/>
  <c r="W35" i="35"/>
  <c r="AB46" i="39"/>
  <c r="U46" i="39"/>
  <c r="W25" i="36"/>
  <c r="AC25" i="36"/>
  <c r="U23" i="35"/>
  <c r="AB23" i="35"/>
  <c r="W29" i="34"/>
  <c r="AC29" i="34"/>
  <c r="AC33" i="39"/>
  <c r="W33" i="39"/>
  <c r="AC9" i="36"/>
  <c r="W9" i="36"/>
  <c r="AA46" i="21"/>
  <c r="S46" i="21"/>
  <c r="AC46" i="33"/>
  <c r="W46" i="33"/>
  <c r="AB9" i="33"/>
  <c r="U9" i="33"/>
  <c r="AZ587" i="3"/>
  <c r="E11" i="6"/>
  <c r="E62" i="39" s="1"/>
  <c r="J62" i="15"/>
  <c r="J60" i="15" s="1"/>
  <c r="J63" i="15" s="1"/>
  <c r="Q55" i="15" s="1"/>
  <c r="I59" i="15"/>
  <c r="L63" i="15"/>
  <c r="Q65"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I59" i="8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39" i="3"/>
  <c r="E536" i="3"/>
  <c r="E286" i="3"/>
  <c r="R6" i="3"/>
  <c r="E442" i="3"/>
  <c r="E541" i="3"/>
  <c r="I3" i="6"/>
  <c r="AP6" i="3"/>
  <c r="E554" i="3"/>
  <c r="E417" i="3"/>
  <c r="E56" i="3"/>
  <c r="E95" i="3"/>
  <c r="E258" i="3"/>
  <c r="E363" i="3"/>
  <c r="E349" i="3"/>
  <c r="E59" i="3"/>
  <c r="E409" i="3"/>
  <c r="E425" i="3"/>
  <c r="E64" i="3"/>
  <c r="E46" i="3"/>
  <c r="E103"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E62" i="40"/>
  <c r="E16" i="6"/>
  <c r="E60" i="40"/>
  <c r="E64" i="39"/>
  <c r="M14" i="1"/>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AE11" i="1"/>
  <c r="AE12" i="1"/>
  <c r="AE10" i="1"/>
  <c r="AE9" i="1"/>
  <c r="AE8" i="1"/>
  <c r="F33" i="12"/>
  <c r="C18" i="12"/>
  <c r="F27" i="68"/>
  <c r="G1" i="73"/>
  <c r="C34" i="15"/>
  <c r="C16" i="67"/>
  <c r="C34" i="81"/>
  <c r="S7" i="36" l="1"/>
  <c r="E160" i="3"/>
  <c r="E467" i="3"/>
  <c r="E389" i="3"/>
  <c r="E192" i="3"/>
  <c r="E491" i="3"/>
  <c r="E430" i="3"/>
  <c r="E575" i="3"/>
  <c r="E510" i="3"/>
  <c r="C55" i="15"/>
  <c r="C57" i="15" s="1"/>
  <c r="C29" i="69"/>
  <c r="D27" i="69" s="1"/>
  <c r="C47" i="69"/>
  <c r="D45" i="69" s="1"/>
  <c r="C6" i="15"/>
  <c r="C16" i="15" s="1"/>
  <c r="C49" i="67"/>
  <c r="J5" i="67"/>
  <c r="J24" i="67" s="1"/>
  <c r="E76" i="3"/>
  <c r="E241" i="3"/>
  <c r="E37" i="3"/>
  <c r="E435" i="3"/>
  <c r="E449" i="3"/>
  <c r="E502" i="3"/>
  <c r="E199" i="3"/>
  <c r="E484" i="3"/>
  <c r="E544" i="3"/>
  <c r="E292" i="3"/>
  <c r="E152" i="3"/>
  <c r="E479" i="3"/>
  <c r="E517" i="3"/>
  <c r="E255" i="3"/>
  <c r="E466" i="3"/>
  <c r="E499" i="3"/>
  <c r="E212" i="3"/>
  <c r="Q74" i="67"/>
  <c r="J18" i="67"/>
  <c r="D36" i="71"/>
  <c r="T36" i="71"/>
  <c r="T44" i="71"/>
  <c r="D44" i="71"/>
  <c r="R36" i="36"/>
  <c r="D56" i="71"/>
  <c r="T56" i="71"/>
  <c r="J9" i="81"/>
  <c r="C58" i="15"/>
  <c r="C54" i="80"/>
  <c r="Q80" i="15"/>
  <c r="C29" i="80"/>
  <c r="K16" i="1"/>
  <c r="C10" i="80"/>
  <c r="E53" i="40"/>
  <c r="E58" i="39"/>
  <c r="E67" i="39" s="1"/>
  <c r="F69" i="39"/>
  <c r="F62" i="81"/>
  <c r="M14" i="81"/>
  <c r="L64" i="81"/>
  <c r="Q81" i="81" s="1"/>
  <c r="F1" i="67"/>
  <c r="Q73" i="67"/>
  <c r="C52" i="12"/>
  <c r="E3" i="6"/>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6" i="1"/>
  <c r="C18" i="15"/>
  <c r="F26" i="81"/>
  <c r="M27" i="67"/>
  <c r="F41" i="67"/>
  <c r="M26" i="81"/>
  <c r="M26" i="15"/>
  <c r="C10" i="15" l="1"/>
  <c r="C5" i="15" s="1"/>
  <c r="C23" i="15" s="1"/>
  <c r="M18" i="9"/>
  <c r="B118" i="9" s="1"/>
  <c r="B14" i="74"/>
  <c r="C48" i="67"/>
  <c r="C66" i="67" s="1"/>
  <c r="C54" i="15"/>
  <c r="C53" i="15" s="1"/>
  <c r="AA12" i="40"/>
  <c r="G54" i="34"/>
  <c r="H54" i="34" s="1"/>
  <c r="W12" i="40"/>
  <c r="J6" i="81"/>
  <c r="J16" i="81" s="1"/>
  <c r="D16" i="80"/>
  <c r="C16" i="80" s="1"/>
  <c r="C14" i="80" s="1"/>
  <c r="AB12" i="39"/>
  <c r="D3" i="37"/>
  <c r="D3" i="34"/>
  <c r="C17" i="4"/>
  <c r="B4" i="52" s="1"/>
  <c r="B43" i="72" s="1"/>
  <c r="Q66" i="81"/>
  <c r="F69" i="67"/>
  <c r="F76" i="81"/>
  <c r="F25" i="82"/>
  <c r="C27" i="82" s="1"/>
  <c r="AC12" i="39"/>
  <c r="D20" i="82"/>
  <c r="C20" i="82" s="1"/>
  <c r="U12" i="40"/>
  <c r="C23" i="83"/>
  <c r="D24" i="83"/>
  <c r="C24" i="83" s="1"/>
  <c r="F29" i="83"/>
  <c r="F29" i="12"/>
  <c r="F42" i="81"/>
  <c r="C42" i="81" s="1"/>
  <c r="J16" i="15"/>
  <c r="J23" i="15"/>
  <c r="C64" i="81"/>
  <c r="C41" i="80"/>
  <c r="C11" i="80"/>
  <c r="C42" i="80" s="1"/>
  <c r="C19" i="80"/>
  <c r="C45" i="80" s="1"/>
  <c r="C20" i="80"/>
  <c r="C46" i="80" s="1"/>
  <c r="AA12" i="39"/>
  <c r="S12" i="39"/>
  <c r="L36" i="43"/>
  <c r="L37" i="43" s="1"/>
  <c r="M37" i="43" s="1"/>
  <c r="F23" i="80"/>
  <c r="D116" i="43"/>
  <c r="F23" i="68"/>
  <c r="C51" i="68" s="1"/>
  <c r="F22" i="1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B21" i="1" s="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17" i="67"/>
  <c r="C35" i="81"/>
  <c r="C14" i="67"/>
  <c r="C66" i="81"/>
  <c r="C32" i="81"/>
  <c r="C66" i="15"/>
  <c r="C35" i="15"/>
  <c r="C30" i="43" l="1"/>
  <c r="C64" i="15"/>
  <c r="H21" i="6"/>
  <c r="C60" i="67"/>
  <c r="C28" i="11"/>
  <c r="C27" i="11" s="1"/>
  <c r="H37" i="1"/>
  <c r="L37" i="1" s="1"/>
  <c r="H36" i="1"/>
  <c r="L36" i="1" s="1"/>
  <c r="H33" i="1"/>
  <c r="L33" i="1" s="1"/>
  <c r="B23" i="1"/>
  <c r="C23" i="11" s="1"/>
  <c r="B24" i="1"/>
  <c r="C30" i="12" s="1"/>
  <c r="C29" i="11"/>
  <c r="D27" i="11" s="1"/>
  <c r="B1" i="74"/>
  <c r="D17" i="80"/>
  <c r="C17" i="80" s="1"/>
  <c r="J5" i="81"/>
  <c r="J23" i="81" s="1"/>
  <c r="D24" i="12"/>
  <c r="C24" i="12" s="1"/>
  <c r="C56" i="12" s="1"/>
  <c r="E53" i="34"/>
  <c r="F53" i="34" s="1"/>
  <c r="D25" i="83"/>
  <c r="C25" i="83" s="1"/>
  <c r="C20" i="83" s="1"/>
  <c r="C25" i="12"/>
  <c r="C57" i="12" s="1"/>
  <c r="H22" i="6"/>
  <c r="R22" i="6" s="1"/>
  <c r="R9" i="1" s="1"/>
  <c r="D30" i="6"/>
  <c r="C33" i="81"/>
  <c r="C37" i="81"/>
  <c r="C36" i="81"/>
  <c r="H25" i="6"/>
  <c r="R25" i="6" s="1"/>
  <c r="R12" i="1" s="1"/>
  <c r="C18" i="82"/>
  <c r="C21" i="82"/>
  <c r="C50" i="12"/>
  <c r="E7" i="70"/>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L11" i="68" s="1"/>
  <c r="E6" i="76"/>
  <c r="C32" i="15"/>
  <c r="B6" i="76"/>
  <c r="F33" i="82" l="1"/>
  <c r="F34" i="11"/>
  <c r="F31" i="80"/>
  <c r="F57" i="80" s="1"/>
  <c r="F31" i="68"/>
  <c r="F57" i="68" s="1"/>
  <c r="F10" i="80"/>
  <c r="C12" i="80" s="1"/>
  <c r="C43" i="80" s="1"/>
  <c r="F50" i="11"/>
  <c r="M59" i="67"/>
  <c r="M64" i="81"/>
  <c r="M64" i="15"/>
  <c r="L64" i="15" s="1"/>
  <c r="J58" i="15"/>
  <c r="J58" i="81"/>
  <c r="C34" i="12"/>
  <c r="C18" i="80"/>
  <c r="C44" i="80" s="1"/>
  <c r="D31" i="6"/>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40" i="80" l="1"/>
  <c r="C47" i="80" s="1"/>
  <c r="C53" i="80" s="1"/>
  <c r="C52" i="80" s="1"/>
  <c r="L61" i="15"/>
  <c r="F1" i="15"/>
  <c r="Q57" i="15"/>
  <c r="Q81" i="15"/>
  <c r="Q66" i="15"/>
  <c r="L61" i="81"/>
  <c r="Q57" i="81"/>
  <c r="F1" i="81"/>
  <c r="H12" i="68"/>
  <c r="C11" i="68"/>
  <c r="H11" i="68" s="1"/>
  <c r="C13" i="80"/>
  <c r="C9" i="80" s="1"/>
  <c r="C21" i="80" s="1"/>
  <c r="C28" i="80" s="1"/>
  <c r="C27" i="80" s="1"/>
  <c r="C50" i="80"/>
  <c r="C49" i="80" s="1"/>
  <c r="C51" i="12"/>
  <c r="C41" i="68"/>
  <c r="C20" i="68"/>
  <c r="C19" i="68"/>
  <c r="H19"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AE7" i="1"/>
  <c r="C25" i="80" l="1"/>
  <c r="C23" i="80" s="1"/>
  <c r="C42" i="68"/>
  <c r="C46" i="68"/>
  <c r="H20" i="68"/>
  <c r="C45" i="68"/>
  <c r="C56" i="80"/>
  <c r="C57" i="80" s="1"/>
  <c r="C31" i="80" s="1"/>
  <c r="C49" i="12"/>
  <c r="C9" i="68"/>
  <c r="C91" i="9"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20" i="81"/>
  <c r="F35" i="67"/>
  <c r="M21" i="67"/>
  <c r="M20" i="81"/>
  <c r="F20" i="15"/>
  <c r="F26" i="15"/>
  <c r="F76" i="15" l="1"/>
  <c r="C5" i="80"/>
  <c r="C32" i="80" s="1"/>
  <c r="C33" i="80" s="1"/>
  <c r="D3" i="80" s="1"/>
  <c r="B2" i="80" s="1"/>
  <c r="C92" i="9"/>
  <c r="C94" i="9"/>
  <c r="C40" i="68"/>
  <c r="C47" i="68" s="1"/>
  <c r="C50" i="68" s="1"/>
  <c r="C49" i="68" s="1"/>
  <c r="J19" i="81"/>
  <c r="C58" i="80"/>
  <c r="C19" i="81"/>
  <c r="C19" i="15"/>
  <c r="C34" i="82"/>
  <c r="B2" i="82" s="1"/>
  <c r="J31" i="81"/>
  <c r="B3" i="83"/>
  <c r="B4" i="83"/>
  <c r="Q54" i="81"/>
  <c r="C48" i="81"/>
  <c r="C49" i="81" s="1"/>
  <c r="J64" i="81"/>
  <c r="J65" i="81" s="1"/>
  <c r="C21" i="8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53" i="68" l="1"/>
  <c r="C56" i="68" s="1"/>
  <c r="B3" i="80"/>
  <c r="C64" i="80"/>
  <c r="C63" i="80" s="1"/>
  <c r="J32" i="81"/>
  <c r="J33" i="81" s="1"/>
  <c r="J22" i="81" s="1"/>
  <c r="J21" i="81"/>
  <c r="C59" i="80"/>
  <c r="B5" i="82"/>
  <c r="B3" i="82"/>
  <c r="B4" i="82"/>
  <c r="Q77" i="81"/>
  <c r="C82" i="81"/>
  <c r="G43" i="35"/>
  <c r="H43" i="35" s="1"/>
  <c r="Q53" i="81"/>
  <c r="C47" i="15"/>
  <c r="J18" i="15" s="1"/>
  <c r="I53" i="21"/>
  <c r="J53" i="21" s="1"/>
  <c r="C22" i="81"/>
  <c r="C17" i="81" s="1"/>
  <c r="C15" i="81" s="1"/>
  <c r="F71" i="81"/>
  <c r="C71" i="81" s="1"/>
  <c r="C65" i="81" s="1"/>
  <c r="C63" i="81" s="1"/>
  <c r="C62" i="81"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2" i="68" l="1"/>
  <c r="C57" i="68"/>
  <c r="C31" i="68"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10" i="71"/>
  <c r="D11" i="71"/>
  <c r="C80" i="67"/>
  <c r="C79" i="67" s="1"/>
  <c r="C40" i="67"/>
  <c r="C45" i="67" s="1"/>
  <c r="C56" i="11"/>
  <c r="C57" i="11" s="1"/>
  <c r="B3" i="21"/>
  <c r="O69" i="39"/>
  <c r="O71" i="39" s="1"/>
  <c r="N71" i="39"/>
  <c r="F9" i="39"/>
  <c r="C39" i="35"/>
  <c r="D2" i="35" s="1"/>
  <c r="B2" i="35" s="1"/>
  <c r="E10" i="12" s="1"/>
  <c r="C38" i="35"/>
  <c r="N65" i="40"/>
  <c r="M67" i="40"/>
  <c r="E43" i="35"/>
  <c r="F43" i="35" s="1"/>
  <c r="E42" i="35"/>
  <c r="F42" i="35" s="1"/>
  <c r="I43" i="35"/>
  <c r="J43" i="35" s="1"/>
  <c r="L51" i="67"/>
  <c r="F2" i="33"/>
  <c r="L56" i="81"/>
  <c r="C58" i="68" l="1"/>
  <c r="C59" i="68"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7"/>
  <c r="F2" i="35"/>
  <c r="F2" i="34"/>
  <c r="F2" i="36"/>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E8" i="12" s="1"/>
  <c r="M3" i="35"/>
  <c r="B3" i="37"/>
  <c r="B3" i="34"/>
  <c r="W9" i="39"/>
  <c r="AC9" i="39"/>
  <c r="V49" i="39" s="1"/>
  <c r="I49" i="39" s="1"/>
  <c r="E49" i="39"/>
  <c r="U9" i="39"/>
  <c r="AB9" i="39"/>
  <c r="T49" i="39" s="1"/>
  <c r="G49" i="39" s="1"/>
  <c r="J9" i="40"/>
  <c r="F9" i="40"/>
  <c r="H9" i="40"/>
  <c r="AO11" i="1"/>
  <c r="AO10" i="1"/>
  <c r="AO12" i="1"/>
  <c r="C87" i="15" l="1"/>
  <c r="C86" i="15" s="1"/>
  <c r="C25" i="15"/>
  <c r="C28" i="15" s="1"/>
  <c r="M6" i="12"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C7" i="68" s="1"/>
  <c r="C8" i="68" s="1"/>
  <c r="C6" i="68" s="1"/>
  <c r="C29" i="15"/>
  <c r="C51" i="15"/>
  <c r="D6" i="71"/>
  <c r="C5" i="71"/>
  <c r="D5" i="71" s="1"/>
  <c r="M24" i="43" s="1"/>
  <c r="C44" i="40"/>
  <c r="C45" i="40"/>
  <c r="E49" i="40"/>
  <c r="F49" i="40" s="1"/>
  <c r="E48" i="40"/>
  <c r="F48" i="40" s="1"/>
  <c r="I49" i="40"/>
  <c r="J49" i="40" s="1"/>
  <c r="C24" i="68" l="1"/>
  <c r="C21" i="68"/>
  <c r="C28" i="68" s="1"/>
  <c r="C27" i="68" s="1"/>
  <c r="B3" i="39"/>
  <c r="B4" i="39"/>
  <c r="B5" i="39"/>
  <c r="L51" i="15"/>
  <c r="B2" i="15" s="1"/>
  <c r="D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AO7" i="1"/>
  <c r="C25" i="68" l="1"/>
  <c r="H21" i="68"/>
  <c r="C46" i="12"/>
  <c r="C32" i="12"/>
  <c r="C62" i="12" s="1"/>
  <c r="C28" i="12"/>
  <c r="B7" i="70"/>
  <c r="B3" i="40"/>
  <c r="B4" i="40"/>
  <c r="B5" i="40"/>
  <c r="C90" i="15"/>
  <c r="C89" i="15" s="1"/>
  <c r="AO8" i="1"/>
  <c r="AO9" i="1"/>
  <c r="AO6" i="1"/>
  <c r="C23" i="68" l="1"/>
  <c r="C5" i="68"/>
  <c r="C32" i="68" s="1"/>
  <c r="C61" i="12"/>
  <c r="C60" i="12" s="1"/>
  <c r="C35" i="12"/>
  <c r="C33" i="12" s="1"/>
  <c r="C64" i="12" s="1"/>
  <c r="C31" i="12"/>
  <c r="B9" i="70"/>
  <c r="B8" i="70"/>
  <c r="B6" i="70"/>
  <c r="B3" i="15"/>
  <c r="D8" i="12" s="1"/>
  <c r="C64" i="68" l="1"/>
  <c r="C63" i="68" s="1"/>
  <c r="C33" i="68"/>
  <c r="B2" i="68" s="1"/>
  <c r="C29" i="12"/>
  <c r="C63" i="12" s="1"/>
  <c r="C48" i="12" s="1"/>
  <c r="C36" i="12"/>
  <c r="B2" i="70"/>
  <c r="B3" i="70" s="1"/>
  <c r="C19" i="9"/>
  <c r="C102" i="9" l="1"/>
  <c r="B3" i="68"/>
  <c r="C65" i="12"/>
  <c r="C37" i="12"/>
  <c r="B2" i="12" s="1"/>
  <c r="D19" i="9"/>
  <c r="D35" i="9"/>
  <c r="C20" i="9"/>
  <c r="D34" i="9"/>
  <c r="C103" i="9" l="1"/>
  <c r="D102" i="9"/>
  <c r="D22" i="9"/>
  <c r="I19" i="9"/>
  <c r="J19" i="9" s="1"/>
  <c r="G19" i="9"/>
  <c r="G22" i="9" s="1"/>
  <c r="B3" i="12"/>
  <c r="B4" i="12"/>
  <c r="B5" i="12"/>
  <c r="D20" i="9"/>
  <c r="D21" i="9"/>
  <c r="G21" i="9" l="1"/>
  <c r="D103" i="9"/>
  <c r="G20" i="9"/>
  <c r="C32" i="9" s="1"/>
  <c r="N119" i="9" l="1"/>
  <c r="H118" i="9" s="1"/>
  <c r="C35" i="9"/>
  <c r="C34" i="9" s="1"/>
  <c r="N117" i="9"/>
  <c r="I118" i="9" s="1"/>
  <c r="L119" i="9" l="1"/>
  <c r="L117" i="9"/>
  <c r="I4" i="52"/>
  <c r="H102" i="9"/>
  <c r="D7" i="53" s="1"/>
  <c r="B21" i="72" s="1"/>
  <c r="C105" i="9"/>
  <c r="M117" i="9"/>
  <c r="M119" i="9"/>
  <c r="C104" i="9"/>
  <c r="H101" i="9"/>
  <c r="D14" i="74" s="1"/>
  <c r="G14" i="74" s="1"/>
  <c r="B6" i="74" s="1"/>
  <c r="H4" i="52"/>
  <c r="H119" i="9"/>
  <c r="H5" i="52" s="1"/>
  <c r="D6" i="74" l="1"/>
  <c r="C6" i="74"/>
  <c r="B5" i="74"/>
  <c r="F14" i="74"/>
  <c r="E14" i="74"/>
  <c r="F118" i="9"/>
  <c r="J118" i="9" s="1"/>
  <c r="D118" i="9"/>
  <c r="J117" i="9" s="1"/>
  <c r="D5" i="53"/>
  <c r="D45" i="9"/>
  <c r="M48" i="9"/>
  <c r="H107" i="9"/>
  <c r="H111" i="9"/>
  <c r="D5" i="74" l="1"/>
  <c r="C5" i="74"/>
  <c r="J119" i="9"/>
  <c r="G118" i="9"/>
  <c r="G4" i="52" s="1"/>
  <c r="B52" i="72" s="1"/>
  <c r="F4" i="52"/>
  <c r="B51" i="72" s="1"/>
  <c r="F119" i="9"/>
  <c r="F5" i="52" s="1"/>
  <c r="B53" i="72" s="1"/>
  <c r="D119" i="9"/>
  <c r="D5" i="52" s="1"/>
  <c r="B49" i="72" s="1"/>
  <c r="D4" i="52"/>
  <c r="B47" i="72" s="1"/>
  <c r="D6" i="53"/>
  <c r="B22" i="72" s="1"/>
  <c r="B20" i="72"/>
  <c r="D13" i="53"/>
  <c r="D122" i="9"/>
  <c r="M49" i="9"/>
  <c r="H108" i="9"/>
  <c r="D15" i="53" s="1"/>
  <c r="B31" i="72" s="1"/>
  <c r="C72" i="9"/>
  <c r="D52" i="9"/>
  <c r="C64" i="9"/>
  <c r="C63" i="9" s="1"/>
  <c r="C67" i="9" s="1"/>
  <c r="H65" i="9"/>
  <c r="H64" i="9" s="1"/>
  <c r="H63" i="9" s="1"/>
  <c r="C85" i="9"/>
  <c r="D55" i="9"/>
  <c r="M53" i="9" s="1"/>
  <c r="D126" i="9"/>
  <c r="D19" i="53"/>
  <c r="E118" i="9" l="1"/>
  <c r="E4" i="52" s="1"/>
  <c r="B48" i="72" s="1"/>
  <c r="C93" i="9"/>
  <c r="C86" i="9" s="1"/>
  <c r="C95" i="9" s="1"/>
  <c r="C78" i="9"/>
  <c r="C73" i="9" s="1"/>
  <c r="C79" i="9" s="1"/>
  <c r="D8" i="52"/>
  <c r="D123" i="9"/>
  <c r="D9" i="52" s="1"/>
  <c r="D53" i="9"/>
  <c r="D48" i="9" s="1"/>
  <c r="M52" i="9" s="1"/>
  <c r="D54" i="9"/>
  <c r="B30" i="72"/>
  <c r="D14" i="53"/>
  <c r="B32" i="72" s="1"/>
  <c r="C68" i="9"/>
  <c r="D59" i="9"/>
  <c r="M55" i="9" s="1"/>
  <c r="L65" i="9"/>
  <c r="M65" i="9" s="1"/>
  <c r="L63" i="9"/>
  <c r="M63" i="9" s="1"/>
  <c r="L66" i="9"/>
  <c r="M66" i="9" s="1"/>
  <c r="L64" i="9"/>
  <c r="M64" i="9" s="1"/>
  <c r="L67" i="9"/>
  <c r="M67" i="9" s="1"/>
  <c r="L68" i="9"/>
  <c r="M68" i="9" s="1"/>
  <c r="B38" i="72"/>
  <c r="D20" i="53"/>
  <c r="B40" i="72" s="1"/>
  <c r="D127" i="9"/>
  <c r="D13" i="52" s="1"/>
  <c r="D12" i="52"/>
  <c r="M69" i="9" l="1"/>
  <c r="N69" i="9" s="1"/>
  <c r="C80" i="9"/>
  <c r="E80" i="9" s="1"/>
  <c r="E81" i="9" s="1"/>
  <c r="C96" i="9"/>
  <c r="E96" i="9" s="1"/>
  <c r="E97" i="9" s="1"/>
  <c r="C81" i="9" l="1"/>
  <c r="C97" i="9"/>
  <c r="D58" i="9" s="1"/>
  <c r="D56" i="9" l="1"/>
  <c r="M54" i="9" s="1"/>
  <c r="N57" i="9" s="1"/>
  <c r="P57" i="9" l="1"/>
  <c r="N59" i="9"/>
  <c r="N58" i="9"/>
  <c r="N61" i="9" l="1"/>
  <c r="H112" i="9" s="1"/>
  <c r="N60" i="9"/>
  <c r="C8" i="74" l="1"/>
  <c r="D21" i="53"/>
  <c r="B3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C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C00-000002000000}">
      <text>
        <r>
          <rPr>
            <sz val="9"/>
            <color indexed="81"/>
            <rFont val="宋体"/>
            <family val="3"/>
            <charset val="134"/>
          </rPr>
          <t>依据一般经验，应比建筑物资本化率高0.5%</t>
        </r>
      </text>
    </comment>
    <comment ref="L57" authorId="0"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C00-000005000000}">
      <text>
        <r>
          <rPr>
            <sz val="9"/>
            <color indexed="81"/>
            <rFont val="宋体"/>
            <family val="3"/>
            <charset val="134"/>
          </rPr>
          <t>在建项目均选择“是”</t>
        </r>
      </text>
    </comment>
    <comment ref="F62" authorId="1"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C00-000007000000}">
      <text>
        <r>
          <rPr>
            <sz val="10"/>
            <color indexed="81"/>
            <rFont val="宋体"/>
            <family val="3"/>
            <charset val="134"/>
          </rPr>
          <t xml:space="preserve">在建
</t>
        </r>
      </text>
    </comment>
    <comment ref="N64" authorId="0" shapeId="0" xr:uid="{00000000-0006-0000-1C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D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D00-000005000000}">
      <text>
        <r>
          <rPr>
            <sz val="11"/>
            <color indexed="81"/>
            <rFont val="宋体"/>
            <family val="3"/>
            <charset val="134"/>
          </rPr>
          <t>在建项目均选择“是”</t>
        </r>
      </text>
    </comment>
    <comment ref="F62" authorId="1"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D00-000007000000}">
      <text>
        <r>
          <rPr>
            <sz val="10"/>
            <color indexed="81"/>
            <rFont val="宋体"/>
            <family val="3"/>
            <charset val="134"/>
          </rPr>
          <t xml:space="preserve">在建
</t>
        </r>
      </text>
    </comment>
    <comment ref="N64" authorId="0" shapeId="0" xr:uid="{00000000-0006-0000-1D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C16" authorId="1" shapeId="0" xr:uid="{00000000-0006-0000-2A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A00-000004000000}">
      <text>
        <r>
          <rPr>
            <sz val="12"/>
            <color indexed="81"/>
            <rFont val="宋体"/>
            <family val="3"/>
            <charset val="134"/>
          </rPr>
          <t>1.05~1.1</t>
        </r>
        <r>
          <rPr>
            <sz val="9"/>
            <color indexed="81"/>
            <rFont val="宋体"/>
            <family val="3"/>
            <charset val="134"/>
          </rPr>
          <t xml:space="preserve">
</t>
        </r>
      </text>
    </comment>
    <comment ref="E16" authorId="1" shapeId="0" xr:uid="{00000000-0006-0000-2A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A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A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A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color indexed="81"/>
            <rFont val="宋体"/>
            <family val="3"/>
            <charset val="134"/>
          </rPr>
          <t xml:space="preserve">需在此处填写剩余土地年限
</t>
        </r>
      </text>
    </comment>
    <comment ref="C111"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A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A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A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A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A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<sst xmlns="http://schemas.openxmlformats.org/spreadsheetml/2006/main" count="11699" uniqueCount="4037">
  <si>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</si>
  <si>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</si>
  <si>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</si>
  <si>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</si>
  <si>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</si>
  <si>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</si>
  <si>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</si>
  <si>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</si>
  <si>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</si>
  <si>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</si>
  <si>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</si>
  <si>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</si>
  <si>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</si>
  <si>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</si>
  <si>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</si>
  <si>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</si>
  <si>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</si>
  <si>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</si>
  <si>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</si>
  <si>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</si>
  <si>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</si>
  <si>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</si>
  <si>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</si>
  <si>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</si>
  <si>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</si>
  <si>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</si>
  <si>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</si>
  <si>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</si>
  <si>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</si>
  <si>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</si>
  <si>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</si>
  <si>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</si>
  <si>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</si>
  <si>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</si>
  <si>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</si>
  <si>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</si>
  <si>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</si>
  <si>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</si>
  <si>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</si>
  <si>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</si>
  <si>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</si>
  <si>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</si>
  <si>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</si>
  <si>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</si>
  <si>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</si>
  <si>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</si>
  <si>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</si>
  <si>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</si>
  <si>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</si>
  <si>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</si>
  <si>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</si>
  <si>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</si>
  <si>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</si>
  <si>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</si>
  <si>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</si>
  <si>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</si>
  <si>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</si>
  <si>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</si>
  <si>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</si>
  <si>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</si>
  <si>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</si>
  <si>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</si>
  <si>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</si>
  <si>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</si>
  <si>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</si>
  <si>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</si>
  <si>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</si>
  <si>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</si>
  <si>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</si>
  <si>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</si>
  <si>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</si>
  <si>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</si>
  <si>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</si>
  <si>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</si>
  <si>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</si>
  <si>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</si>
  <si>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</si>
  <si>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</si>
  <si>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</si>
  <si>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</si>
  <si>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</si>
  <si>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</si>
  <si>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</si>
  <si>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</si>
  <si>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</si>
  <si>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</si>
  <si>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</si>
  <si>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</si>
  <si>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</si>
  <si>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</si>
  <si>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</si>
  <si>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</si>
  <si>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</si>
  <si>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</si>
  <si>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</si>
  <si>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</si>
  <si>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</si>
  <si>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</si>
  <si>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</si>
  <si>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</si>
  <si>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</si>
  <si>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</si>
  <si>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</si>
  <si>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</si>
  <si>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</si>
  <si>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</si>
  <si>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</si>
  <si>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</si>
  <si>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</si>
  <si>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</si>
  <si>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</si>
  <si>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</si>
  <si>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</si>
  <si>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</si>
  <si>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</si>
  <si>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</si>
  <si>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</si>
  <si>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</si>
  <si>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</si>
  <si>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</si>
  <si>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</si>
  <si>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</si>
  <si>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</si>
  <si>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</si>
  <si>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</si>
  <si>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</si>
  <si>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</si>
  <si>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</si>
  <si>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</si>
  <si>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</si>
  <si>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</si>
  <si>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</si>
  <si>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</si>
  <si>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</si>
  <si>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</si>
  <si>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</si>
  <si>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</si>
  <si>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</si>
  <si>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</si>
  <si>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</si>
  <si>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</si>
  <si>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</si>
  <si>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</si>
  <si>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</si>
  <si>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</si>
  <si>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</si>
  <si>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</si>
  <si>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</si>
  <si>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</si>
  <si>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</si>
  <si>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</si>
  <si>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</si>
  <si>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</si>
  <si>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</si>
  <si>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</si>
  <si>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</si>
  <si>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</si>
  <si>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</si>
  <si>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</si>
  <si>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</si>
  <si>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</si>
  <si>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</si>
  <si>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</si>
  <si>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</si>
  <si>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</si>
  <si>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</si>
  <si>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</si>
  <si>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</si>
  <si>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</si>
  <si>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</si>
  <si>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</si>
  <si>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</si>
  <si>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</si>
  <si>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</si>
  <si>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</si>
  <si>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</si>
  <si>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</si>
  <si>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</si>
  <si>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</si>
  <si>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</si>
  <si>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</si>
  <si>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</si>
  <si>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</si>
  <si>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</si>
  <si>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</si>
  <si>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</si>
  <si>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</si>
  <si>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</si>
  <si>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</si>
  <si>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</si>
  <si>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</si>
  <si>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</si>
  <si>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</si>
  <si>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</si>
  <si>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</si>
  <si>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</si>
  <si>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</si>
  <si>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</si>
  <si>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</si>
  <si>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</si>
  <si>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</si>
  <si>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</si>
  <si>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</si>
  <si>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</si>
  <si>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</si>
  <si>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</si>
  <si>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</si>
  <si>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</si>
  <si>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</si>
  <si>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</si>
  <si>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</si>
  <si>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</si>
  <si>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</si>
  <si>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</si>
  <si>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</si>
  <si>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</si>
  <si>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</si>
  <si>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</si>
  <si>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</si>
  <si>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</si>
  <si>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</si>
  <si>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</si>
  <si>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</si>
  <si>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</si>
  <si>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</si>
  <si>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</si>
  <si>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</si>
  <si>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</si>
  <si>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</si>
  <si>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</si>
  <si>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</si>
  <si>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</si>
  <si>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</si>
  <si>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</si>
  <si>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</si>
  <si>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</si>
  <si>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</si>
  <si>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</si>
  <si>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</si>
  <si>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</si>
  <si>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</si>
  <si>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</si>
  <si>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</si>
  <si>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</si>
  <si>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</si>
  <si>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</si>
  <si>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</si>
  <si>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</si>
  <si>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</si>
  <si>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</si>
  <si>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</si>
  <si>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</si>
  <si>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</si>
  <si>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</si>
  <si>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</si>
  <si>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</si>
  <si>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</si>
  <si>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</si>
  <si>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</si>
  <si>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</si>
  <si>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</si>
  <si>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</si>
  <si>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</si>
  <si>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</si>
  <si>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</si>
  <si>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</si>
  <si>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</si>
  <si>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</si>
  <si>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</si>
  <si>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</si>
  <si>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</si>
  <si>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</si>
  <si>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</si>
  <si>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</si>
  <si>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</si>
  <si>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</si>
  <si>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</si>
  <si>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</si>
  <si>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</si>
  <si>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</si>
  <si>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</si>
  <si>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</si>
  <si>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</si>
  <si>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</si>
  <si>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</si>
  <si>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</si>
  <si>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</si>
  <si>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</si>
  <si>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</si>
  <si>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</si>
  <si>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</si>
  <si>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</si>
  <si>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</si>
  <si>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</si>
  <si>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</si>
  <si>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</si>
  <si>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</si>
  <si>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</si>
  <si>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</si>
  <si>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</si>
  <si>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</si>
  <si>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</si>
  <si>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</si>
  <si>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</si>
  <si>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</si>
  <si>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</si>
  <si>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</si>
  <si>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</si>
  <si>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</si>
  <si>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</si>
  <si>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</si>
  <si>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</si>
  <si>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</si>
  <si>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</si>
  <si>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</si>
  <si>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</si>
  <si>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</si>
  <si>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</si>
  <si>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</si>
  <si>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</si>
  <si>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</si>
  <si>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</si>
  <si>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</si>
  <si>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</si>
  <si>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</si>
  <si>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</si>
  <si>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</si>
  <si>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</si>
  <si>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</si>
  <si>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</si>
  <si>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</si>
  <si>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</si>
  <si>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</si>
  <si>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</si>
  <si>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</si>
  <si>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</si>
  <si>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</si>
  <si>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</si>
  <si>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</si>
  <si>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</si>
  <si>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</si>
  <si>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</si>
  <si>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</si>
  <si>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</si>
  <si>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</si>
  <si>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</si>
  <si>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</si>
  <si>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</si>
  <si>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</si>
  <si>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</si>
  <si>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</si>
  <si>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</si>
  <si>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</si>
  <si>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</si>
  <si>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</si>
  <si>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</si>
  <si>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</si>
  <si>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</si>
  <si>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</si>
  <si>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</si>
  <si>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</si>
  <si>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</si>
  <si>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</si>
  <si>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</si>
  <si>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</si>
  <si>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</si>
  <si>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</si>
  <si>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</si>
  <si>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</si>
  <si>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</si>
  <si>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</si>
  <si>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</si>
  <si>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</si>
  <si>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</si>
  <si>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</si>
  <si>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</si>
  <si>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</si>
  <si>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</si>
  <si>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</si>
  <si>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</si>
  <si>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</si>
  <si>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</si>
  <si>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</si>
  <si>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</si>
  <si>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</si>
  <si>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</si>
  <si>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</si>
  <si>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</si>
  <si>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</si>
  <si>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</si>
  <si>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</si>
  <si>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</si>
  <si>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</si>
  <si>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</si>
  <si>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</si>
  <si>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</si>
  <si>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</si>
  <si>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</si>
  <si>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</si>
  <si>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</si>
  <si>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</si>
  <si>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</si>
  <si>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</si>
  <si>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</si>
  <si>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</si>
  <si>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</si>
  <si>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</si>
  <si>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</si>
  <si>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</si>
  <si>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</si>
  <si>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</si>
  <si>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</si>
  <si>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</si>
  <si>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</si>
  <si>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</si>
  <si>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</si>
  <si>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</si>
  <si>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</si>
  <si>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</si>
  <si>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</si>
  <si>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</si>
  <si>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</si>
  <si>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</si>
  <si>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</si>
  <si>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</si>
  <si>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</si>
  <si>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</si>
  <si>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</si>
  <si>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</si>
  <si>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</si>
  <si>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</si>
  <si>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</si>
  <si>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</si>
  <si>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</si>
  <si>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</si>
  <si>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</si>
  <si>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</si>
  <si>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</si>
  <si>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</si>
  <si>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</si>
  <si>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</si>
  <si>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</si>
  <si>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</si>
  <si>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</si>
  <si>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</si>
  <si>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</si>
  <si>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</si>
  <si>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</si>
  <si>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</si>
  <si>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</si>
  <si>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</si>
  <si>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</si>
  <si>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</si>
  <si>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</si>
  <si>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</si>
  <si>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</si>
  <si>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</si>
  <si>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</si>
  <si>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</si>
  <si>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</si>
  <si>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</si>
  <si>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</si>
  <si>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</si>
  <si>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</si>
  <si>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</si>
  <si>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</si>
  <si>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</si>
  <si>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</si>
  <si>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</si>
  <si>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</si>
  <si>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</si>
  <si>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</si>
  <si>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</si>
  <si>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</si>
  <si>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</si>
  <si>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</si>
  <si>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</si>
  <si>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</si>
  <si>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</si>
  <si>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</si>
  <si>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</si>
  <si>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</si>
  <si>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</si>
  <si>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</si>
  <si>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</si>
  <si>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</si>
  <si>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</si>
  <si>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</si>
  <si>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</si>
  <si>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</si>
  <si>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</si>
  <si>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</si>
  <si>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</si>
  <si>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</si>
  <si>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</si>
  <si>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</si>
  <si>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</si>
  <si>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</si>
  <si>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</si>
  <si>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</si>
  <si>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</si>
  <si>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</si>
  <si>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</si>
  <si>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</si>
  <si>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</si>
  <si>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</si>
  <si>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</si>
  <si>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</si>
  <si>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</si>
  <si>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</si>
  <si>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</si>
  <si>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</si>
  <si>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</si>
  <si>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</si>
  <si>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</si>
  <si>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</si>
  <si>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</si>
  <si>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</si>
  <si>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</si>
  <si>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</si>
  <si>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</si>
  <si>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</si>
  <si>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</si>
  <si>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</si>
  <si>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</si>
  <si>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</si>
  <si>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</si>
  <si>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</si>
  <si>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</si>
  <si>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</si>
  <si>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</si>
  <si>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</si>
  <si>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</si>
  <si>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</si>
  <si>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</si>
  <si>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</si>
  <si>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</si>
  <si>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</si>
  <si>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</si>
  <si>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</si>
  <si>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</si>
  <si>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</si>
  <si>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</si>
  <si>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</si>
  <si>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</si>
  <si>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</si>
  <si>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</si>
  <si>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</si>
  <si>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</si>
  <si>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</si>
  <si>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</si>
  <si>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</si>
  <si>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</si>
  <si>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</si>
  <si>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</si>
  <si>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</si>
  <si>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</si>
  <si>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</si>
  <si>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</si>
  <si>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</si>
  <si>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</si>
  <si>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</si>
  <si>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</si>
  <si>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</si>
  <si>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</si>
  <si>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</si>
  <si>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</si>
  <si>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</si>
  <si>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</si>
  <si>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</si>
  <si>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</si>
  <si>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</si>
  <si>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</si>
  <si>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</si>
  <si>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</si>
  <si>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</si>
  <si>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</si>
  <si>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</si>
  <si>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</si>
  <si>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</si>
  <si>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</si>
  <si>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</si>
  <si>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</si>
  <si>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</si>
  <si>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</si>
  <si>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</si>
  <si>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</si>
  <si>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</si>
  <si>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</si>
  <si>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</si>
  <si>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</si>
  <si>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</si>
  <si>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</si>
  <si>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</si>
  <si>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</si>
  <si>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</si>
  <si>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</si>
  <si>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</si>
  <si>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</si>
  <si>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</si>
  <si>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</si>
  <si>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</si>
  <si>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</si>
  <si>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</si>
  <si>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</si>
  <si>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</si>
  <si>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</si>
  <si>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</si>
  <si>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</si>
  <si>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</si>
  <si>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</si>
  <si>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</si>
  <si>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</si>
  <si>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</si>
  <si>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</si>
  <si>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</si>
  <si>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</si>
  <si>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</si>
  <si>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</si>
  <si>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</si>
  <si>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</si>
  <si>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</si>
  <si>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</si>
  <si>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</si>
  <si>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</si>
  <si>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</si>
  <si>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</si>
  <si>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</si>
  <si>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</si>
  <si>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</si>
  <si>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</si>
  <si>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</si>
  <si>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</si>
  <si>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</si>
  <si>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</si>
  <si>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</si>
  <si>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</si>
  <si>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</si>
  <si>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</si>
  <si>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</si>
  <si>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</si>
  <si>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</si>
  <si>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</si>
  <si>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</si>
  <si>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</si>
  <si>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</si>
  <si>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</si>
  <si>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</si>
  <si>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</si>
  <si>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</si>
  <si>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</si>
  <si>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</si>
  <si>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</si>
  <si>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</si>
  <si>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</si>
  <si>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</si>
  <si>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</si>
  <si>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</si>
  <si>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</si>
  <si>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</si>
  <si>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</si>
  <si>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</si>
  <si>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</si>
  <si>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</si>
  <si>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</si>
  <si>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</si>
  <si>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</si>
  <si>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</si>
  <si>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</si>
  <si>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</si>
  <si>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</si>
  <si>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</si>
  <si>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</si>
  <si>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</si>
  <si>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</si>
  <si>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</si>
  <si>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</si>
  <si>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</si>
  <si>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</si>
  <si>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</si>
  <si>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</si>
  <si>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</si>
  <si>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</si>
  <si>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</si>
  <si>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</si>
  <si>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</si>
  <si>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</si>
  <si>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</si>
  <si>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</si>
  <si>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</si>
  <si>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</si>
  <si>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</si>
  <si>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</si>
  <si>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</si>
  <si>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</si>
  <si>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</si>
  <si>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</si>
  <si>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</si>
  <si>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</si>
  <si>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</si>
  <si>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</si>
  <si>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</si>
  <si>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</si>
  <si>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</si>
  <si>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</si>
  <si>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</si>
  <si>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</si>
  <si>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</si>
  <si>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</si>
  <si>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</si>
  <si>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</si>
  <si>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</si>
  <si>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</si>
  <si>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</si>
  <si>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</si>
  <si>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</si>
  <si>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</si>
  <si>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</si>
  <si>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</si>
  <si>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</si>
  <si>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</si>
  <si>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</si>
  <si>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</si>
  <si>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</si>
  <si>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</si>
  <si>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</si>
  <si>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</si>
  <si>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</si>
  <si>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</si>
  <si>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</si>
  <si>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</si>
  <si>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</si>
  <si>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</si>
  <si>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</si>
  <si>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</si>
  <si>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</si>
  <si>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</si>
  <si>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</si>
  <si>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</si>
  <si>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</si>
  <si>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</si>
  <si>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</si>
  <si>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</si>
  <si>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</si>
  <si>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</si>
  <si>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</si>
  <si>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</si>
  <si>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</si>
  <si>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</si>
  <si>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</si>
  <si>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</si>
  <si>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</si>
  <si>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</si>
  <si>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</si>
  <si>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</si>
  <si>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</si>
  <si>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</si>
  <si>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</si>
  <si>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</si>
  <si>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</si>
  <si>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</si>
  <si>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</si>
  <si>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</si>
  <si>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</si>
  <si>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</si>
  <si>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</si>
  <si>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</si>
  <si>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</si>
  <si>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</si>
  <si>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</si>
  <si>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</si>
  <si>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</si>
  <si>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</si>
  <si>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</si>
  <si>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</si>
  <si>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</si>
  <si>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</si>
  <si>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</si>
  <si>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</si>
  <si>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</si>
  <si>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</si>
  <si>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</si>
  <si>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</si>
  <si>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</si>
  <si>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</si>
  <si>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</si>
  <si>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</si>
  <si>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</si>
  <si>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</si>
  <si>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</si>
  <si>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</si>
  <si>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</si>
  <si>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</si>
  <si>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</si>
  <si>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</si>
  <si>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</si>
  <si>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</si>
  <si>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</si>
  <si>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</si>
  <si>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</si>
  <si>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</si>
  <si>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</si>
  <si>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</si>
  <si>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</si>
  <si>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</si>
  <si>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</si>
  <si>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</si>
  <si>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</si>
  <si>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</si>
  <si>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</si>
  <si>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</si>
  <si>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</si>
  <si>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</si>
  <si>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</si>
  <si>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</si>
  <si>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</si>
  <si>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</si>
  <si>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</si>
  <si>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</si>
  <si>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</si>
  <si>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</si>
  <si>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</si>
  <si>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</si>
  <si>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</si>
  <si>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</si>
  <si>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</si>
  <si>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</si>
  <si>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</si>
  <si>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</si>
  <si>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</si>
  <si>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</si>
  <si>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</si>
  <si>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</si>
  <si>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</si>
  <si>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</si>
  <si>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</si>
  <si>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</si>
  <si>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</si>
  <si>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</si>
  <si>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</si>
  <si>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</si>
  <si>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</si>
  <si>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</si>
  <si>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</si>
  <si>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</si>
  <si>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</si>
  <si>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</si>
  <si>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</si>
  <si>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</si>
  <si>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</si>
  <si>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</si>
  <si>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</si>
  <si>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</si>
  <si>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</si>
  <si>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</si>
  <si>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</si>
  <si>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</si>
  <si>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</si>
  <si>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</si>
  <si>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</si>
  <si>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</si>
  <si>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</si>
  <si>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</si>
  <si>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</si>
  <si>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</si>
  <si>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</si>
  <si>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</si>
  <si>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</si>
  <si>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</si>
  <si>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</si>
  <si>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</si>
  <si>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</si>
  <si>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</si>
  <si>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</si>
  <si>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</si>
  <si>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</si>
  <si>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</si>
  <si>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</si>
  <si>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</si>
  <si>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</si>
  <si>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</si>
  <si>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</si>
  <si>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</si>
  <si>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</si>
  <si>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</si>
  <si>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</si>
  <si>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</si>
  <si>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</si>
  <si>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</si>
  <si>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</si>
  <si>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</si>
  <si>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</si>
  <si>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</si>
  <si>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</si>
  <si>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</si>
  <si>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</si>
  <si>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</si>
  <si>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</si>
  <si>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</si>
  <si>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</si>
  <si>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</si>
  <si>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</si>
  <si>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</si>
  <si>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</si>
  <si>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</si>
  <si>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</si>
  <si>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</si>
  <si>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</si>
  <si>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</si>
  <si>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</si>
  <si>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</si>
  <si>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</si>
  <si>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</si>
  <si>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</si>
  <si>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</si>
  <si>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</si>
  <si>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</si>
  <si>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</si>
  <si>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</si>
  <si>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</si>
  <si>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</si>
  <si>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</si>
  <si>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</si>
  <si>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</si>
  <si>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</si>
  <si>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</si>
  <si>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</si>
  <si>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</si>
  <si>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</si>
  <si>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</si>
  <si>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</si>
  <si>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</si>
  <si>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</si>
  <si>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</si>
  <si>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</si>
  <si>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</si>
  <si>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</si>
  <si>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</si>
  <si>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</si>
  <si>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</si>
  <si>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</si>
  <si>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</si>
  <si>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</si>
  <si>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</si>
  <si>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</si>
  <si>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</si>
  <si>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</si>
  <si>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</si>
  <si>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</si>
  <si>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</si>
  <si>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</si>
  <si>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</si>
  <si>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</si>
  <si>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</si>
  <si>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</si>
  <si>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</si>
  <si>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</si>
  <si>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</si>
  <si>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</si>
  <si>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</si>
  <si>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</si>
  <si>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</si>
  <si>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</si>
  <si>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</si>
  <si>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</si>
  <si>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</si>
  <si>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</si>
  <si>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</si>
  <si>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</si>
  <si>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</si>
  <si>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</si>
  <si>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</si>
  <si>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</si>
  <si>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</si>
  <si>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</si>
  <si>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</si>
  <si>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</si>
  <si>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</si>
  <si>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</si>
  <si>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</si>
  <si>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</si>
  <si>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</si>
  <si>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</si>
  <si>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</si>
  <si>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</si>
  <si>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</si>
  <si>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</si>
  <si>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</si>
  <si>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</si>
  <si>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</si>
  <si>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</si>
  <si>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</si>
  <si>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</si>
  <si>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</si>
  <si>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</si>
  <si>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</si>
  <si>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</si>
  <si>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</si>
  <si>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</si>
  <si>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</si>
  <si>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</si>
  <si>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</si>
  <si>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</si>
  <si>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</si>
  <si>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</si>
  <si>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</si>
  <si>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</si>
  <si>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</si>
  <si>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</si>
  <si>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</si>
  <si>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</si>
  <si>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</si>
  <si>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</si>
  <si>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</si>
  <si>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</si>
  <si>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</si>
  <si>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</si>
  <si>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</si>
  <si>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</si>
  <si>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</si>
  <si>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</si>
  <si>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</si>
  <si>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</si>
  <si>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</si>
  <si>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</si>
  <si>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</si>
  <si>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</si>
  <si>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</si>
  <si>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</si>
  <si>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</si>
  <si>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</si>
  <si>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</si>
  <si>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</si>
  <si>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</si>
  <si>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</si>
  <si>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</si>
  <si>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</si>
  <si>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</si>
  <si>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</si>
  <si>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</si>
  <si>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</si>
  <si>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</si>
  <si>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</si>
  <si>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</si>
  <si>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</si>
  <si>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</si>
  <si>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</si>
  <si>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</si>
  <si>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</si>
  <si>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</si>
  <si>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</si>
  <si>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</si>
  <si>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</si>
  <si>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</si>
  <si>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</si>
  <si>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</si>
  <si>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</si>
  <si>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</si>
  <si>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</si>
  <si>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</si>
  <si>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</si>
  <si>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</si>
  <si>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</si>
  <si>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</si>
  <si>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</si>
  <si>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</si>
  <si>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</si>
  <si>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</si>
  <si>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</si>
  <si>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</si>
  <si>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</si>
  <si>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</si>
  <si>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</si>
  <si>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</si>
  <si>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</si>
  <si>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</si>
  <si>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</si>
  <si>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</si>
  <si>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</si>
  <si>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</si>
  <si>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</si>
  <si>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</si>
  <si>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</si>
  <si>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</si>
  <si>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</si>
  <si>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</si>
  <si>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</si>
  <si>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</si>
  <si>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</si>
  <si>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</si>
  <si>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</si>
  <si>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</si>
  <si>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</si>
  <si>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</si>
  <si>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</si>
  <si>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</si>
  <si>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</si>
  <si>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</si>
  <si>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</si>
  <si>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</si>
  <si>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</si>
  <si>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</si>
  <si>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</si>
  <si>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</si>
  <si>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</si>
  <si>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</si>
  <si>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</si>
  <si>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</si>
  <si>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</si>
  <si>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</si>
  <si>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</si>
  <si>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</si>
  <si>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</si>
  <si>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</si>
  <si>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</si>
  <si>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</si>
  <si>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</si>
  <si>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</si>
  <si>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</si>
  <si>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</si>
  <si>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</si>
  <si>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</si>
  <si>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</si>
  <si>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</si>
  <si>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</si>
  <si>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</si>
  <si>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</si>
  <si>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</si>
  <si>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</si>
  <si>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</si>
  <si>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</si>
  <si>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</si>
  <si>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</si>
  <si>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</si>
  <si>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</si>
  <si>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</si>
  <si>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</si>
  <si>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</si>
  <si>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</si>
  <si>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</si>
  <si>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</si>
  <si>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</si>
  <si>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</si>
  <si>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</si>
  <si>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</si>
  <si>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</si>
  <si>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</si>
  <si>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</si>
  <si>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</si>
  <si>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</si>
  <si>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</si>
  <si>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</si>
  <si>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</si>
  <si>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</si>
  <si>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</si>
  <si>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</si>
  <si>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</si>
  <si>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</si>
  <si>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</si>
  <si>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</si>
  <si>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</si>
  <si>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</si>
  <si>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</si>
  <si>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</si>
  <si>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</si>
  <si>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</si>
  <si>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</si>
  <si>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</si>
  <si>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</si>
  <si>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</si>
  <si>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</si>
  <si>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</si>
  <si>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</si>
  <si>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</si>
  <si>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</si>
  <si>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</si>
  <si>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</si>
  <si>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</si>
  <si>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</si>
  <si>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</si>
  <si>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</si>
  <si>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</si>
  <si>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</si>
  <si>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</si>
  <si>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</si>
  <si>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</si>
  <si>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</si>
  <si>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</si>
  <si>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</si>
  <si>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</si>
  <si>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</si>
  <si>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</si>
  <si>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</si>
  <si>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</si>
  <si>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</si>
  <si>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</si>
  <si>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</si>
  <si>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</si>
  <si>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</si>
  <si>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</si>
  <si>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</si>
  <si>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</si>
  <si>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</si>
  <si>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</si>
  <si>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</si>
  <si>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</si>
  <si>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</si>
  <si>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</si>
  <si>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</si>
  <si>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</si>
  <si>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</si>
  <si>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</si>
  <si>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</si>
  <si>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</si>
  <si>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</si>
  <si>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</si>
  <si>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</si>
  <si>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</si>
  <si>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</si>
  <si>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</si>
  <si>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</si>
  <si>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</si>
  <si>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</si>
  <si>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</si>
  <si>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</si>
  <si>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</si>
  <si>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</si>
  <si>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</si>
  <si>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</si>
  <si>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</si>
  <si>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</si>
  <si>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</si>
  <si>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</si>
  <si>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</si>
  <si>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</si>
  <si>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</si>
  <si>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</si>
  <si>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</si>
  <si>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</si>
  <si>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</si>
  <si>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</si>
  <si>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</si>
  <si>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</si>
  <si>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</si>
  <si>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</si>
  <si>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</si>
  <si>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</si>
  <si>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</si>
  <si>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</si>
  <si>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</si>
  <si>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</si>
  <si>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</si>
  <si>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</si>
  <si>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</si>
  <si>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</si>
  <si>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</si>
  <si>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</si>
  <si>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</si>
  <si>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</si>
  <si>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</si>
  <si>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</si>
  <si>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</si>
  <si>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</si>
  <si>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</si>
  <si>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</si>
  <si>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</si>
  <si>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</si>
  <si>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</si>
  <si>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</si>
  <si>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</si>
  <si>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</si>
  <si>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</si>
  <si>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</si>
  <si>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</si>
  <si>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</si>
  <si>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</si>
  <si>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</si>
  <si>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</si>
  <si>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</si>
  <si>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</si>
  <si>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</si>
  <si>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</si>
  <si>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</si>
  <si>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</si>
  <si>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</si>
  <si>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</si>
  <si>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</si>
  <si>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</si>
  <si>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</si>
  <si>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</si>
  <si>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</si>
  <si>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</si>
  <si>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</si>
  <si>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</si>
  <si>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</si>
  <si>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</si>
  <si>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</si>
  <si>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</si>
  <si>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</si>
  <si>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</si>
  <si>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</si>
  <si>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</si>
  <si>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</si>
  <si>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</si>
  <si>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</si>
  <si>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</si>
  <si>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</si>
  <si>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</si>
  <si>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</si>
  <si>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</si>
  <si>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</si>
  <si>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</si>
  <si>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</si>
  <si>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</si>
  <si>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</si>
  <si>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</si>
  <si>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</si>
  <si>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</si>
  <si>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</si>
  <si>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</si>
  <si>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</si>
  <si>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</si>
  <si>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</si>
  <si>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</si>
  <si>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</si>
  <si>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</si>
  <si>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</si>
  <si>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</si>
  <si>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</si>
  <si>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</si>
  <si>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</si>
  <si>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</si>
  <si>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</si>
  <si>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</si>
  <si>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</si>
  <si>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</si>
  <si>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</si>
  <si>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</si>
  <si>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</si>
  <si>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</si>
  <si>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</si>
  <si>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</si>
  <si>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</si>
  <si>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</si>
  <si>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</si>
  <si>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</si>
  <si>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</si>
  <si>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</si>
  <si>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</si>
  <si>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</si>
  <si>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</si>
  <si>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</si>
  <si>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</si>
  <si>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</si>
  <si>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</si>
  <si>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</si>
  <si>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</si>
  <si>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</si>
  <si>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</si>
  <si>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</si>
  <si>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</si>
  <si>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</si>
  <si>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</si>
  <si>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</si>
  <si>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</si>
  <si>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</si>
  <si>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</si>
  <si>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</si>
  <si>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</si>
  <si>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</si>
  <si>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</si>
  <si>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</si>
  <si>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</si>
  <si>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</si>
  <si>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</si>
  <si>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</si>
  <si>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</si>
  <si>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</si>
  <si>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</si>
  <si>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</si>
  <si>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</si>
  <si>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</si>
  <si>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</si>
  <si>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</si>
  <si>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</si>
  <si>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</si>
  <si>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</si>
  <si>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</si>
  <si>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</si>
  <si>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</si>
  <si>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</si>
  <si>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</si>
  <si>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</si>
  <si>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</si>
  <si>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</si>
  <si>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</si>
  <si>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</si>
  <si>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</si>
  <si>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</si>
  <si>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</si>
  <si>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</si>
  <si>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</si>
  <si>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</si>
  <si>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</si>
  <si>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</si>
  <si>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</si>
  <si>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</si>
  <si>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</si>
  <si>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</si>
  <si>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</si>
  <si>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</si>
  <si>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</si>
  <si>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</si>
  <si>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</si>
  <si>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</si>
  <si>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</si>
  <si>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</si>
  <si>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</si>
  <si>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</si>
  <si>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</si>
  <si>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</si>
  <si>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</si>
  <si>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</si>
  <si>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</si>
  <si>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</si>
  <si>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</si>
  <si>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</si>
  <si>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</si>
  <si>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</si>
  <si>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</si>
  <si>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</si>
  <si>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</si>
  <si>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</si>
  <si>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</si>
  <si>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</si>
  <si>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</si>
  <si>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</si>
  <si>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</si>
  <si>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</si>
  <si>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</si>
  <si>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</si>
  <si>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</si>
  <si>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</si>
  <si>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</si>
  <si>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</si>
  <si>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</si>
  <si>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</si>
  <si>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</si>
  <si>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</si>
  <si>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</si>
  <si>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</si>
  <si>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</si>
  <si>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</si>
  <si>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</si>
  <si>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</si>
  <si>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</si>
  <si>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</si>
  <si>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</si>
  <si>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</si>
  <si>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</si>
  <si>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</si>
  <si>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</si>
  <si>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</si>
  <si>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</si>
  <si>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</si>
  <si>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</si>
  <si>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</si>
  <si>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</si>
  <si>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</si>
  <si>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</si>
  <si>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</si>
  <si>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</si>
  <si>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</si>
  <si>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</si>
  <si>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</si>
  <si>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</si>
  <si>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</si>
  <si>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</si>
  <si>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</si>
  <si>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</si>
  <si>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</si>
  <si>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</si>
  <si>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</si>
  <si>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</si>
  <si>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</si>
  <si>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</si>
  <si>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</si>
  <si>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</si>
  <si>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</si>
  <si>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</si>
  <si>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</si>
  <si>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</si>
  <si>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</si>
  <si>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</si>
  <si>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</si>
  <si>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</si>
  <si>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</si>
  <si>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</si>
  <si>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</si>
  <si>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</si>
  <si>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</si>
  <si>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</si>
  <si>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</si>
  <si>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</si>
  <si>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</si>
  <si>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</si>
  <si>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</si>
  <si>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</si>
  <si>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</si>
  <si>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</si>
  <si>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</si>
  <si>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</si>
  <si>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</si>
  <si>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</si>
  <si>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</si>
  <si>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</si>
  <si>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</si>
  <si>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</si>
  <si>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</si>
  <si>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</si>
  <si>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</si>
  <si>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</si>
  <si>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</si>
  <si>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</si>
  <si>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</si>
  <si>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</si>
  <si>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</si>
  <si>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</si>
  <si>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</si>
  <si>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</si>
  <si>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</si>
  <si>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</si>
  <si>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</si>
  <si>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</si>
  <si>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</si>
  <si>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</si>
  <si>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</si>
  <si>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</si>
  <si>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</si>
  <si>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</si>
  <si>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</si>
  <si>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</si>
  <si>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</si>
  <si>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</si>
  <si>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</si>
  <si>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</si>
  <si>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</si>
  <si>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</si>
  <si>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</si>
  <si>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</si>
  <si>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</si>
  <si>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</si>
  <si>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</si>
  <si>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</si>
  <si>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</si>
  <si>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</si>
  <si>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</si>
  <si>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</si>
  <si>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</si>
  <si>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</si>
  <si>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</si>
  <si>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</si>
  <si>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</si>
  <si>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</si>
  <si>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</si>
  <si>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</si>
  <si>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</si>
  <si>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</si>
  <si>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</si>
  <si>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</si>
  <si>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</si>
  <si>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</si>
  <si>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</si>
  <si>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</si>
  <si>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</si>
  <si>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</si>
  <si>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</si>
  <si>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</si>
  <si>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</si>
  <si>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</si>
  <si>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</si>
  <si>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</si>
  <si>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</si>
  <si>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</si>
  <si>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</si>
  <si>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</si>
  <si>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</si>
  <si>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</si>
  <si>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</si>
  <si>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</si>
  <si>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</si>
  <si>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</si>
  <si>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</si>
  <si>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</si>
  <si>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</si>
  <si>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</si>
  <si>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</si>
  <si>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</si>
  <si>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</si>
  <si>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</si>
  <si>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</si>
  <si>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</si>
  <si>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</si>
  <si>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</si>
  <si>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</si>
  <si>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</si>
  <si>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</si>
  <si>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</si>
  <si>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</si>
  <si>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</si>
  <si>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</si>
  <si>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</si>
  <si>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</si>
  <si>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</si>
  <si>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</si>
  <si>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</si>
  <si>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</si>
  <si>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</si>
  <si>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</si>
  <si>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</si>
  <si>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</si>
  <si>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</si>
  <si>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</si>
  <si>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</si>
  <si>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</si>
  <si>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</si>
  <si>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</si>
  <si>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</si>
  <si>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</si>
  <si>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</si>
  <si>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</si>
  <si>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</si>
  <si>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</si>
  <si>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</si>
  <si>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</si>
  <si>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</si>
  <si>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</si>
  <si>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</si>
  <si>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</si>
  <si>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</si>
  <si>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</si>
  <si>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</si>
  <si>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</si>
  <si>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</si>
  <si>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</si>
  <si>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</si>
  <si>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</si>
  <si>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</si>
  <si>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</si>
  <si>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</si>
  <si>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</si>
  <si>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</si>
  <si>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</si>
  <si>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</si>
  <si>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</si>
  <si>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</si>
  <si>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</si>
  <si>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</si>
  <si>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</si>
  <si>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</si>
  <si>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</si>
  <si>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</si>
  <si>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</si>
  <si>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</si>
  <si>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</si>
  <si>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</si>
  <si>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</si>
  <si>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</si>
  <si>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</si>
  <si>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</si>
  <si>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</si>
  <si>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</si>
  <si>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</si>
  <si>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</si>
  <si>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</si>
  <si>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</si>
  <si>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</si>
  <si>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</si>
  <si>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</si>
  <si>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</si>
  <si>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</si>
  <si>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</si>
  <si>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</si>
  <si>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</si>
  <si>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</si>
  <si>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</si>
  <si>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</si>
  <si>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</si>
  <si>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</si>
  <si>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</si>
  <si>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</si>
  <si>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</si>
  <si>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</si>
  <si>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</si>
  <si>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</si>
  <si>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</si>
  <si>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</si>
  <si>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</si>
  <si>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</si>
  <si>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</si>
  <si>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</si>
  <si>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</si>
  <si>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</si>
  <si>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</si>
  <si>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</si>
  <si>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</si>
  <si>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</si>
  <si>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</si>
  <si>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</si>
  <si>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</si>
  <si>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</si>
  <si>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</si>
  <si>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</si>
  <si>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</si>
  <si>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</si>
  <si>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</si>
  <si>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</si>
  <si>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</si>
  <si>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</si>
  <si>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</si>
  <si>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</si>
  <si>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</si>
  <si>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</si>
  <si>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</si>
  <si>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</si>
  <si>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</si>
  <si>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</si>
  <si>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</si>
  <si>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</si>
  <si>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</si>
  <si>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</si>
  <si>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</si>
  <si>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</si>
  <si>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</si>
  <si>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</si>
  <si>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</si>
  <si>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</si>
  <si>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</si>
  <si>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</si>
  <si>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</si>
  <si>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</si>
  <si>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</si>
  <si>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</si>
  <si>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</si>
  <si>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</si>
  <si>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</si>
  <si>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</si>
  <si>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</si>
  <si>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</si>
  <si>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</si>
  <si>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</si>
  <si>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</si>
  <si>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</si>
  <si>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</si>
  <si>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</si>
  <si>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</si>
  <si>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</si>
  <si>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</si>
  <si>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</si>
  <si>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</si>
  <si>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</si>
  <si>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</si>
  <si>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</si>
  <si>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</si>
  <si>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</si>
  <si>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</si>
  <si>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</si>
  <si>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</si>
  <si>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</si>
  <si>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</si>
  <si>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</si>
  <si>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</si>
  <si>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</si>
  <si>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</si>
  <si>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</si>
  <si>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</si>
  <si>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</si>
  <si>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</si>
  <si>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</si>
  <si>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</si>
  <si>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</si>
  <si>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</si>
  <si>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</si>
  <si>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</si>
  <si>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</si>
  <si>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</si>
  <si>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</si>
  <si>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</si>
  <si>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</si>
  <si>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</si>
  <si>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</si>
  <si>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</si>
  <si>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</si>
  <si>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</si>
  <si>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</si>
  <si>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</si>
  <si>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</si>
  <si>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</si>
  <si>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</si>
  <si>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</si>
  <si>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</si>
  <si>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</si>
  <si>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</si>
  <si>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</si>
  <si>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</si>
  <si>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</si>
  <si>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</si>
  <si>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</si>
  <si>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</si>
  <si>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</si>
  <si>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</si>
  <si>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</si>
  <si>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</si>
  <si>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</si>
  <si>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</si>
  <si>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</si>
  <si>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</si>
  <si>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</si>
  <si>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</si>
  <si>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</si>
  <si>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</si>
  <si>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</si>
  <si>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</si>
  <si>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</si>
  <si>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</si>
  <si>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</si>
  <si>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</si>
  <si>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</si>
  <si>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</si>
  <si>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</si>
  <si>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</si>
  <si>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</si>
  <si>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</si>
  <si>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</si>
  <si>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</si>
  <si>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</si>
  <si>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</si>
  <si>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</si>
  <si>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</si>
  <si>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</si>
  <si>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</si>
  <si>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</si>
  <si>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</si>
  <si>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</si>
  <si>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</si>
  <si>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</si>
  <si>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</si>
  <si>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</si>
  <si>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</si>
  <si>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</si>
  <si>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</si>
  <si>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</si>
  <si>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</si>
  <si>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</si>
  <si>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</si>
  <si>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</si>
  <si>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</si>
  <si>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</si>
  <si>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</si>
  <si>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</si>
  <si>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</si>
  <si>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</si>
  <si>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</si>
  <si>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</si>
  <si>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</si>
  <si>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</si>
  <si>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</si>
  <si>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</si>
  <si>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</si>
  <si>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</si>
  <si>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</si>
  <si>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</si>
  <si>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</si>
  <si>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</si>
  <si>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</si>
  <si>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</si>
  <si>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</si>
  <si>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</si>
  <si>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</si>
  <si>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</si>
  <si>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</si>
  <si>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</si>
  <si>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</si>
  <si>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</si>
  <si>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</si>
  <si>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</si>
  <si>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</si>
  <si>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</si>
  <si>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</si>
  <si>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</si>
  <si>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</si>
  <si>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</si>
  <si>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</si>
  <si>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</si>
  <si>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</si>
  <si>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</si>
  <si>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</si>
  <si>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</si>
  <si>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</si>
  <si>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</si>
  <si>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</si>
  <si>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</si>
  <si>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</si>
  <si>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</si>
  <si>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</si>
  <si>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</si>
  <si>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</si>
  <si>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</si>
  <si>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</si>
  <si>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</si>
  <si>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</si>
  <si>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</si>
  <si>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</si>
  <si>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</si>
  <si>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</si>
  <si>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</si>
  <si>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</si>
  <si>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</si>
  <si>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</si>
  <si>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</si>
  <si>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</si>
  <si>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</si>
  <si>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</si>
  <si>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</si>
  <si>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</si>
  <si>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</si>
  <si>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</si>
  <si>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</si>
  <si>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</si>
  <si>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</si>
  <si>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</si>
  <si>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</si>
  <si>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</si>
  <si>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</si>
  <si>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</si>
  <si>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</si>
  <si>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</si>
  <si>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</si>
  <si>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</si>
  <si>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</si>
  <si>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</si>
  <si>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</si>
  <si>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</si>
  <si>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</si>
  <si>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</si>
  <si>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</si>
  <si>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</si>
  <si>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</si>
  <si>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</si>
  <si>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</si>
  <si>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</si>
  <si>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</si>
  <si>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</si>
  <si>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</si>
  <si>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</si>
  <si>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</si>
  <si>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</si>
  <si>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</si>
  <si>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</si>
  <si>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</si>
  <si>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</si>
  <si>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</si>
  <si>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</si>
  <si>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</si>
  <si>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</si>
  <si>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</si>
  <si>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</si>
  <si>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</si>
  <si>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</si>
  <si>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</si>
  <si>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</si>
  <si>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</si>
  <si>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</si>
  <si>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</si>
  <si>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</si>
  <si>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</si>
  <si>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</si>
  <si>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</si>
  <si>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</si>
  <si>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</si>
  <si>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</si>
  <si>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</si>
  <si>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</si>
  <si>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</si>
  <si>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</si>
  <si>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</si>
  <si>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</si>
  <si>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</si>
  <si>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</si>
  <si>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</si>
  <si>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</si>
  <si>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</si>
  <si>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</si>
  <si>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</si>
  <si>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</si>
  <si>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</si>
  <si>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</si>
  <si>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</si>
  <si>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</si>
  <si>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</si>
  <si>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</si>
  <si>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</si>
  <si>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</si>
  <si>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</si>
  <si>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</si>
  <si>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</si>
  <si>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</si>
  <si>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</si>
  <si>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</si>
  <si>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</si>
  <si>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</si>
  <si>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</si>
  <si>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</si>
  <si>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</si>
  <si>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</si>
  <si>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</si>
  <si>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</si>
  <si>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</si>
  <si>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</si>
  <si>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</si>
  <si>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</si>
  <si>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</si>
  <si>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</si>
  <si>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</si>
  <si>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</si>
  <si>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</si>
  <si>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</si>
  <si>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</si>
  <si>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</si>
  <si>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</si>
  <si>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</si>
  <si>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</si>
  <si>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</si>
  <si>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</si>
  <si>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</si>
  <si>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</si>
  <si>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</si>
  <si>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</si>
  <si>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</si>
  <si>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</si>
  <si>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</si>
  <si>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</si>
  <si>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</si>
  <si>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</si>
  <si>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</si>
  <si>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</si>
  <si>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</si>
  <si>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</si>
  <si>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</si>
  <si>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</si>
  <si>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</si>
  <si>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</si>
  <si>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</si>
  <si>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</si>
  <si>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</si>
  <si>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</si>
  <si>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</si>
  <si>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</si>
  <si>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</si>
  <si>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</si>
  <si>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</si>
  <si>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</si>
  <si>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</si>
  <si>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</si>
  <si>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</si>
  <si>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</si>
  <si>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</si>
  <si>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</si>
  <si>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</si>
  <si>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</si>
  <si>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</si>
  <si>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</si>
  <si>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</si>
  <si>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</si>
  <si>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</si>
  <si>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</si>
  <si>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</si>
  <si>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</si>
  <si>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</si>
  <si>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</si>
  <si>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</si>
  <si>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</si>
  <si>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</si>
  <si>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</si>
  <si>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</si>
  <si>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</si>
  <si>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</si>
  <si>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</si>
  <si>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</si>
  <si>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</si>
  <si>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</si>
  <si>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</si>
  <si>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</si>
  <si>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</si>
  <si>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</si>
  <si>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</si>
  <si>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</si>
  <si>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</si>
  <si>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</si>
  <si>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</si>
  <si>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</si>
  <si>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</si>
  <si>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</si>
  <si>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</si>
  <si>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</si>
  <si>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</si>
  <si>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</si>
  <si>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</si>
  <si>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</si>
  <si>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</si>
  <si>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</si>
  <si>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</si>
  <si>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</si>
  <si>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</si>
  <si>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</si>
  <si>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</si>
  <si>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</si>
  <si>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</si>
  <si>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</si>
  <si>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</si>
  <si>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</si>
  <si>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</si>
  <si>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</si>
  <si>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</si>
  <si>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</si>
  <si>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</si>
  <si>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</si>
  <si>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</si>
  <si>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</si>
  <si>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</si>
  <si>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</si>
  <si>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</si>
  <si>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</si>
  <si>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</si>
  <si>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</si>
  <si>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</si>
  <si>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</si>
  <si>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</si>
  <si>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</si>
  <si>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</si>
  <si>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</si>
  <si>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</si>
  <si>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</si>
  <si>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</si>
  <si>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</si>
  <si>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</si>
  <si>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</si>
  <si>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</si>
  <si>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</si>
  <si>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</si>
  <si>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</si>
  <si>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</si>
  <si>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</si>
  <si>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</si>
  <si>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</si>
  <si>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</si>
  <si>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</si>
  <si>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</si>
  <si>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</si>
  <si>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</si>
  <si>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</si>
  <si>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</si>
  <si>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</si>
  <si>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</si>
  <si>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</si>
  <si>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</si>
  <si>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</si>
  <si>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</si>
  <si>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</si>
  <si>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</si>
  <si>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</si>
  <si>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</si>
  <si>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</si>
  <si>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</si>
  <si>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</si>
  <si>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</si>
  <si>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</si>
  <si>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</si>
  <si>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</si>
  <si>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</si>
  <si>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</si>
  <si>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</si>
  <si>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</si>
  <si>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</si>
  <si>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</si>
  <si>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</si>
  <si>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</si>
  <si>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</si>
  <si>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</si>
  <si>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</si>
  <si>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</si>
  <si>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</si>
  <si>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</si>
  <si>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</si>
  <si>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</si>
  <si>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</si>
  <si>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</si>
  <si>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</si>
  <si>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</si>
  <si>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</si>
  <si>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</si>
  <si>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</si>
  <si>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</si>
  <si>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</si>
  <si>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</si>
  <si>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</si>
  <si>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</si>
  <si>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</si>
  <si>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</si>
  <si>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</si>
  <si>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</si>
  <si>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</si>
  <si>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</si>
  <si>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</si>
  <si>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</si>
  <si>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</si>
  <si>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</si>
  <si>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</si>
  <si>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</si>
  <si>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</si>
  <si>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</si>
  <si>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</si>
  <si>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</si>
  <si>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</si>
  <si>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</si>
  <si>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</si>
  <si>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</si>
  <si>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</si>
  <si>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</si>
  <si>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</si>
  <si>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</si>
  <si>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</si>
  <si>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</si>
  <si>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</si>
  <si>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</si>
  <si>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</si>
  <si>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</si>
  <si>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</si>
  <si>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</si>
  <si>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</si>
  <si>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</si>
  <si>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</si>
  <si>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</si>
  <si>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</si>
  <si>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</si>
  <si>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</si>
  <si>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</si>
  <si>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</si>
  <si>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</si>
  <si>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</si>
  <si>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</si>
  <si>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</si>
  <si>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</si>
  <si>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</si>
  <si>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</si>
  <si>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</si>
  <si>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</si>
  <si>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</si>
  <si>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</si>
  <si>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</si>
  <si>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</si>
  <si>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</si>
  <si>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</si>
  <si>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</si>
  <si>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</si>
  <si>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</si>
  <si>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</si>
  <si>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</si>
  <si>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</si>
  <si>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</si>
  <si>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</si>
  <si>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</si>
  <si>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</si>
  <si>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</si>
  <si>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</si>
  <si>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</si>
  <si>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</si>
  <si>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</si>
  <si>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</si>
  <si>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</si>
  <si>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</si>
  <si>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</si>
  <si>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</si>
  <si>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</si>
  <si>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</si>
  <si>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</si>
  <si>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</si>
  <si>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</si>
  <si>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</si>
  <si>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</si>
  <si>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</si>
  <si>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</si>
  <si>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</si>
  <si>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</si>
  <si>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</si>
  <si>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</si>
  <si>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</si>
  <si>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</si>
  <si>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</si>
  <si>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</si>
  <si>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</si>
  <si>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</si>
  <si>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</si>
  <si>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</si>
  <si>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</si>
  <si>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</si>
  <si>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</si>
  <si>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</si>
  <si>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</si>
  <si>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</si>
  <si>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</si>
  <si>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</si>
  <si>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</si>
  <si>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</si>
  <si>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</si>
  <si>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</si>
  <si>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</si>
  <si>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</si>
  <si>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</si>
  <si>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</si>
  <si>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</si>
  <si>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</si>
  <si>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</si>
  <si>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</si>
  <si>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</si>
  <si>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</si>
  <si>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</si>
  <si>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</si>
  <si>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</si>
  <si>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</si>
  <si>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</si>
  <si>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</si>
  <si>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</si>
  <si>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</si>
  <si>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</si>
  <si>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</si>
  <si>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</si>
  <si>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</si>
  <si>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</si>
  <si>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</si>
  <si>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</si>
  <si>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</si>
  <si>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</si>
  <si>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</si>
  <si>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</si>
  <si>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</si>
  <si>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</si>
  <si>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</si>
  <si>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</si>
  <si>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</si>
  <si>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</si>
  <si>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</si>
  <si>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</si>
  <si>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</si>
  <si>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</si>
  <si>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</si>
  <si>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</si>
  <si>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</si>
  <si>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</si>
  <si>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</si>
  <si>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</si>
  <si>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</si>
  <si>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</si>
  <si>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</si>
  <si>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</si>
  <si>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</si>
  <si>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</si>
  <si>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</si>
  <si>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</si>
  <si>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</si>
  <si>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</si>
  <si>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</si>
  <si>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</si>
  <si>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</si>
  <si>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</si>
  <si>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</si>
  <si>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</si>
  <si>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</si>
  <si>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</si>
  <si>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</si>
  <si>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</si>
  <si>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</si>
  <si>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</si>
  <si>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</si>
  <si>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</si>
  <si>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</si>
  <si>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</si>
  <si>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</si>
  <si>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</si>
  <si>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</si>
  <si>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</si>
  <si>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</si>
  <si>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</si>
  <si>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</si>
  <si>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</si>
  <si>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</si>
  <si>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</si>
  <si>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</si>
  <si>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</si>
  <si>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</si>
  <si>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</si>
  <si>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</si>
  <si>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</si>
  <si>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</si>
  <si>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</si>
  <si>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</si>
  <si>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</si>
  <si>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</si>
  <si>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</si>
  <si>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</si>
  <si>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</si>
  <si>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</si>
  <si>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</si>
  <si>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</si>
  <si>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</si>
  <si>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</si>
  <si>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</si>
  <si>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</si>
  <si>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</si>
  <si>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</si>
  <si>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</si>
  <si>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</si>
  <si>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</si>
  <si>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</si>
  <si>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</si>
  <si>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</si>
  <si>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</si>
  <si>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</si>
  <si>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</si>
  <si>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</si>
  <si>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</si>
  <si>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</si>
  <si>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</si>
  <si>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</si>
  <si>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</si>
  <si>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</si>
  <si>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</si>
  <si>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</si>
  <si>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</si>
  <si>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</si>
  <si>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</si>
  <si>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</si>
  <si>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</si>
  <si>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</si>
  <si>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</si>
  <si>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</si>
  <si>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</si>
  <si>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</si>
  <si>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</si>
  <si>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</si>
  <si>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</si>
  <si>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</si>
  <si>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</si>
  <si>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</si>
  <si>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</si>
  <si>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</si>
  <si>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</si>
  <si>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</si>
  <si>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</si>
  <si>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</si>
  <si>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</si>
  <si>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</si>
  <si>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</si>
  <si>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</si>
  <si>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</si>
  <si>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</si>
  <si>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</si>
  <si>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</si>
  <si>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</si>
  <si>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</si>
  <si>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</si>
  <si>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</si>
  <si>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</si>
  <si>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</si>
  <si>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</si>
  <si>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</si>
  <si>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</si>
  <si>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</si>
  <si>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</si>
  <si>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</si>
  <si>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</si>
  <si>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</si>
  <si>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</si>
  <si>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</si>
  <si>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</si>
  <si>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</si>
  <si>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</si>
  <si>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</si>
  <si>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</si>
  <si>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</si>
  <si>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</si>
  <si>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</si>
  <si>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</si>
  <si>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</si>
  <si>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</si>
  <si>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</si>
  <si>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</si>
  <si>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</si>
  <si>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</si>
  <si>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</si>
  <si>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</si>
  <si>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</si>
  <si>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</si>
  <si>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</si>
  <si>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</si>
  <si>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</si>
  <si>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</si>
  <si>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</si>
  <si>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</si>
  <si>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</si>
  <si>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</si>
  <si>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</si>
  <si>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</si>
  <si>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</si>
  <si>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</si>
  <si>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</si>
  <si>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</si>
  <si>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</si>
  <si>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</si>
  <si>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</si>
  <si>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</si>
  <si>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</si>
  <si>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</si>
  <si>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</si>
  <si>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</si>
  <si>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</si>
  <si>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</si>
  <si>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</si>
  <si>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</si>
  <si>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</si>
  <si>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</si>
  <si>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</si>
  <si>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</si>
  <si>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</si>
  <si>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</si>
  <si>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</si>
  <si>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</si>
  <si>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</si>
  <si>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</si>
  <si>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</si>
  <si>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</si>
  <si>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</si>
  <si>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</si>
  <si>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</si>
  <si>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</si>
  <si>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</si>
  <si>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</si>
  <si>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</si>
  <si>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</si>
  <si>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</si>
  <si>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</si>
  <si>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</si>
  <si>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</si>
  <si>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</si>
  <si>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</si>
  <si>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</si>
  <si>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</si>
  <si>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</si>
  <si>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</si>
  <si>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</si>
  <si>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</si>
  <si>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</si>
  <si>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</si>
  <si>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</si>
  <si>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</si>
  <si>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</si>
  <si>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</si>
  <si>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</si>
  <si>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</si>
  <si>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</si>
  <si>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</si>
  <si>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</si>
  <si>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</si>
  <si>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</si>
  <si>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</si>
  <si>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</si>
  <si>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</si>
  <si>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</si>
  <si>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</si>
  <si>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</si>
  <si>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</si>
  <si>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</si>
  <si>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</si>
  <si>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</si>
  <si>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</si>
  <si>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</si>
  <si>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</si>
  <si>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</si>
  <si>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</si>
  <si>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</si>
  <si>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</si>
  <si>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</si>
  <si>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</si>
  <si>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</si>
  <si>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</si>
  <si>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</si>
  <si>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</si>
  <si>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</si>
  <si>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</si>
  <si>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</si>
  <si>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</si>
  <si>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</si>
  <si>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</si>
  <si>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</si>
  <si>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</si>
  <si>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</si>
  <si>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</si>
  <si>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</si>
  <si>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</si>
  <si>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</si>
  <si>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</si>
  <si>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</si>
  <si>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</si>
  <si>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</si>
  <si>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</si>
  <si>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</si>
  <si>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</si>
  <si>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</si>
  <si>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</si>
  <si>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</si>
  <si>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</si>
  <si>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</si>
  <si>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</si>
  <si>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</si>
  <si>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</si>
  <si>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</si>
  <si>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</si>
  <si>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</si>
  <si>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</si>
  <si>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</si>
  <si>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</si>
  <si>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</si>
  <si>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</si>
  <si>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</si>
  <si>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</si>
  <si>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</si>
  <si>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</si>
  <si>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</si>
  <si>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</si>
  <si>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</si>
  <si>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</si>
  <si>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</si>
  <si>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</si>
  <si>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</si>
  <si>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</si>
  <si>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</si>
  <si>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</si>
  <si>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</si>
  <si>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</si>
  <si>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</si>
  <si>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</si>
  <si>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</si>
  <si>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</si>
  <si>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</si>
  <si>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</si>
  <si>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</si>
  <si>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</si>
  <si>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</si>
  <si>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</si>
  <si>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</si>
  <si>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</si>
  <si>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</si>
  <si>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</si>
  <si>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</si>
  <si>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</si>
  <si>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</si>
  <si>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</si>
  <si>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</si>
  <si>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</si>
  <si>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</si>
  <si>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</si>
  <si>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</si>
  <si>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</si>
  <si>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</si>
  <si>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</si>
  <si>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</si>
  <si>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</si>
  <si>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</si>
  <si>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</si>
  <si>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</si>
  <si>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</si>
  <si>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</si>
  <si>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</si>
  <si>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</si>
  <si>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</si>
  <si>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</si>
  <si>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</si>
  <si>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</si>
  <si>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</si>
  <si>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</si>
  <si>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</si>
  <si>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</si>
  <si>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</si>
  <si>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</si>
  <si>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</si>
  <si>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</si>
  <si>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</si>
  <si>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</si>
  <si>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</si>
  <si>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</si>
  <si>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</si>
  <si>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</si>
  <si>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</si>
  <si>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</si>
  <si>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</si>
  <si>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</si>
  <si>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</si>
  <si>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</si>
  <si>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</si>
  <si>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</si>
  <si>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</si>
  <si>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</si>
  <si>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</si>
  <si>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</si>
  <si>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</si>
  <si>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</si>
  <si>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</si>
  <si>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</si>
  <si>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</si>
  <si>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</si>
  <si>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</si>
  <si>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</si>
  <si>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</si>
  <si>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</si>
  <si>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</si>
  <si>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</si>
  <si>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</si>
  <si>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</si>
  <si>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</si>
  <si>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</si>
  <si>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</si>
  <si>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</si>
  <si>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</si>
  <si>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</si>
  <si>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</si>
  <si>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</si>
  <si>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</si>
  <si>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</si>
  <si>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</si>
  <si>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</si>
  <si>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</si>
  <si>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</si>
  <si>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</si>
  <si>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</si>
  <si>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</si>
  <si>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</si>
  <si>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</si>
  <si>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</si>
  <si>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</si>
  <si>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</si>
  <si>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</si>
  <si>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</si>
  <si>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</si>
  <si>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</si>
  <si>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</si>
  <si>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</si>
  <si>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</si>
  <si>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</si>
  <si>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</si>
  <si>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</si>
  <si>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</si>
  <si>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</si>
  <si>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</si>
  <si>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</si>
  <si>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</si>
  <si>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</si>
  <si>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</si>
  <si>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</si>
  <si>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</si>
  <si>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</si>
  <si>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</si>
  <si>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</si>
  <si>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</si>
  <si>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</si>
  <si>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</si>
  <si>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</si>
  <si>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</si>
  <si>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</si>
  <si>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</si>
  <si>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</si>
  <si>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</si>
  <si>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</si>
  <si>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</si>
  <si>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</si>
  <si>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</si>
  <si>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</si>
  <si>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</si>
  <si>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</si>
  <si>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</si>
  <si>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</si>
  <si>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</si>
  <si>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</si>
  <si>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</si>
  <si>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</si>
  <si>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</si>
  <si>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</si>
  <si>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</si>
  <si>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</si>
  <si>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</si>
  <si>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</si>
  <si>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</si>
  <si>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</si>
  <si>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</si>
  <si>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</si>
  <si>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</si>
  <si>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</si>
  <si>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</si>
  <si>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</si>
  <si>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</si>
  <si>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</si>
  <si>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</si>
  <si>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</si>
  <si>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</si>
  <si>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</si>
  <si>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</si>
  <si>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</si>
  <si>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</si>
  <si>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</si>
  <si>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</si>
  <si>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</si>
  <si>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</si>
  <si>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</si>
  <si>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</si>
  <si>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</si>
  <si>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</si>
  <si>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</si>
  <si>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</si>
  <si>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</si>
  <si>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</si>
  <si>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</si>
  <si>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</si>
  <si>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</si>
  <si>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</si>
  <si>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</si>
  <si>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</si>
  <si>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</si>
  <si>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</si>
  <si>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</si>
  <si>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</si>
  <si>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</si>
  <si>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</si>
  <si>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</si>
  <si>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</si>
  <si>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</si>
  <si>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</si>
  <si>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</si>
  <si>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</si>
  <si>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</si>
  <si>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</si>
  <si>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</si>
  <si>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</si>
  <si>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</si>
  <si>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</si>
  <si>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</si>
  <si>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</si>
  <si>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</si>
  <si>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</si>
  <si>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</si>
  <si>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</si>
  <si>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</si>
  <si>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</si>
  <si>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</si>
  <si>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</si>
  <si>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</si>
  <si>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</si>
  <si>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</si>
  <si>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</si>
  <si>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</si>
  <si>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</si>
  <si>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</si>
  <si>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</si>
  <si>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</si>
  <si>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</si>
  <si>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</si>
  <si>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</si>
  <si>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</si>
  <si>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</si>
  <si>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</si>
  <si>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</si>
  <si>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</si>
  <si>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</si>
  <si>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</si>
  <si>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</si>
  <si>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</si>
  <si>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</si>
  <si>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</si>
  <si>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</si>
  <si>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</si>
  <si>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</si>
  <si>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</si>
  <si>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</si>
  <si>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</si>
  <si>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</si>
  <si>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</si>
  <si>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</si>
  <si>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</si>
  <si>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</si>
  <si>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</si>
  <si>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</si>
  <si>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</si>
  <si>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</si>
  <si>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</si>
  <si>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</si>
  <si>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</si>
  <si>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</si>
  <si>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</si>
  <si>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</si>
  <si>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</si>
  <si>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</si>
  <si>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</si>
  <si>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</si>
  <si>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</si>
  <si>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</si>
  <si>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</si>
  <si>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</si>
  <si>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</si>
  <si>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</si>
  <si>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</si>
  <si>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</si>
  <si>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</si>
  <si>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</si>
  <si>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</si>
  <si>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</si>
  <si>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</si>
  <si>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</si>
  <si>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</si>
  <si>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</si>
  <si>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</si>
  <si>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</si>
  <si>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</si>
  <si>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</si>
  <si>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</si>
  <si>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</si>
  <si>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</si>
  <si>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</si>
  <si>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</si>
  <si>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</si>
  <si>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</si>
  <si>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</si>
  <si>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</si>
  <si>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</si>
  <si>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</si>
  <si>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</si>
  <si>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</si>
  <si>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</si>
  <si>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</si>
  <si>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</si>
  <si>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</si>
  <si>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</si>
  <si>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</si>
  <si>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</si>
  <si>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</si>
  <si>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</si>
  <si>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</si>
  <si>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</si>
  <si>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</si>
  <si>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</si>
  <si>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</si>
  <si>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</si>
  <si>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</si>
  <si>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</si>
  <si>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</si>
  <si>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</si>
  <si>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</si>
  <si>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</si>
  <si>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</si>
  <si>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</si>
  <si>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</si>
  <si>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</si>
  <si>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</si>
  <si>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</si>
  <si>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</si>
  <si>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</si>
  <si>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</si>
  <si>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</si>
  <si>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</si>
  <si>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</si>
  <si>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</si>
  <si>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</si>
  <si>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</si>
  <si>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</si>
  <si>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</si>
  <si>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</si>
  <si>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</si>
  <si>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</si>
  <si>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</si>
  <si>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</si>
  <si>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</si>
  <si>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</si>
  <si>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</si>
  <si>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</si>
  <si>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</si>
  <si>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</si>
  <si>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</si>
  <si>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</si>
  <si>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</si>
  <si>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</si>
  <si>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</si>
  <si>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</si>
  <si>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</si>
  <si>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</si>
  <si>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</si>
  <si>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</si>
  <si>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</si>
  <si>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</si>
  <si>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</si>
  <si>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</si>
  <si>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</si>
  <si>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</si>
  <si>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</si>
  <si>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</si>
  <si>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</si>
  <si>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</si>
  <si>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</si>
  <si>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</si>
  <si>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</si>
  <si>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</si>
  <si>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</si>
  <si>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</si>
  <si>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</si>
  <si>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</si>
  <si>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</si>
  <si>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</si>
  <si>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</si>
  <si>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</si>
  <si>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</si>
  <si>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</si>
  <si>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</si>
  <si>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</si>
  <si>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</si>
  <si>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</si>
  <si>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</si>
  <si>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</si>
  <si>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</si>
  <si>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</si>
  <si>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</si>
  <si>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</si>
  <si>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</si>
  <si>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</si>
  <si>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</si>
  <si>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</si>
  <si>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</si>
  <si>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</si>
  <si>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</si>
  <si>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</si>
  <si>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</si>
  <si>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</si>
  <si>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</si>
  <si>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</si>
  <si>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</si>
  <si>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</si>
  <si>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</si>
  <si>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</si>
  <si>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</si>
  <si>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</si>
  <si>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</si>
  <si>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</si>
  <si>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</si>
  <si>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</si>
  <si>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</si>
  <si>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</si>
  <si>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</si>
  <si>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</si>
  <si>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</si>
  <si>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</si>
  <si>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</si>
  <si>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</si>
  <si>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</si>
  <si>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</si>
  <si>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</si>
  <si>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</si>
  <si>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</si>
  <si>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</si>
  <si>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</si>
  <si>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</si>
  <si>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</si>
  <si>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</si>
  <si>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</si>
  <si>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</si>
  <si>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</si>
  <si>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</si>
  <si>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</si>
  <si>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</si>
  <si>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</si>
  <si>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</si>
  <si>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</si>
  <si>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</si>
  <si>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</si>
  <si>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</si>
  <si>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</si>
  <si>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</si>
  <si>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</si>
  <si>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</si>
  <si>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</si>
  <si>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</si>
  <si>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</si>
  <si>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</si>
  <si>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</si>
  <si>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</si>
  <si>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</si>
  <si>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</si>
  <si>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</si>
  <si>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</si>
  <si>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</si>
  <si>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</si>
  <si>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</si>
  <si>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</si>
  <si>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</si>
  <si>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</si>
  <si>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</si>
  <si>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</si>
  <si>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</si>
  <si>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</si>
  <si>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</si>
  <si>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</si>
  <si>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</si>
  <si>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</si>
  <si>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</si>
  <si>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</si>
  <si>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</si>
  <si>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</si>
  <si>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</si>
  <si>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</si>
  <si>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</si>
  <si>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</si>
  <si>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</si>
  <si>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</si>
  <si>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</si>
  <si>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</si>
  <si>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</si>
  <si>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</si>
  <si>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</si>
  <si>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</si>
  <si>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</si>
  <si>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</si>
  <si>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</si>
  <si>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</si>
  <si>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</si>
  <si>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</si>
  <si>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</si>
  <si>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</si>
  <si>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</si>
  <si>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</si>
  <si>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</si>
  <si>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</si>
  <si>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</si>
  <si>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</si>
  <si>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</si>
  <si>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</si>
  <si>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</si>
  <si>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</si>
  <si>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</si>
  <si>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</si>
  <si>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</si>
  <si>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</si>
  <si>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</si>
  <si>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</si>
  <si>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</si>
  <si>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</si>
  <si>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</si>
  <si>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</si>
  <si>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</si>
  <si>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</si>
  <si>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</si>
  <si>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</si>
  <si>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</si>
  <si>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</si>
  <si>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</si>
  <si>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</si>
  <si>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</si>
  <si>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</si>
  <si>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</si>
  <si>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</si>
  <si>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</si>
  <si>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</si>
  <si>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</si>
  <si>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</si>
  <si>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</si>
  <si>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</si>
  <si>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</si>
  <si>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</si>
  <si>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</si>
  <si>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</si>
  <si>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</si>
  <si>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</si>
  <si>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</si>
  <si>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</si>
  <si>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</si>
  <si>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</si>
  <si>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</si>
  <si>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</si>
  <si>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</si>
  <si>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</si>
  <si>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</si>
  <si>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</si>
  <si>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</si>
  <si>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</si>
  <si>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</si>
  <si>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</si>
  <si>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</si>
  <si>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</si>
  <si>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</si>
  <si>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</si>
  <si>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</si>
  <si>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</si>
  <si>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</si>
  <si>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</si>
  <si>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</si>
  <si>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</si>
  <si>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</si>
  <si>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</si>
  <si>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</si>
  <si>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</si>
  <si>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</si>
  <si>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</si>
  <si>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</si>
  <si>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</si>
  <si>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</si>
  <si>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</si>
  <si>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</si>
  <si>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</si>
  <si>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</si>
  <si>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</si>
  <si>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</si>
  <si>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</si>
  <si>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</si>
  <si>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</si>
  <si>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</si>
  <si>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</si>
  <si>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</si>
  <si>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</si>
  <si>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</si>
  <si>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</si>
  <si>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</si>
  <si>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</si>
  <si>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</si>
  <si>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</si>
  <si>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</si>
  <si>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</si>
  <si>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</si>
  <si>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</si>
  <si>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</si>
  <si>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</si>
  <si>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</si>
  <si>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</si>
  <si>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</si>
  <si>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</si>
  <si>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</si>
  <si>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</si>
  <si>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</si>
  <si>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</si>
  <si>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</si>
  <si>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</si>
  <si>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</si>
  <si>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</si>
  <si>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</si>
  <si>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</si>
  <si>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</si>
  <si>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</si>
  <si>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</si>
  <si>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</si>
  <si>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</si>
  <si>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</si>
  <si>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</si>
  <si>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</si>
  <si>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</si>
  <si>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</si>
  <si>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</si>
  <si>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</si>
  <si>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</si>
  <si>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</si>
  <si>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</si>
  <si>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</si>
  <si>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</si>
  <si>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</si>
  <si>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</si>
  <si>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</si>
  <si>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</si>
  <si>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</si>
  <si>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</si>
  <si>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</si>
  <si>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</si>
  <si>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</si>
  <si>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</si>
  <si>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</si>
  <si>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</si>
  <si>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</si>
  <si>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</si>
  <si>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</si>
  <si>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</si>
  <si>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</si>
  <si>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</si>
  <si>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</si>
  <si>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</si>
  <si>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</si>
  <si>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</si>
  <si>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</si>
  <si>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</si>
  <si>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</si>
  <si>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</si>
  <si>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</si>
  <si>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</si>
  <si>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</si>
  <si>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</si>
  <si>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</si>
  <si>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</si>
  <si>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</si>
  <si>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</si>
  <si>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</si>
  <si>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</si>
  <si>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</si>
  <si>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</si>
  <si>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</si>
  <si>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</si>
  <si>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</si>
  <si>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</si>
  <si>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</si>
  <si>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</si>
  <si>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</si>
  <si>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</si>
  <si>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</si>
  <si>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</si>
  <si>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</si>
  <si>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</si>
  <si>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</si>
  <si>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</si>
  <si>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</si>
  <si>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</si>
  <si>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</si>
  <si>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</si>
  <si>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</si>
  <si>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</si>
  <si>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</si>
  <si>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</si>
  <si>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</si>
  <si>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</si>
  <si>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</si>
  <si>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</si>
  <si>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</si>
  <si>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</si>
  <si>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</si>
  <si>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</si>
  <si>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</si>
  <si>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</si>
  <si>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</si>
  <si>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</si>
  <si>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</si>
  <si>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</si>
  <si>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</si>
  <si>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</si>
  <si>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</si>
  <si>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</si>
  <si>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</si>
  <si>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</si>
  <si>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</si>
  <si>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</si>
  <si>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</si>
  <si>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</si>
  <si>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</si>
  <si>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</si>
  <si>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</si>
  <si>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</si>
  <si>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</si>
  <si>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</si>
  <si>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</si>
  <si>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</si>
  <si>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</si>
  <si>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</si>
  <si>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</si>
  <si>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</si>
  <si>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</si>
  <si>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</si>
  <si>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</si>
  <si>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</si>
  <si>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</si>
  <si>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</si>
  <si>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</si>
  <si>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</si>
  <si>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</si>
  <si>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</si>
  <si>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</si>
  <si>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</si>
  <si>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</si>
  <si>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</si>
  <si>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</si>
  <si>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</si>
  <si>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</si>
  <si>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</si>
  <si>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</si>
  <si>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</si>
  <si>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</si>
  <si>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</si>
  <si>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</si>
  <si>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</si>
  <si>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</si>
  <si>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</si>
  <si>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</si>
  <si>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</si>
  <si>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</si>
  <si>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</si>
  <si>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</si>
  <si>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</si>
  <si>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</si>
  <si>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</si>
  <si>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</si>
  <si>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</si>
  <si>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</si>
  <si>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</si>
  <si>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</si>
  <si>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</si>
  <si>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</si>
  <si>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</si>
  <si>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</si>
  <si>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</si>
  <si>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</si>
  <si>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</si>
  <si>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</si>
  <si>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</si>
  <si>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</si>
  <si>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</si>
  <si>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</si>
  <si>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</si>
  <si>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</si>
  <si>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</si>
  <si>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</si>
  <si>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</si>
  <si>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</si>
  <si>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</si>
  <si>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</si>
  <si>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</si>
  <si>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</si>
  <si>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</si>
  <si>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</si>
  <si>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</si>
  <si>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</si>
  <si>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</si>
  <si>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</si>
  <si>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</si>
  <si>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</si>
  <si>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</si>
  <si>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</si>
  <si>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</si>
  <si>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</si>
  <si>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</si>
  <si>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</si>
  <si>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</si>
  <si>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</si>
  <si>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</si>
  <si>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</si>
  <si>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</si>
  <si>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</si>
  <si>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</si>
  <si>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</si>
  <si>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</si>
  <si>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</si>
  <si>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</si>
  <si>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</si>
  <si>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</si>
  <si>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</si>
  <si>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</si>
  <si>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</si>
  <si>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</si>
  <si>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</si>
  <si>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</si>
  <si>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</si>
  <si>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</si>
  <si>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</si>
  <si>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</si>
  <si>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</si>
  <si>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</si>
  <si>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</si>
  <si>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</si>
  <si>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</si>
  <si>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</si>
  <si>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</si>
  <si>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</si>
  <si>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</si>
  <si>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</si>
  <si>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</si>
  <si>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</si>
  <si>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</si>
  <si>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</si>
  <si>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</si>
  <si>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</si>
  <si>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</si>
  <si>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</si>
  <si>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</si>
  <si>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</si>
  <si>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</si>
  <si>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</si>
  <si>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</si>
  <si>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</si>
  <si>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</si>
  <si>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</si>
  <si>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</si>
  <si>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</si>
  <si>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</si>
  <si>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</si>
  <si>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</si>
  <si>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</si>
  <si>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</si>
  <si>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</si>
  <si>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</si>
  <si>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</si>
  <si>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</si>
  <si>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</si>
  <si>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</si>
  <si>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</si>
  <si>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</si>
  <si>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</si>
  <si>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</si>
  <si>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</si>
  <si>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</si>
  <si>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</si>
  <si>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</si>
  <si>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</si>
  <si>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</si>
  <si>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</si>
  <si>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</si>
  <si>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</si>
  <si>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</si>
  <si>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</si>
  <si>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</si>
  <si>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</si>
  <si>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</si>
  <si>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</si>
  <si>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</si>
  <si>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</si>
  <si>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</si>
  <si>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</si>
  <si>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</si>
  <si>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</si>
  <si>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</si>
  <si>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</si>
  <si>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</si>
  <si>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</si>
  <si>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</si>
  <si>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</si>
  <si>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</si>
  <si>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</si>
  <si>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</si>
  <si>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</si>
  <si>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</si>
  <si>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</si>
  <si>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</si>
  <si>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</si>
  <si>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</si>
  <si>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</si>
  <si>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</si>
  <si>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</si>
  <si>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</si>
  <si>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</si>
  <si>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</si>
  <si>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</si>
  <si>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</si>
  <si>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</si>
  <si>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</si>
  <si>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</si>
  <si>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</si>
  <si>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</si>
  <si>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</si>
  <si>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</si>
  <si>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</si>
  <si>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</si>
  <si>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</si>
  <si>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</si>
  <si>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</si>
  <si>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</si>
  <si>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</si>
  <si>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</si>
  <si>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</si>
  <si>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</si>
  <si>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</si>
  <si>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</si>
  <si>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</si>
  <si>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</si>
  <si>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</si>
  <si>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</si>
  <si>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</si>
  <si>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</si>
  <si>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</si>
  <si>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</si>
  <si>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</si>
  <si>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</si>
  <si>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</si>
  <si>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</si>
  <si>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</si>
  <si>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</si>
  <si>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</si>
  <si>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</si>
  <si>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</si>
  <si>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</si>
  <si>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</si>
  <si>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</si>
  <si>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</si>
  <si>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</si>
  <si>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</si>
  <si>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</si>
  <si>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</si>
  <si>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</si>
  <si>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</si>
  <si>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</si>
  <si>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</si>
  <si>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</si>
  <si>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</si>
  <si>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</si>
  <si>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</si>
  <si>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</si>
  <si>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</si>
  <si>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</si>
  <si>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</si>
  <si>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</si>
  <si>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</si>
  <si>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</si>
  <si>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</si>
  <si>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</si>
  <si>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</si>
  <si>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</si>
  <si>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</si>
  <si>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</si>
  <si>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</si>
  <si>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</si>
  <si>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</si>
  <si>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</si>
  <si>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</si>
  <si>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</si>
  <si>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</si>
  <si>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</si>
  <si>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</si>
  <si>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</si>
  <si>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</si>
  <si>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</si>
  <si>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</si>
  <si>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</si>
  <si>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</si>
  <si>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</si>
  <si>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</si>
  <si>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</si>
  <si>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</si>
  <si>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</si>
  <si>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</si>
  <si>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</si>
  <si>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</si>
  <si>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</si>
  <si>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</si>
  <si>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</si>
  <si>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</si>
  <si>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</si>
  <si>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</si>
  <si>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</si>
  <si>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</si>
  <si>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</si>
  <si>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</si>
  <si>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</si>
  <si>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</si>
  <si>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</si>
  <si>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</si>
  <si>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</si>
  <si>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</si>
  <si>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</si>
  <si>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</si>
  <si>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</si>
  <si>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</si>
  <si>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</si>
  <si>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</si>
  <si>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</si>
  <si>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</si>
  <si>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</si>
  <si>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</si>
  <si>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</si>
  <si>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</si>
  <si>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</si>
  <si>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</si>
  <si>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</si>
  <si>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</si>
  <si>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</si>
  <si>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</si>
  <si>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</si>
  <si>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</si>
  <si>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</si>
  <si>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</si>
  <si>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</si>
  <si>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</si>
  <si>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</si>
  <si>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</si>
  <si>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</si>
  <si>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</si>
  <si>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</si>
  <si>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</si>
  <si>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</si>
  <si>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</si>
  <si>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</si>
  <si>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</si>
  <si>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</si>
  <si>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</si>
  <si>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</si>
  <si>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</si>
  <si>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</si>
  <si>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</si>
  <si>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</si>
  <si>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</si>
  <si>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</si>
  <si>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</si>
  <si>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</si>
  <si>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</si>
  <si>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</si>
  <si>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</si>
  <si>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</si>
  <si>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</si>
  <si>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</si>
  <si>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</si>
  <si>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</si>
  <si>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</si>
  <si>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</si>
  <si>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</si>
  <si>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</si>
  <si>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</si>
  <si>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</si>
  <si>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</si>
  <si>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</si>
  <si>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</si>
  <si>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</si>
  <si>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</si>
  <si>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</si>
  <si>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</si>
  <si>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</si>
  <si>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</si>
  <si>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</si>
  <si>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</si>
  <si>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</si>
  <si>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</si>
  <si>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</si>
  <si>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</si>
  <si>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</si>
  <si>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</si>
  <si>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</si>
  <si>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</si>
  <si>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</si>
  <si>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</si>
  <si>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</si>
  <si>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</si>
  <si>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</si>
  <si>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</si>
  <si>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</si>
  <si>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</si>
  <si>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</si>
  <si>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</si>
  <si>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</si>
  <si>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</si>
  <si>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</si>
  <si>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</si>
  <si>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</si>
  <si>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</si>
  <si>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</si>
  <si>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</si>
  <si>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</si>
  <si>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</si>
  <si>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</si>
  <si>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</si>
  <si>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</si>
  <si>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</si>
  <si>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</si>
  <si>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</si>
  <si>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</si>
  <si>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</si>
  <si>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</si>
  <si>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</si>
  <si>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</si>
  <si>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</si>
  <si>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</si>
  <si>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</si>
  <si>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</si>
  <si>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</si>
  <si>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</si>
  <si>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</si>
  <si>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</si>
  <si>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</si>
  <si>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</si>
  <si>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</si>
  <si>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</si>
  <si>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</si>
  <si>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</si>
  <si>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</si>
  <si>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</si>
  <si>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</si>
  <si>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</si>
  <si>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</si>
  <si>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</si>
  <si>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</si>
  <si>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</si>
  <si>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</si>
  <si>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</si>
  <si>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</si>
  <si>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</si>
  <si>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</si>
  <si>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</si>
  <si>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</si>
  <si>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</si>
  <si>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</si>
  <si>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</si>
  <si>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</si>
  <si>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</si>
  <si>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</si>
  <si>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</si>
  <si>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</si>
  <si>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</si>
  <si>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</si>
  <si>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</si>
  <si>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</si>
  <si>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</si>
  <si>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</si>
  <si>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</si>
  <si>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</si>
  <si>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</si>
  <si>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</si>
  <si>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</si>
  <si>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</si>
  <si>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</si>
  <si>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</si>
  <si>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</si>
  <si>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</si>
  <si>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</si>
  <si>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</si>
  <si>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</si>
  <si>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</si>
  <si>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</si>
  <si>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</si>
  <si>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</si>
  <si>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</si>
  <si>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</si>
  <si>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</si>
  <si>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</si>
  <si>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</si>
  <si>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</si>
  <si>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</si>
  <si>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</si>
  <si>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</si>
  <si>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序号</t>
  </si>
  <si>
    <t>楼栋名称</t>
  </si>
  <si>
    <t>单元号</t>
  </si>
  <si>
    <t>房间号</t>
  </si>
  <si>
    <t>房屋用途</t>
  </si>
  <si>
    <t>建筑面积</t>
  </si>
  <si>
    <t>抵押土地分摊面积</t>
  </si>
  <si>
    <t>\</t>
  </si>
  <si>
    <t>地下车库</t>
    <phoneticPr fontId="242" type="noConversion"/>
  </si>
  <si>
    <t>车位</t>
    <phoneticPr fontId="242" type="noConversion"/>
  </si>
  <si>
    <t>抵押</t>
  </si>
  <si>
    <t>房地产抵押价值</t>
  </si>
  <si>
    <t>北京市</t>
  </si>
  <si>
    <t>企业</t>
  </si>
  <si>
    <t>通路</t>
  </si>
  <si>
    <t>通电</t>
  </si>
  <si>
    <t>通讯</t>
  </si>
  <si>
    <t>通上水</t>
  </si>
  <si>
    <t>通下水</t>
  </si>
  <si>
    <t>通热</t>
  </si>
  <si>
    <t>燃气</t>
  </si>
  <si>
    <t>地块名称</t>
  </si>
  <si>
    <t>地块编号</t>
  </si>
  <si>
    <t>建设用地面积(㎡)</t>
  </si>
  <si>
    <t>规划建筑面积(㎡)</t>
  </si>
  <si>
    <t>用地性质</t>
  </si>
  <si>
    <t>详细规划</t>
  </si>
  <si>
    <t>容积率</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</si>
  <si>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</si>
  <si>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</si>
  <si>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</si>
  <si>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</si>
  <si>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</si>
  <si>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</si>
  <si>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</si>
  <si>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</si>
  <si>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</si>
  <si>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</si>
  <si>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</si>
  <si>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</si>
  <si>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</si>
  <si>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</si>
  <si>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</si>
  <si>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</si>
  <si>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</si>
  <si>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</si>
  <si>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R2二类居住用地</t>
  </si>
  <si>
    <t>hd00-2201-0003:1.3,hd00-2201-0004:1.6</t>
  </si>
  <si>
    <t>2025-05-20</t>
  </si>
  <si>
    <t>保利(北京)房地产开发有限公司 、北京建工地产有限责任公司</t>
  </si>
  <si>
    <t>北京市海淀区树村资金平衡用地统筹项目HD00-0705-0035-1地块R2二类居住用地</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</si>
  <si>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</si>
  <si>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</si>
  <si>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</si>
  <si>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</si>
  <si>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</si>
  <si>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</si>
  <si>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</si>
  <si>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</si>
  <si>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</si>
  <si>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</si>
  <si>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</si>
  <si>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</si>
  <si>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</si>
  <si>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</si>
  <si>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</si>
  <si>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</si>
  <si>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</si>
  <si>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</si>
  <si>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</si>
  <si>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</si>
  <si>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</si>
  <si>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</si>
  <si>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</si>
  <si>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</si>
  <si>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</si>
  <si>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</si>
  <si>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</si>
  <si>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</si>
  <si>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</si>
  <si>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</si>
  <si>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</si>
  <si>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</si>
  <si>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</si>
  <si>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R2二类居住用地、F3其他类多功能用地</t>
  </si>
  <si>
    <r>
      <rPr>
        <sz val="12"/>
        <rFont val="宋体"/>
        <family val="3"/>
        <charset val="134"/>
      </rPr>
      <t>住宅</t>
    </r>
    <phoneticPr fontId="134" type="noConversion"/>
  </si>
  <si>
    <t>地下仓储</t>
  </si>
  <si>
    <r>
      <rPr>
        <sz val="12"/>
        <rFont val="宋体"/>
        <family val="3"/>
        <charset val="134"/>
      </rPr>
      <t>地下仓储</t>
    </r>
    <phoneticPr fontId="134" type="noConversion"/>
  </si>
  <si>
    <t>地下车库</t>
  </si>
  <si>
    <r>
      <rPr>
        <sz val="12"/>
        <rFont val="宋体"/>
        <family val="3"/>
        <charset val="134"/>
      </rPr>
      <t>地下车库</t>
    </r>
    <phoneticPr fontId="134" type="noConversion"/>
  </si>
  <si>
    <t>住宅</t>
    <phoneticPr fontId="3" type="noConversion"/>
  </si>
  <si>
    <t>地下仓储</t>
    <phoneticPr fontId="3" type="noConversion"/>
  </si>
  <si>
    <t>地下车库</t>
    <phoneticPr fontId="3" type="noConversion"/>
  </si>
  <si>
    <t>是</t>
  </si>
  <si>
    <t>地上</t>
  </si>
  <si>
    <t>地下</t>
  </si>
  <si>
    <t>建筑面积</t>
    <phoneticPr fontId="134" type="noConversion"/>
  </si>
  <si>
    <t>工程进度</t>
  </si>
  <si>
    <t>工程进度</t>
    <phoneticPr fontId="134" type="noConversion"/>
  </si>
  <si>
    <t>二次结构封顶</t>
    <phoneticPr fontId="134" type="noConversion"/>
  </si>
  <si>
    <t>收益法</t>
  </si>
  <si>
    <t>含税</t>
  </si>
  <si>
    <t>未包含在土地购买价格中</t>
  </si>
  <si>
    <t>全部缴纳</t>
  </si>
  <si>
    <t>已包含在土地取得成本中</t>
  </si>
  <si>
    <t>城市</t>
  </si>
  <si>
    <t>出让方式</t>
  </si>
  <si>
    <t>集中供地</t>
  </si>
  <si>
    <t>截止时间</t>
  </si>
  <si>
    <t>交易状态</t>
  </si>
  <si>
    <t>起始价(万元)</t>
  </si>
  <si>
    <t>保证金(万元)</t>
  </si>
  <si>
    <t>保证金截止时间</t>
  </si>
  <si>
    <t>北京市海淀区上地0702街区东地块土地一级开发项目HD00-0702-18、24、23地块R2二类居住用地、F3其他类多功能用地</t>
  </si>
  <si>
    <t>京土储挂(海)[2025]043号</t>
  </si>
  <si>
    <t>r2:2.2,f3:3.8</t>
  </si>
  <si>
    <t>挂牌</t>
  </si>
  <si>
    <t>2025-12-23</t>
  </si>
  <si>
    <t>已成交</t>
  </si>
  <si>
    <t>2025-12-22 17:00</t>
  </si>
  <si>
    <t>2025-06-04 17:00</t>
  </si>
  <si>
    <t>京土储挂(海)[2025]013号</t>
  </si>
  <si>
    <t>2025-05-19 17:00</t>
  </si>
  <si>
    <t>京土储挂(海)[2025]009号</t>
  </si>
  <si>
    <t>2025-03-17 17:00</t>
  </si>
  <si>
    <t>2024-12-31 17:00</t>
  </si>
  <si>
    <t>京土储挂(海)[2024]052号</t>
  </si>
  <si>
    <t>2024-11-04 17:00</t>
  </si>
  <si>
    <t>2024-02-18 15:00</t>
  </si>
  <si>
    <t>正常</t>
  </si>
  <si>
    <t>住宅</t>
    <phoneticPr fontId="30" type="noConversion"/>
  </si>
  <si>
    <t>限价</t>
    <phoneticPr fontId="30" type="noConversion"/>
  </si>
  <si>
    <t>无</t>
    <phoneticPr fontId="30" type="noConversion"/>
  </si>
  <si>
    <t>105000</t>
    <phoneticPr fontId="30" type="noConversion"/>
  </si>
  <si>
    <t>好</t>
  </si>
  <si>
    <t>不含税</t>
  </si>
  <si>
    <t>其他类型—销项税率</t>
  </si>
  <si>
    <t>项目模式</t>
  </si>
  <si>
    <t>售价</t>
  </si>
  <si>
    <t>在建（套用方法）</t>
  </si>
  <si>
    <t>押一</t>
  </si>
  <si>
    <t>按不含税租金收入计税</t>
  </si>
  <si>
    <t>钢混</t>
  </si>
  <si>
    <t>非生产用房</t>
  </si>
  <si>
    <t>元/车位</t>
  </si>
  <si>
    <t>和樾望雲</t>
    <phoneticPr fontId="3" type="noConversion"/>
  </si>
  <si>
    <t>香山樾</t>
    <phoneticPr fontId="3" type="noConversion"/>
  </si>
  <si>
    <t>学府壹号院</t>
    <phoneticPr fontId="3" type="noConversion"/>
  </si>
  <si>
    <t>车库</t>
    <phoneticPr fontId="31" type="noConversion"/>
  </si>
  <si>
    <t>普通装修</t>
  </si>
  <si>
    <t>专业</t>
  </si>
  <si>
    <t>普通车位</t>
  </si>
  <si>
    <t>成本法</t>
  </si>
  <si>
    <t>假设开发法</t>
  </si>
  <si>
    <t>总价</t>
  </si>
  <si>
    <t>成本比率</t>
  </si>
  <si>
    <t>在建建筑物价值</t>
  </si>
  <si>
    <t>出让国有建设用地使用权价值</t>
  </si>
  <si>
    <t>分摊土地面积</t>
  </si>
  <si>
    <t>华润臻云</t>
    <phoneticPr fontId="3" type="noConversion"/>
  </si>
  <si>
    <t>建发·海晏</t>
    <phoneticPr fontId="3" type="noConversion"/>
  </si>
  <si>
    <t>多层、小高层</t>
  </si>
  <si>
    <t>高档</t>
  </si>
  <si>
    <t>精装修</t>
  </si>
  <si>
    <t>多层</t>
  </si>
  <si>
    <t>专业物业管理</t>
  </si>
  <si>
    <t>中高档</t>
  </si>
  <si>
    <t>中档</t>
  </si>
  <si>
    <t>毛坯</t>
  </si>
  <si>
    <t>正常操作</t>
  </si>
  <si>
    <t>情况3</t>
  </si>
  <si>
    <t>自行开发建设</t>
  </si>
  <si>
    <t>非个人房产</t>
  </si>
  <si>
    <t>在建</t>
  </si>
  <si>
    <t>项目局部</t>
  </si>
  <si>
    <t>项目公共配套设施规模是多少</t>
    <phoneticPr fontId="3" type="noConversion"/>
  </si>
  <si>
    <r>
      <t>3</t>
    </r>
    <r>
      <rPr>
        <sz val="11"/>
        <color theme="1"/>
        <rFont val="宋体"/>
        <family val="3"/>
        <charset val="134"/>
        <scheme val="minor"/>
      </rPr>
      <t>000~3500</t>
    </r>
    <phoneticPr fontId="134" type="noConversion"/>
  </si>
  <si>
    <t>住：2000~2500；商2500~3000</t>
    <phoneticPr fontId="134" type="noConversion"/>
  </si>
  <si>
    <r>
      <t>居住项目：100~200元/㎡；商办项目250~300元/㎡；</t>
    </r>
    <r>
      <rPr>
        <sz val="10"/>
        <color theme="4"/>
        <rFont val="楷体_GB2312"/>
        <family val="3"/>
        <charset val="134"/>
      </rPr>
      <t>与项目品质正相关</t>
    </r>
    <phoneticPr fontId="3" type="noConversion"/>
  </si>
  <si>
    <r>
      <rPr>
        <sz val="10"/>
        <color rgb="FFFF0000"/>
        <rFont val="宋体"/>
        <family val="3"/>
        <charset val="134"/>
      </rPr>
      <t>居住项目取，范围：</t>
    </r>
    <r>
      <rPr>
        <sz val="10"/>
        <color rgb="FFFF0000"/>
        <rFont val="Arial"/>
        <family val="2"/>
      </rPr>
      <t>0-10%</t>
    </r>
    <r>
      <rPr>
        <sz val="10"/>
        <color rgb="FFFF0000"/>
        <rFont val="宋体"/>
        <family val="3"/>
        <charset val="134"/>
      </rPr>
      <t>，</t>
    </r>
    <r>
      <rPr>
        <sz val="10"/>
        <color theme="4"/>
        <rFont val="宋体"/>
        <family val="3"/>
        <charset val="134"/>
      </rPr>
      <t>需覆盖本项目公共配套建设成本</t>
    </r>
    <phoneticPr fontId="3" type="noConversion"/>
  </si>
  <si>
    <r>
      <t>居住项目：360~380元/㎡；商办项目:280~350元/㎡；</t>
    </r>
    <r>
      <rPr>
        <sz val="10"/>
        <color theme="4"/>
        <rFont val="宋体"/>
        <family val="3"/>
        <charset val="134"/>
      </rPr>
      <t>与项目规模负相关</t>
    </r>
    <phoneticPr fontId="3" type="noConversion"/>
  </si>
  <si>
    <r>
      <t>居住项目：高档90~100元/㎡，低档65~70元/㎡；商办项目:40~60元/㎡</t>
    </r>
    <r>
      <rPr>
        <sz val="10"/>
        <color theme="4"/>
        <rFont val="宋体"/>
        <family val="3"/>
        <charset val="134"/>
      </rPr>
      <t>（含开发期间税费）</t>
    </r>
    <phoneticPr fontId="3" type="noConversion"/>
  </si>
  <si>
    <r>
      <t>居住项目：80~100元/㎡；</t>
    </r>
    <r>
      <rPr>
        <sz val="10"/>
        <color theme="4"/>
        <rFont val="宋体"/>
        <family val="3"/>
        <charset val="134"/>
      </rPr>
      <t>商办项目不单计</t>
    </r>
    <phoneticPr fontId="3" type="noConversion"/>
  </si>
  <si>
    <t>总住宅面积</t>
    <phoneticPr fontId="134" type="noConversion"/>
  </si>
  <si>
    <t>总配套面积</t>
    <phoneticPr fontId="134" type="noConversion"/>
  </si>
  <si>
    <t>分摊配套面积</t>
    <phoneticPr fontId="134" type="noConversion"/>
  </si>
  <si>
    <t>单价</t>
    <phoneticPr fontId="134" type="noConversion"/>
  </si>
  <si>
    <t>抵押物名称</t>
  </si>
  <si>
    <t>房地产价值</t>
  </si>
  <si>
    <t>总 价</t>
  </si>
  <si>
    <t>楼面单价</t>
  </si>
  <si>
    <t>北京市出让国有建设用地使用权及在建建筑物房地产</t>
  </si>
  <si>
    <t>楼面单价</t>
    <phoneticPr fontId="8" type="noConversion"/>
  </si>
  <si>
    <t>总价</t>
    <phoneticPr fontId="134" type="noConversion"/>
  </si>
  <si>
    <t>其中土地价值</t>
    <phoneticPr fontId="134" type="noConversion"/>
  </si>
  <si>
    <t>其中建筑物价值</t>
    <phoneticPr fontId="134" type="noConversion"/>
  </si>
  <si>
    <t>万元</t>
    <phoneticPr fontId="134" type="noConversion"/>
  </si>
  <si>
    <t>套数</t>
    <phoneticPr fontId="134" type="noConversion"/>
  </si>
  <si>
    <t>平层</t>
    <phoneticPr fontId="24" type="noConversion"/>
  </si>
  <si>
    <t>总计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</si>
</sst>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4"/>
      <name val="楷体_GB2312"/>
      <family val="3"/>
      <charset val="134"/>
    </font>
    <font>
      <sz val="10"/>
      <color theme="4"/>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147" fillId="0" borderId="0"/>
    <xf numFmtId="0" fontId="289" fillId="0" borderId="0"/>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58" fillId="23" borderId="1" xfId="0" applyFont="1" applyFill="1" applyBorder="1" applyAlignment="1">
      <alignment horizontal="left" vertical="center"/>
    </xf>
    <xf numFmtId="0" fontId="36" fillId="23" borderId="1" xfId="0" applyFont="1" applyFill="1" applyBorder="1" applyAlignment="1">
      <alignment horizontal="left" vertical="center"/>
    </xf>
    <xf numFmtId="0" fontId="58" fillId="24" borderId="1" xfId="0" applyFont="1" applyFill="1" applyBorder="1" applyAlignment="1">
      <alignment horizontal="left" vertical="center"/>
    </xf>
    <xf numFmtId="0" fontId="36" fillId="24" borderId="1" xfId="0" applyFont="1" applyFill="1" applyBorder="1" applyAlignment="1">
      <alignment horizontal="left" vertical="center"/>
    </xf>
    <xf numFmtId="0" fontId="0" fillId="0" borderId="1" xfId="0" applyBorder="1" applyAlignment="1">
      <alignment horizontal="left" vertical="center"/>
    </xf>
    <xf numFmtId="176" fontId="58" fillId="23" borderId="1" xfId="0" applyNumberFormat="1" applyFont="1" applyFill="1" applyBorder="1" applyAlignment="1">
      <alignment horizontal="left" vertical="center"/>
    </xf>
    <xf numFmtId="176" fontId="58" fillId="24" borderId="1" xfId="0" applyNumberFormat="1" applyFont="1" applyFill="1" applyBorder="1" applyAlignment="1">
      <alignment horizontal="left" vertical="center"/>
    </xf>
    <xf numFmtId="176" fontId="58" fillId="0" borderId="1" xfId="0" applyNumberFormat="1" applyFont="1" applyBorder="1" applyAlignment="1">
      <alignment horizontal="left" vertical="center"/>
    </xf>
    <xf numFmtId="176" fontId="0" fillId="0" borderId="1" xfId="0" applyNumberFormat="1" applyBorder="1" applyAlignment="1">
      <alignment horizontal="left" vertical="center"/>
    </xf>
    <xf numFmtId="194" fontId="0" fillId="0" borderId="0" xfId="0" applyNumberFormat="1" applyAlignment="1"/>
    <xf numFmtId="194" fontId="0" fillId="0" borderId="0" xfId="0" applyNumberFormat="1">
      <alignment vertical="center"/>
    </xf>
    <xf numFmtId="0" fontId="147" fillId="0" borderId="0" xfId="19"/>
    <xf numFmtId="0" fontId="95" fillId="0" borderId="0" xfId="10">
      <alignment vertical="center"/>
    </xf>
    <xf numFmtId="176" fontId="0" fillId="0" borderId="0" xfId="0" applyNumberForma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9" fontId="47" fillId="0" borderId="10" xfId="0" applyNumberFormat="1" applyFont="1" applyBorder="1" applyAlignment="1" applyProtection="1">
      <alignment horizontal="right" vertical="center"/>
      <protection locked="0"/>
    </xf>
    <xf numFmtId="0" fontId="107" fillId="0" borderId="0" xfId="19" applyFont="1"/>
    <xf numFmtId="0" fontId="107" fillId="0" borderId="0" xfId="10" applyFont="1">
      <alignment vertical="center"/>
    </xf>
    <xf numFmtId="0" fontId="107" fillId="9" borderId="0" xfId="19" applyFont="1" applyFill="1"/>
    <xf numFmtId="0" fontId="107" fillId="5" borderId="0" xfId="19" applyFont="1" applyFill="1"/>
    <xf numFmtId="0" fontId="107" fillId="5" borderId="0" xfId="10" applyFont="1" applyFill="1">
      <alignment vertical="center"/>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07" fillId="0" borderId="0" xfId="0" applyFont="1">
      <alignment vertical="center"/>
    </xf>
    <xf numFmtId="9" fontId="107" fillId="0" borderId="0" xfId="0" applyNumberFormat="1" applyFont="1">
      <alignment vertical="center"/>
    </xf>
    <xf numFmtId="181" fontId="107" fillId="0" borderId="0" xfId="17" applyNumberFormat="1" applyFont="1">
      <alignment vertical="center"/>
    </xf>
    <xf numFmtId="0" fontId="128" fillId="12" borderId="0" xfId="0" applyFont="1" applyFill="1" applyProtection="1">
      <alignment vertical="center"/>
      <protection locked="0"/>
    </xf>
    <xf numFmtId="0" fontId="95" fillId="0" borderId="0" xfId="0" applyFont="1" applyAlignment="1" applyProtection="1">
      <alignment horizontal="left" vertical="center"/>
      <protection locked="0"/>
    </xf>
    <xf numFmtId="0" fontId="269" fillId="12" borderId="0" xfId="0" applyFont="1" applyFill="1">
      <alignment vertical="center"/>
    </xf>
    <xf numFmtId="0" fontId="80" fillId="3" borderId="0" xfId="0" applyFont="1" applyFill="1" applyProtection="1">
      <alignment vertical="center"/>
      <protection locked="0"/>
    </xf>
    <xf numFmtId="185" fontId="44" fillId="6" borderId="1" xfId="0" applyNumberFormat="1" applyFont="1" applyFill="1" applyBorder="1" applyAlignment="1">
      <alignment horizontal="right" vertical="center" wrapText="1"/>
    </xf>
    <xf numFmtId="0" fontId="95" fillId="0" borderId="1" xfId="10" applyBorder="1" applyAlignment="1">
      <alignment horizontal="left" vertical="center"/>
    </xf>
    <xf numFmtId="185" fontId="95" fillId="0" borderId="1" xfId="10" applyNumberForma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07" fillId="0" borderId="0" xfId="20" applyFont="1"/>
    <xf numFmtId="0" fontId="107" fillId="5" borderId="0" xfId="20" applyFont="1" applyFill="1"/>
    <xf numFmtId="0" fontId="107" fillId="9" borderId="0" xfId="20" applyFont="1" applyFill="1"/>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94" fillId="2" borderId="23" xfId="0" applyNumberFormat="1" applyFont="1" applyFill="1" applyBorder="1" applyAlignment="1" applyProtection="1">
      <alignment horizontal="left" vertical="center" wrapText="1"/>
      <protection locked="0"/>
    </xf>
    <xf numFmtId="0" fontId="58" fillId="0" borderId="1" xfId="0" applyFont="1" applyFill="1" applyBorder="1" applyAlignment="1">
      <alignment horizontal="left" vertical="center"/>
    </xf>
    <xf numFmtId="176" fontId="58" fillId="0" borderId="1" xfId="0" applyNumberFormat="1" applyFont="1" applyFill="1" applyBorder="1" applyAlignment="1">
      <alignment horizontal="left" vertical="center"/>
    </xf>
    <xf numFmtId="0" fontId="36" fillId="0" borderId="1" xfId="0" applyFont="1" applyFill="1" applyBorder="1" applyAlignment="1">
      <alignment horizontal="left" vertical="center"/>
    </xf>
    <xf numFmtId="0" fontId="0" fillId="0" borderId="1" xfId="0" applyFill="1" applyBorder="1" applyAlignment="1">
      <alignment horizontal="left" vertical="center"/>
    </xf>
    <xf numFmtId="0" fontId="95" fillId="0" borderId="1" xfId="0" applyFont="1" applyFill="1" applyBorder="1" applyAlignment="1">
      <alignment horizontal="left" vertical="center"/>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446184</xdr:colOff>
      <xdr:row>39</xdr:row>
      <xdr:rowOff>113450</xdr:rowOff>
    </xdr:to>
    <xdr:pic>
      <xdr:nvPicPr>
        <xdr:cNvPr id="2" name="图片 1">
          <a:extLst>
            <a:ext uri="{FF2B5EF4-FFF2-40B4-BE49-F238E27FC236}">
              <a16:creationId xmlns:a16="http://schemas.microsoft.com/office/drawing/2014/main" id="{3B64CC8F-7CFF-42C3-9EF3-2A9D0D182C4B}"/>
            </a:ext>
          </a:extLst>
        </xdr:cNvPr>
        <xdr:cNvPicPr>
          <a:picLocks noChangeAspect="1"/>
        </xdr:cNvPicPr>
      </xdr:nvPicPr>
      <xdr:blipFill>
        <a:blip xmlns:r="http://schemas.openxmlformats.org/officeDocument/2006/relationships" r:embed="rId1"/>
        <a:stretch>
          <a:fillRect/>
        </a:stretch>
      </xdr:blipFill>
      <xdr:spPr>
        <a:xfrm>
          <a:off x="0" y="0"/>
          <a:ext cx="11923809" cy="6800000"/>
        </a:xfrm>
        <a:prstGeom prst="rect">
          <a:avLst/>
        </a:prstGeom>
      </xdr:spPr>
    </xdr:pic>
    <xdr:clientData/>
  </xdr:twoCellAnchor>
  <xdr:twoCellAnchor editAs="oneCell">
    <xdr:from>
      <xdr:col>17</xdr:col>
      <xdr:colOff>295275</xdr:colOff>
      <xdr:row>0</xdr:row>
      <xdr:rowOff>0</xdr:rowOff>
    </xdr:from>
    <xdr:to>
      <xdr:col>34</xdr:col>
      <xdr:colOff>579532</xdr:colOff>
      <xdr:row>39</xdr:row>
      <xdr:rowOff>142021</xdr:rowOff>
    </xdr:to>
    <xdr:pic>
      <xdr:nvPicPr>
        <xdr:cNvPr id="3" name="图片 2">
          <a:extLst>
            <a:ext uri="{FF2B5EF4-FFF2-40B4-BE49-F238E27FC236}">
              <a16:creationId xmlns:a16="http://schemas.microsoft.com/office/drawing/2014/main" id="{DEA1B54A-B989-4D0F-B1FC-1CE92813378E}"/>
            </a:ext>
          </a:extLst>
        </xdr:cNvPr>
        <xdr:cNvPicPr>
          <a:picLocks noChangeAspect="1"/>
        </xdr:cNvPicPr>
      </xdr:nvPicPr>
      <xdr:blipFill>
        <a:blip xmlns:r="http://schemas.openxmlformats.org/officeDocument/2006/relationships" r:embed="rId2"/>
        <a:stretch>
          <a:fillRect/>
        </a:stretch>
      </xdr:blipFill>
      <xdr:spPr>
        <a:xfrm>
          <a:off x="11953875" y="0"/>
          <a:ext cx="11942857" cy="6828571"/>
        </a:xfrm>
        <a:prstGeom prst="rect">
          <a:avLst/>
        </a:prstGeom>
      </xdr:spPr>
    </xdr:pic>
    <xdr:clientData/>
  </xdr:twoCellAnchor>
  <xdr:twoCellAnchor editAs="oneCell">
    <xdr:from>
      <xdr:col>0</xdr:col>
      <xdr:colOff>0</xdr:colOff>
      <xdr:row>40</xdr:row>
      <xdr:rowOff>0</xdr:rowOff>
    </xdr:from>
    <xdr:to>
      <xdr:col>11</xdr:col>
      <xdr:colOff>569994</xdr:colOff>
      <xdr:row>79</xdr:row>
      <xdr:rowOff>103926</xdr:rowOff>
    </xdr:to>
    <xdr:pic>
      <xdr:nvPicPr>
        <xdr:cNvPr id="4" name="图片 3">
          <a:extLst>
            <a:ext uri="{FF2B5EF4-FFF2-40B4-BE49-F238E27FC236}">
              <a16:creationId xmlns:a16="http://schemas.microsoft.com/office/drawing/2014/main" id="{EAA0B859-E205-4890-9E85-E5FE1B59E2A9}"/>
            </a:ext>
          </a:extLst>
        </xdr:cNvPr>
        <xdr:cNvPicPr>
          <a:picLocks noChangeAspect="1"/>
        </xdr:cNvPicPr>
      </xdr:nvPicPr>
      <xdr:blipFill>
        <a:blip xmlns:r="http://schemas.openxmlformats.org/officeDocument/2006/relationships" r:embed="rId3"/>
        <a:stretch>
          <a:fillRect/>
        </a:stretch>
      </xdr:blipFill>
      <xdr:spPr>
        <a:xfrm>
          <a:off x="0" y="6858000"/>
          <a:ext cx="12047619" cy="6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389019</xdr:colOff>
      <xdr:row>19</xdr:row>
      <xdr:rowOff>47212</xdr:rowOff>
    </xdr:to>
    <xdr:pic>
      <xdr:nvPicPr>
        <xdr:cNvPr id="2" name="图片 1">
          <a:extLst>
            <a:ext uri="{FF2B5EF4-FFF2-40B4-BE49-F238E27FC236}">
              <a16:creationId xmlns:a16="http://schemas.microsoft.com/office/drawing/2014/main" id="{979A539D-F596-48AD-4FCB-237AFD115C9C}"/>
            </a:ext>
          </a:extLst>
        </xdr:cNvPr>
        <xdr:cNvPicPr>
          <a:picLocks noChangeAspect="1"/>
        </xdr:cNvPicPr>
      </xdr:nvPicPr>
      <xdr:blipFill>
        <a:blip xmlns:r="http://schemas.openxmlformats.org/officeDocument/2006/relationships" r:embed="rId1"/>
        <a:stretch>
          <a:fillRect/>
        </a:stretch>
      </xdr:blipFill>
      <xdr:spPr>
        <a:xfrm>
          <a:off x="0" y="0"/>
          <a:ext cx="12047619" cy="3304762"/>
        </a:xfrm>
        <a:prstGeom prst="rect">
          <a:avLst/>
        </a:prstGeom>
      </xdr:spPr>
    </xdr:pic>
    <xdr:clientData/>
  </xdr:twoCellAnchor>
  <xdr:twoCellAnchor editAs="oneCell">
    <xdr:from>
      <xdr:col>0</xdr:col>
      <xdr:colOff>0</xdr:colOff>
      <xdr:row>19</xdr:row>
      <xdr:rowOff>47625</xdr:rowOff>
    </xdr:from>
    <xdr:to>
      <xdr:col>17</xdr:col>
      <xdr:colOff>8067</xdr:colOff>
      <xdr:row>41</xdr:row>
      <xdr:rowOff>151915</xdr:rowOff>
    </xdr:to>
    <xdr:pic>
      <xdr:nvPicPr>
        <xdr:cNvPr id="3" name="图片 2">
          <a:extLst>
            <a:ext uri="{FF2B5EF4-FFF2-40B4-BE49-F238E27FC236}">
              <a16:creationId xmlns:a16="http://schemas.microsoft.com/office/drawing/2014/main" id="{329B1773-2525-705A-85D7-82EB38D548C3}"/>
            </a:ext>
          </a:extLst>
        </xdr:cNvPr>
        <xdr:cNvPicPr>
          <a:picLocks noChangeAspect="1"/>
        </xdr:cNvPicPr>
      </xdr:nvPicPr>
      <xdr:blipFill>
        <a:blip xmlns:r="http://schemas.openxmlformats.org/officeDocument/2006/relationships" r:embed="rId2"/>
        <a:stretch>
          <a:fillRect/>
        </a:stretch>
      </xdr:blipFill>
      <xdr:spPr>
        <a:xfrm>
          <a:off x="0" y="3305175"/>
          <a:ext cx="11666667" cy="3876190"/>
        </a:xfrm>
        <a:prstGeom prst="rect">
          <a:avLst/>
        </a:prstGeom>
      </xdr:spPr>
    </xdr:pic>
    <xdr:clientData/>
  </xdr:twoCellAnchor>
  <xdr:twoCellAnchor editAs="oneCell">
    <xdr:from>
      <xdr:col>0</xdr:col>
      <xdr:colOff>0</xdr:colOff>
      <xdr:row>42</xdr:row>
      <xdr:rowOff>0</xdr:rowOff>
    </xdr:from>
    <xdr:to>
      <xdr:col>17</xdr:col>
      <xdr:colOff>484257</xdr:colOff>
      <xdr:row>61</xdr:row>
      <xdr:rowOff>18640</xdr:rowOff>
    </xdr:to>
    <xdr:pic>
      <xdr:nvPicPr>
        <xdr:cNvPr id="4" name="图片 3">
          <a:extLst>
            <a:ext uri="{FF2B5EF4-FFF2-40B4-BE49-F238E27FC236}">
              <a16:creationId xmlns:a16="http://schemas.microsoft.com/office/drawing/2014/main" id="{4C05BA34-0328-05FA-403E-012EE4FEDCF7}"/>
            </a:ext>
          </a:extLst>
        </xdr:cNvPr>
        <xdr:cNvPicPr>
          <a:picLocks noChangeAspect="1"/>
        </xdr:cNvPicPr>
      </xdr:nvPicPr>
      <xdr:blipFill>
        <a:blip xmlns:r="http://schemas.openxmlformats.org/officeDocument/2006/relationships" r:embed="rId3"/>
        <a:stretch>
          <a:fillRect/>
        </a:stretch>
      </xdr:blipFill>
      <xdr:spPr>
        <a:xfrm>
          <a:off x="0" y="7200900"/>
          <a:ext cx="12142857" cy="3276190"/>
        </a:xfrm>
        <a:prstGeom prst="rect">
          <a:avLst/>
        </a:prstGeom>
      </xdr:spPr>
    </xdr:pic>
    <xdr:clientData/>
  </xdr:twoCellAnchor>
  <xdr:twoCellAnchor editAs="oneCell">
    <xdr:from>
      <xdr:col>0</xdr:col>
      <xdr:colOff>0</xdr:colOff>
      <xdr:row>61</xdr:row>
      <xdr:rowOff>66675</xdr:rowOff>
    </xdr:from>
    <xdr:to>
      <xdr:col>17</xdr:col>
      <xdr:colOff>8067</xdr:colOff>
      <xdr:row>82</xdr:row>
      <xdr:rowOff>18606</xdr:rowOff>
    </xdr:to>
    <xdr:pic>
      <xdr:nvPicPr>
        <xdr:cNvPr id="5" name="图片 4">
          <a:extLst>
            <a:ext uri="{FF2B5EF4-FFF2-40B4-BE49-F238E27FC236}">
              <a16:creationId xmlns:a16="http://schemas.microsoft.com/office/drawing/2014/main" id="{1106C093-AA3A-5A78-517D-AB0C338D39AB}"/>
            </a:ext>
          </a:extLst>
        </xdr:cNvPr>
        <xdr:cNvPicPr>
          <a:picLocks noChangeAspect="1"/>
        </xdr:cNvPicPr>
      </xdr:nvPicPr>
      <xdr:blipFill>
        <a:blip xmlns:r="http://schemas.openxmlformats.org/officeDocument/2006/relationships" r:embed="rId4"/>
        <a:stretch>
          <a:fillRect/>
        </a:stretch>
      </xdr:blipFill>
      <xdr:spPr>
        <a:xfrm>
          <a:off x="0" y="10525125"/>
          <a:ext cx="11666667" cy="3552381"/>
        </a:xfrm>
        <a:prstGeom prst="rect">
          <a:avLst/>
        </a:prstGeom>
      </xdr:spPr>
    </xdr:pic>
    <xdr:clientData/>
  </xdr:twoCellAnchor>
  <xdr:twoCellAnchor editAs="oneCell">
    <xdr:from>
      <xdr:col>0</xdr:col>
      <xdr:colOff>152400</xdr:colOff>
      <xdr:row>104</xdr:row>
      <xdr:rowOff>28575</xdr:rowOff>
    </xdr:from>
    <xdr:to>
      <xdr:col>17</xdr:col>
      <xdr:colOff>141419</xdr:colOff>
      <xdr:row>134</xdr:row>
      <xdr:rowOff>151742</xdr:rowOff>
    </xdr:to>
    <xdr:pic>
      <xdr:nvPicPr>
        <xdr:cNvPr id="7" name="图片 6">
          <a:extLst>
            <a:ext uri="{FF2B5EF4-FFF2-40B4-BE49-F238E27FC236}">
              <a16:creationId xmlns:a16="http://schemas.microsoft.com/office/drawing/2014/main" id="{E4536701-16F9-E6AC-CC9D-62AE2F897310}"/>
            </a:ext>
          </a:extLst>
        </xdr:cNvPr>
        <xdr:cNvPicPr>
          <a:picLocks noChangeAspect="1"/>
        </xdr:cNvPicPr>
      </xdr:nvPicPr>
      <xdr:blipFill>
        <a:blip xmlns:r="http://schemas.openxmlformats.org/officeDocument/2006/relationships" r:embed="rId5"/>
        <a:stretch>
          <a:fillRect/>
        </a:stretch>
      </xdr:blipFill>
      <xdr:spPr>
        <a:xfrm>
          <a:off x="152400" y="17859375"/>
          <a:ext cx="11647619" cy="5266667"/>
        </a:xfrm>
        <a:prstGeom prst="rect">
          <a:avLst/>
        </a:prstGeom>
      </xdr:spPr>
    </xdr:pic>
    <xdr:clientData/>
  </xdr:twoCellAnchor>
  <xdr:twoCellAnchor editAs="oneCell">
    <xdr:from>
      <xdr:col>0</xdr:col>
      <xdr:colOff>0</xdr:colOff>
      <xdr:row>83</xdr:row>
      <xdr:rowOff>0</xdr:rowOff>
    </xdr:from>
    <xdr:to>
      <xdr:col>17</xdr:col>
      <xdr:colOff>389019</xdr:colOff>
      <xdr:row>103</xdr:row>
      <xdr:rowOff>113857</xdr:rowOff>
    </xdr:to>
    <xdr:pic>
      <xdr:nvPicPr>
        <xdr:cNvPr id="9" name="图片 8">
          <a:extLst>
            <a:ext uri="{FF2B5EF4-FFF2-40B4-BE49-F238E27FC236}">
              <a16:creationId xmlns:a16="http://schemas.microsoft.com/office/drawing/2014/main" id="{0A93DB24-1480-22F5-0827-5476844EDB39}"/>
            </a:ext>
          </a:extLst>
        </xdr:cNvPr>
        <xdr:cNvPicPr>
          <a:picLocks noChangeAspect="1"/>
        </xdr:cNvPicPr>
      </xdr:nvPicPr>
      <xdr:blipFill>
        <a:blip xmlns:r="http://schemas.openxmlformats.org/officeDocument/2006/relationships" r:embed="rId6"/>
        <a:stretch>
          <a:fillRect/>
        </a:stretch>
      </xdr:blipFill>
      <xdr:spPr>
        <a:xfrm>
          <a:off x="0" y="14230350"/>
          <a:ext cx="12047619"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35</xdr:row>
      <xdr:rowOff>123059</xdr:rowOff>
    </xdr:to>
    <xdr:pic>
      <xdr:nvPicPr>
        <xdr:cNvPr id="2" name="图片 1">
          <a:extLst>
            <a:ext uri="{FF2B5EF4-FFF2-40B4-BE49-F238E27FC236}">
              <a16:creationId xmlns:a16="http://schemas.microsoft.com/office/drawing/2014/main" id="{C3B2E893-B505-4F69-BAAD-0C756F8E4116}"/>
            </a:ext>
          </a:extLst>
        </xdr:cNvPr>
        <xdr:cNvPicPr>
          <a:picLocks noChangeAspect="1"/>
        </xdr:cNvPicPr>
      </xdr:nvPicPr>
      <xdr:blipFill>
        <a:blip xmlns:r="http://schemas.openxmlformats.org/officeDocument/2006/relationships" r:embed="rId1"/>
        <a:stretch>
          <a:fillRect/>
        </a:stretch>
      </xdr:blipFill>
      <xdr:spPr>
        <a:xfrm>
          <a:off x="0" y="0"/>
          <a:ext cx="11304762" cy="6123809"/>
        </a:xfrm>
        <a:prstGeom prst="rect">
          <a:avLst/>
        </a:prstGeom>
      </xdr:spPr>
    </xdr:pic>
    <xdr:clientData/>
  </xdr:twoCellAnchor>
  <xdr:twoCellAnchor editAs="oneCell">
    <xdr:from>
      <xdr:col>0</xdr:col>
      <xdr:colOff>0</xdr:colOff>
      <xdr:row>55</xdr:row>
      <xdr:rowOff>123825</xdr:rowOff>
    </xdr:from>
    <xdr:to>
      <xdr:col>17</xdr:col>
      <xdr:colOff>36638</xdr:colOff>
      <xdr:row>84</xdr:row>
      <xdr:rowOff>18442</xdr:rowOff>
    </xdr:to>
    <xdr:pic>
      <xdr:nvPicPr>
        <xdr:cNvPr id="3" name="图片 2">
          <a:extLst>
            <a:ext uri="{FF2B5EF4-FFF2-40B4-BE49-F238E27FC236}">
              <a16:creationId xmlns:a16="http://schemas.microsoft.com/office/drawing/2014/main" id="{82637A2B-BE49-6C98-E4B9-2054B1706E46}"/>
            </a:ext>
          </a:extLst>
        </xdr:cNvPr>
        <xdr:cNvPicPr>
          <a:picLocks noChangeAspect="1"/>
        </xdr:cNvPicPr>
      </xdr:nvPicPr>
      <xdr:blipFill>
        <a:blip xmlns:r="http://schemas.openxmlformats.org/officeDocument/2006/relationships" r:embed="rId2"/>
        <a:stretch>
          <a:fillRect/>
        </a:stretch>
      </xdr:blipFill>
      <xdr:spPr>
        <a:xfrm>
          <a:off x="0" y="9553575"/>
          <a:ext cx="11695238" cy="4866667"/>
        </a:xfrm>
        <a:prstGeom prst="rect">
          <a:avLst/>
        </a:prstGeom>
      </xdr:spPr>
    </xdr:pic>
    <xdr:clientData/>
  </xdr:twoCellAnchor>
  <xdr:twoCellAnchor editAs="oneCell">
    <xdr:from>
      <xdr:col>0</xdr:col>
      <xdr:colOff>0</xdr:colOff>
      <xdr:row>35</xdr:row>
      <xdr:rowOff>123825</xdr:rowOff>
    </xdr:from>
    <xdr:to>
      <xdr:col>17</xdr:col>
      <xdr:colOff>379495</xdr:colOff>
      <xdr:row>55</xdr:row>
      <xdr:rowOff>104349</xdr:rowOff>
    </xdr:to>
    <xdr:pic>
      <xdr:nvPicPr>
        <xdr:cNvPr id="4" name="图片 3">
          <a:extLst>
            <a:ext uri="{FF2B5EF4-FFF2-40B4-BE49-F238E27FC236}">
              <a16:creationId xmlns:a16="http://schemas.microsoft.com/office/drawing/2014/main" id="{2ADEB77D-74ED-F3FD-E7D6-8EB549247BEE}"/>
            </a:ext>
          </a:extLst>
        </xdr:cNvPr>
        <xdr:cNvPicPr>
          <a:picLocks noChangeAspect="1"/>
        </xdr:cNvPicPr>
      </xdr:nvPicPr>
      <xdr:blipFill>
        <a:blip xmlns:r="http://schemas.openxmlformats.org/officeDocument/2006/relationships" r:embed="rId3"/>
        <a:stretch>
          <a:fillRect/>
        </a:stretch>
      </xdr:blipFill>
      <xdr:spPr>
        <a:xfrm>
          <a:off x="0" y="6124575"/>
          <a:ext cx="12038095" cy="3409524"/>
        </a:xfrm>
        <a:prstGeom prst="rect">
          <a:avLst/>
        </a:prstGeom>
      </xdr:spPr>
    </xdr:pic>
    <xdr:clientData/>
  </xdr:twoCellAnchor>
  <xdr:twoCellAnchor editAs="oneCell">
    <xdr:from>
      <xdr:col>17</xdr:col>
      <xdr:colOff>581025</xdr:colOff>
      <xdr:row>35</xdr:row>
      <xdr:rowOff>142875</xdr:rowOff>
    </xdr:from>
    <xdr:to>
      <xdr:col>35</xdr:col>
      <xdr:colOff>236625</xdr:colOff>
      <xdr:row>56</xdr:row>
      <xdr:rowOff>161473</xdr:rowOff>
    </xdr:to>
    <xdr:pic>
      <xdr:nvPicPr>
        <xdr:cNvPr id="5" name="图片 4">
          <a:extLst>
            <a:ext uri="{FF2B5EF4-FFF2-40B4-BE49-F238E27FC236}">
              <a16:creationId xmlns:a16="http://schemas.microsoft.com/office/drawing/2014/main" id="{3429B92F-7F32-65B8-A826-4B48B1CE55D7}"/>
            </a:ext>
          </a:extLst>
        </xdr:cNvPr>
        <xdr:cNvPicPr>
          <a:picLocks noChangeAspect="1"/>
        </xdr:cNvPicPr>
      </xdr:nvPicPr>
      <xdr:blipFill>
        <a:blip xmlns:r="http://schemas.openxmlformats.org/officeDocument/2006/relationships" r:embed="rId4"/>
        <a:stretch>
          <a:fillRect/>
        </a:stretch>
      </xdr:blipFill>
      <xdr:spPr>
        <a:xfrm>
          <a:off x="12239625" y="6143625"/>
          <a:ext cx="12000000" cy="3619048"/>
        </a:xfrm>
        <a:prstGeom prst="rect">
          <a:avLst/>
        </a:prstGeom>
      </xdr:spPr>
    </xdr:pic>
    <xdr:clientData/>
  </xdr:twoCellAnchor>
  <xdr:twoCellAnchor editAs="oneCell">
    <xdr:from>
      <xdr:col>17</xdr:col>
      <xdr:colOff>666750</xdr:colOff>
      <xdr:row>56</xdr:row>
      <xdr:rowOff>161925</xdr:rowOff>
    </xdr:from>
    <xdr:to>
      <xdr:col>34</xdr:col>
      <xdr:colOff>655769</xdr:colOff>
      <xdr:row>83</xdr:row>
      <xdr:rowOff>104204</xdr:rowOff>
    </xdr:to>
    <xdr:pic>
      <xdr:nvPicPr>
        <xdr:cNvPr id="6" name="图片 5">
          <a:extLst>
            <a:ext uri="{FF2B5EF4-FFF2-40B4-BE49-F238E27FC236}">
              <a16:creationId xmlns:a16="http://schemas.microsoft.com/office/drawing/2014/main" id="{4146DC39-E4B6-6AE3-0794-D7D37940BD59}"/>
            </a:ext>
          </a:extLst>
        </xdr:cNvPr>
        <xdr:cNvPicPr>
          <a:picLocks noChangeAspect="1"/>
        </xdr:cNvPicPr>
      </xdr:nvPicPr>
      <xdr:blipFill>
        <a:blip xmlns:r="http://schemas.openxmlformats.org/officeDocument/2006/relationships" r:embed="rId5"/>
        <a:stretch>
          <a:fillRect/>
        </a:stretch>
      </xdr:blipFill>
      <xdr:spPr>
        <a:xfrm>
          <a:off x="12325350" y="9763125"/>
          <a:ext cx="11647619" cy="4571429"/>
        </a:xfrm>
        <a:prstGeom prst="rect">
          <a:avLst/>
        </a:prstGeom>
      </xdr:spPr>
    </xdr:pic>
    <xdr:clientData/>
  </xdr:twoCellAnchor>
  <xdr:twoCellAnchor editAs="oneCell">
    <xdr:from>
      <xdr:col>0</xdr:col>
      <xdr:colOff>0</xdr:colOff>
      <xdr:row>87</xdr:row>
      <xdr:rowOff>0</xdr:rowOff>
    </xdr:from>
    <xdr:to>
      <xdr:col>17</xdr:col>
      <xdr:colOff>360447</xdr:colOff>
      <xdr:row>106</xdr:row>
      <xdr:rowOff>104355</xdr:rowOff>
    </xdr:to>
    <xdr:pic>
      <xdr:nvPicPr>
        <xdr:cNvPr id="7" name="图片 6">
          <a:extLst>
            <a:ext uri="{FF2B5EF4-FFF2-40B4-BE49-F238E27FC236}">
              <a16:creationId xmlns:a16="http://schemas.microsoft.com/office/drawing/2014/main" id="{BF202D44-3EFF-2BEE-C141-FE73A388AB8C}"/>
            </a:ext>
          </a:extLst>
        </xdr:cNvPr>
        <xdr:cNvPicPr>
          <a:picLocks noChangeAspect="1"/>
        </xdr:cNvPicPr>
      </xdr:nvPicPr>
      <xdr:blipFill>
        <a:blip xmlns:r="http://schemas.openxmlformats.org/officeDocument/2006/relationships" r:embed="rId6"/>
        <a:stretch>
          <a:fillRect/>
        </a:stretch>
      </xdr:blipFill>
      <xdr:spPr>
        <a:xfrm>
          <a:off x="0" y="14916150"/>
          <a:ext cx="12019047" cy="3361905"/>
        </a:xfrm>
        <a:prstGeom prst="rect">
          <a:avLst/>
        </a:prstGeom>
      </xdr:spPr>
    </xdr:pic>
    <xdr:clientData/>
  </xdr:twoCellAnchor>
  <xdr:twoCellAnchor editAs="oneCell">
    <xdr:from>
      <xdr:col>0</xdr:col>
      <xdr:colOff>0</xdr:colOff>
      <xdr:row>107</xdr:row>
      <xdr:rowOff>0</xdr:rowOff>
    </xdr:from>
    <xdr:to>
      <xdr:col>17</xdr:col>
      <xdr:colOff>36638</xdr:colOff>
      <xdr:row>131</xdr:row>
      <xdr:rowOff>75676</xdr:rowOff>
    </xdr:to>
    <xdr:pic>
      <xdr:nvPicPr>
        <xdr:cNvPr id="8" name="图片 7">
          <a:extLst>
            <a:ext uri="{FF2B5EF4-FFF2-40B4-BE49-F238E27FC236}">
              <a16:creationId xmlns:a16="http://schemas.microsoft.com/office/drawing/2014/main" id="{2A15DCE9-C8A3-A1FC-5A5F-195C179521A2}"/>
            </a:ext>
          </a:extLst>
        </xdr:cNvPr>
        <xdr:cNvPicPr>
          <a:picLocks noChangeAspect="1"/>
        </xdr:cNvPicPr>
      </xdr:nvPicPr>
      <xdr:blipFill>
        <a:blip xmlns:r="http://schemas.openxmlformats.org/officeDocument/2006/relationships" r:embed="rId7"/>
        <a:stretch>
          <a:fillRect/>
        </a:stretch>
      </xdr:blipFill>
      <xdr:spPr>
        <a:xfrm>
          <a:off x="0" y="18345150"/>
          <a:ext cx="11695238"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71a29c1e-6d4b-47e9-b5b4-7b1ca2daf063\&#21271;&#20140;&#24066;&#28023;&#28096;&#21306;&#21151;&#24503;&#23546;&#26842;&#25143;&#21306;&#25913;&#36896;&#39033;&#30446;HD-GDS-00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案例"/>
      <sheetName val="本项目成交情况"/>
      <sheetName val="地价-分区"/>
      <sheetName val="假设开发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收益法"/>
      <sheetName val="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6" refreshError="1"/>
      <sheetData sheetId="17" refreshError="1"/>
      <sheetData sheetId="18" refreshError="1"/>
      <sheetData sheetId="19" refreshError="1"/>
      <sheetData sheetId="20" refreshError="1"/>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cell r="C107" t="str">
            <v>高档</v>
          </cell>
          <cell r="D107" t="str">
            <v>中高档</v>
          </cell>
          <cell r="E107" t="str">
            <v>中档</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精装修</v>
          </cell>
          <cell r="D122" t="str">
            <v>普通装修</v>
          </cell>
          <cell r="E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41" refreshError="1"/>
      <sheetData sheetId="42" refreshError="1"/>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北京市出让国有建设用地使用权及在建建筑物房地产抵押价值预评估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受贵公司委托，我公司对北京市出让国有建设用地使用权及在建建筑物房地产抵押价值进行了预评估。</v>
      </c>
    </row>
    <row r="7" spans="1:2">
      <c r="A7" s="826" t="s">
        <v>560</v>
      </c>
      <c r="B7" s="827" t="str">
        <f>'预评函-1'!A7</f>
        <v>估价对象为北京市出让国有建设用地使用权及在建建筑物房地产，为所有。根据《国有土地使用证》[]，估价对象（分摊）出让国有建设用地使用权面积为7720.15平方米，建筑面积为24968.19平方米。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2026年1月21日（评估专业人员实地查勘之日）</v>
      </c>
    </row>
    <row r="13" spans="1:2">
      <c r="A13" s="826" t="s">
        <v>523</v>
      </c>
      <c r="B13" s="82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114945</v>
      </c>
    </row>
    <row r="21" spans="1:2">
      <c r="A21" s="826" t="s">
        <v>531</v>
      </c>
      <c r="B21" s="827">
        <f ca="1">'预评函-2'!D7</f>
        <v>46037</v>
      </c>
    </row>
    <row r="22" spans="1:2">
      <c r="A22" s="826" t="s">
        <v>532</v>
      </c>
      <c r="B22" s="827" t="str">
        <f ca="1">'预评函-2'!D6</f>
        <v>壹拾壹亿肆仟玖佰肆拾伍万元整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114945</v>
      </c>
    </row>
    <row r="31" spans="1:2">
      <c r="A31" s="826" t="s">
        <v>570</v>
      </c>
      <c r="B31" s="827">
        <f ca="1">'预评函-2'!D15</f>
        <v>46037</v>
      </c>
    </row>
    <row r="32" spans="1:2">
      <c r="A32" s="826" t="s">
        <v>537</v>
      </c>
      <c r="B32" s="827" t="str">
        <f ca="1">'预评函-2'!D14</f>
        <v>壹拾壹亿肆仟玖佰肆拾伍万元整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北京市出让国有建设用地使用权及在建建筑物房地产</v>
      </c>
    </row>
    <row r="42" spans="1:2">
      <c r="A42" s="826" t="s">
        <v>584</v>
      </c>
      <c r="B42" s="827" t="str">
        <f>'预评函-3'!B2</f>
        <v>建筑面积</v>
      </c>
    </row>
    <row r="43" spans="1:2">
      <c r="A43" s="826" t="s">
        <v>585</v>
      </c>
      <c r="B43" s="827">
        <f>'预评函-3'!B4</f>
        <v>24968.190000000002</v>
      </c>
    </row>
    <row r="44" spans="1:2">
      <c r="A44" s="826" t="s">
        <v>569</v>
      </c>
      <c r="B44" s="827" t="str">
        <f>'预评函-3'!C2</f>
        <v>(分摊)土地面积</v>
      </c>
    </row>
    <row r="45" spans="1:2">
      <c r="A45" s="826" t="s">
        <v>541</v>
      </c>
      <c r="B45" s="827">
        <f>'预评函-3'!C4</f>
        <v>7720.15</v>
      </c>
    </row>
    <row r="46" spans="1:2">
      <c r="A46" s="826" t="s">
        <v>567</v>
      </c>
      <c r="B46" s="827" t="str">
        <f>'预评函-3'!D2</f>
        <v>出让国有建设用地使用权价值</v>
      </c>
    </row>
    <row r="47" spans="1:2">
      <c r="A47" s="826" t="s">
        <v>542</v>
      </c>
      <c r="B47" s="827">
        <f ca="1">'预评函-3'!D4</f>
        <v>100922</v>
      </c>
    </row>
    <row r="48" spans="1:2">
      <c r="A48" s="826" t="s">
        <v>543</v>
      </c>
      <c r="B48" s="827">
        <f ca="1">'预评函-3'!E4</f>
        <v>40421</v>
      </c>
    </row>
    <row r="49" spans="1:2">
      <c r="A49" s="826" t="s">
        <v>544</v>
      </c>
      <c r="B49" s="827" t="str">
        <f ca="1">'预评函-3'!D5</f>
        <v>壹拾亿零玖佰贰拾贰万元整</v>
      </c>
    </row>
    <row r="50" spans="1:2">
      <c r="A50" s="826" t="s">
        <v>568</v>
      </c>
      <c r="B50" s="827" t="str">
        <f>'预评函-3'!F2</f>
        <v>在建建筑物价值</v>
      </c>
    </row>
    <row r="51" spans="1:2">
      <c r="A51" s="826" t="s">
        <v>545</v>
      </c>
      <c r="B51" s="827">
        <f ca="1">'预评函-3'!F4</f>
        <v>14023</v>
      </c>
    </row>
    <row r="52" spans="1:2">
      <c r="A52" s="826" t="s">
        <v>546</v>
      </c>
      <c r="B52" s="827">
        <f ca="1">'预评函-3'!G4</f>
        <v>5616</v>
      </c>
    </row>
    <row r="53" spans="1:2">
      <c r="A53" s="826" t="s">
        <v>574</v>
      </c>
      <c r="B53" s="827" t="str">
        <f ca="1">'预评函-3'!F5</f>
        <v>壹亿肆仟零贰拾叁万元整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3241</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3277</v>
      </c>
      <c r="AA1" s="1119" t="s">
        <v>3276</v>
      </c>
      <c r="AB1" s="1119" t="s">
        <v>3</v>
      </c>
    </row>
    <row r="2" spans="1:28">
      <c r="A2" s="1122" t="s">
        <v>17</v>
      </c>
      <c r="B2" s="1122" t="s">
        <v>979</v>
      </c>
      <c r="C2" s="1123" t="s">
        <v>313</v>
      </c>
      <c r="D2" s="1124" t="s">
        <v>980</v>
      </c>
      <c r="E2" s="1124" t="s">
        <v>981</v>
      </c>
      <c r="F2" s="1124" t="s">
        <v>982</v>
      </c>
      <c r="G2" s="3693">
        <v>20</v>
      </c>
      <c r="H2" s="1124" t="s">
        <v>982</v>
      </c>
      <c r="I2" s="1124" t="s">
        <v>3227</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2332</v>
      </c>
      <c r="Y2" s="1126" t="s">
        <v>3283</v>
      </c>
      <c r="Z2" s="1126" t="s">
        <v>2345</v>
      </c>
      <c r="AA2" s="1126" t="s">
        <v>3284</v>
      </c>
      <c r="AB2" s="1126" t="s">
        <v>2372</v>
      </c>
    </row>
    <row r="3" spans="1:28">
      <c r="A3" s="1122" t="s">
        <v>987</v>
      </c>
      <c r="B3" s="1125" t="s">
        <v>442</v>
      </c>
      <c r="C3" s="1123" t="s">
        <v>314</v>
      </c>
      <c r="D3" s="1124" t="s">
        <v>988</v>
      </c>
      <c r="E3" s="1124" t="s">
        <v>12</v>
      </c>
      <c r="F3" s="1124" t="s">
        <v>989</v>
      </c>
      <c r="G3" s="3693">
        <v>40</v>
      </c>
      <c r="H3" s="1124" t="s">
        <v>989</v>
      </c>
      <c r="I3" s="1124" t="s">
        <v>3228</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2334</v>
      </c>
      <c r="Z3" s="1126" t="s">
        <v>2347</v>
      </c>
      <c r="AB3" s="1126" t="s">
        <v>2374</v>
      </c>
    </row>
    <row r="4" spans="1:28">
      <c r="A4" s="1122" t="s">
        <v>994</v>
      </c>
      <c r="B4" s="1122" t="s">
        <v>995</v>
      </c>
      <c r="C4" s="1123" t="s">
        <v>315</v>
      </c>
      <c r="D4" s="1124" t="s">
        <v>383</v>
      </c>
      <c r="E4" s="1124" t="s">
        <v>996</v>
      </c>
      <c r="F4" s="1124" t="s">
        <v>997</v>
      </c>
      <c r="G4" s="3693">
        <v>50</v>
      </c>
      <c r="H4" s="1124" t="s">
        <v>997</v>
      </c>
      <c r="I4" s="1124" t="s">
        <v>3229</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2336</v>
      </c>
      <c r="Z4" s="1126" t="s">
        <v>2349</v>
      </c>
      <c r="AB4" s="1126" t="s">
        <v>2376</v>
      </c>
    </row>
    <row r="5" spans="1:28">
      <c r="A5" s="1122" t="s">
        <v>1000</v>
      </c>
      <c r="B5" s="1122" t="s">
        <v>1001</v>
      </c>
      <c r="C5" s="1123" t="s">
        <v>316</v>
      </c>
      <c r="F5" s="1124" t="s">
        <v>1002</v>
      </c>
      <c r="G5" s="3693">
        <v>70</v>
      </c>
      <c r="H5" s="1124" t="s">
        <v>1003</v>
      </c>
      <c r="I5" s="1124" t="s">
        <v>3230</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2338</v>
      </c>
      <c r="Z5" s="1126" t="s">
        <v>2351</v>
      </c>
      <c r="AB5" s="1126" t="s">
        <v>3285</v>
      </c>
    </row>
    <row r="6" spans="1:28">
      <c r="A6" s="1122" t="s">
        <v>1006</v>
      </c>
      <c r="B6" s="1125" t="s">
        <v>443</v>
      </c>
      <c r="C6" s="1127" t="s">
        <v>22</v>
      </c>
      <c r="F6" s="1124" t="s">
        <v>1003</v>
      </c>
      <c r="H6" s="1124" t="s">
        <v>1007</v>
      </c>
      <c r="I6" s="1124" t="s">
        <v>3231</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2340</v>
      </c>
      <c r="Z6" s="1126" t="s">
        <v>2353</v>
      </c>
      <c r="AB6" s="1126" t="s">
        <v>2379</v>
      </c>
    </row>
    <row r="7" spans="1:28">
      <c r="A7" s="1122" t="s">
        <v>1009</v>
      </c>
      <c r="B7" s="1125" t="s">
        <v>444</v>
      </c>
      <c r="C7" s="1123" t="s">
        <v>23</v>
      </c>
      <c r="F7" s="1124" t="s">
        <v>1010</v>
      </c>
      <c r="H7" s="1124" t="s">
        <v>1011</v>
      </c>
      <c r="I7" s="1124" t="s">
        <v>3232</v>
      </c>
      <c r="X7" s="1126" t="s">
        <v>2342</v>
      </c>
      <c r="Z7" s="1126" t="s">
        <v>2355</v>
      </c>
      <c r="AB7" s="1126" t="s">
        <v>2381</v>
      </c>
    </row>
    <row r="8" spans="1:28">
      <c r="A8" s="1122" t="s">
        <v>1012</v>
      </c>
      <c r="B8" s="1122" t="s">
        <v>2326</v>
      </c>
      <c r="C8" s="1123" t="s">
        <v>317</v>
      </c>
      <c r="F8" s="1124" t="s">
        <v>1014</v>
      </c>
      <c r="H8" s="1124" t="s">
        <v>2470</v>
      </c>
      <c r="I8" s="1124" t="s">
        <v>3233</v>
      </c>
      <c r="X8" s="1126" t="s">
        <v>3286</v>
      </c>
      <c r="Z8" s="1126" t="s">
        <v>2357</v>
      </c>
      <c r="AB8" s="1126" t="s">
        <v>2383</v>
      </c>
    </row>
    <row r="9" spans="1:28">
      <c r="A9" s="1122" t="s">
        <v>1015</v>
      </c>
      <c r="B9" s="1122" t="s">
        <v>1013</v>
      </c>
      <c r="C9" s="1123" t="s">
        <v>318</v>
      </c>
      <c r="F9" s="1124" t="s">
        <v>1017</v>
      </c>
      <c r="H9" s="1124"/>
      <c r="I9" s="1126" t="s">
        <v>3234</v>
      </c>
      <c r="X9" s="1126" t="s">
        <v>3287</v>
      </c>
      <c r="Z9" s="1126" t="s">
        <v>2359</v>
      </c>
      <c r="AB9" s="1126" t="s">
        <v>2385</v>
      </c>
    </row>
    <row r="10" spans="1:28">
      <c r="A10" s="1122" t="s">
        <v>1018</v>
      </c>
      <c r="B10" s="1122" t="s">
        <v>1016</v>
      </c>
      <c r="C10" s="1123" t="s">
        <v>319</v>
      </c>
      <c r="F10" s="1124" t="s">
        <v>2471</v>
      </c>
      <c r="I10" s="1126" t="s">
        <v>3235</v>
      </c>
      <c r="Z10" s="1126" t="s">
        <v>2361</v>
      </c>
      <c r="AB10" s="1126" t="s">
        <v>2387</v>
      </c>
    </row>
    <row r="11" spans="1:28">
      <c r="A11" s="1122" t="s">
        <v>1020</v>
      </c>
      <c r="B11" s="1122" t="s">
        <v>1019</v>
      </c>
      <c r="C11" s="1123" t="s">
        <v>320</v>
      </c>
      <c r="F11" s="1124" t="s">
        <v>12</v>
      </c>
      <c r="I11" s="1126" t="s">
        <v>3236</v>
      </c>
      <c r="Z11" s="1126" t="s">
        <v>2363</v>
      </c>
      <c r="AB11" s="1126" t="s">
        <v>2389</v>
      </c>
    </row>
    <row r="12" spans="1:28">
      <c r="A12" s="1122" t="s">
        <v>1022</v>
      </c>
      <c r="B12" s="1122" t="s">
        <v>1021</v>
      </c>
      <c r="C12" s="1123" t="s">
        <v>321</v>
      </c>
      <c r="I12" s="1126" t="s">
        <v>3237</v>
      </c>
      <c r="Z12" s="1126" t="s">
        <v>2365</v>
      </c>
      <c r="AB12" s="1126" t="s">
        <v>2391</v>
      </c>
    </row>
    <row r="13" spans="1:28">
      <c r="A13" s="1122" t="s">
        <v>1024</v>
      </c>
      <c r="B13" s="1122" t="s">
        <v>1023</v>
      </c>
      <c r="C13" s="1123" t="s">
        <v>322</v>
      </c>
      <c r="I13" s="1126" t="s">
        <v>3238</v>
      </c>
      <c r="Z13" s="1126" t="s">
        <v>2367</v>
      </c>
    </row>
    <row r="14" spans="1:28">
      <c r="A14" s="1122" t="s">
        <v>1026</v>
      </c>
      <c r="B14" s="1122" t="s">
        <v>1025</v>
      </c>
      <c r="C14" s="1124" t="s">
        <v>12</v>
      </c>
      <c r="I14" s="1126" t="s">
        <v>3239</v>
      </c>
      <c r="Z14" s="1126" t="s">
        <v>2369</v>
      </c>
    </row>
    <row r="15" spans="1:28">
      <c r="A15" s="1122" t="s">
        <v>1028</v>
      </c>
      <c r="B15" s="1122" t="s">
        <v>2194</v>
      </c>
      <c r="C15" s="1123"/>
      <c r="I15" s="1126" t="s">
        <v>3240</v>
      </c>
    </row>
    <row r="16" spans="1:28">
      <c r="A16" s="1122" t="s">
        <v>1030</v>
      </c>
      <c r="B16" s="1122" t="s">
        <v>1027</v>
      </c>
      <c r="C16" s="1123"/>
    </row>
    <row r="17" spans="1:3">
      <c r="A17" s="1122" t="s">
        <v>1031</v>
      </c>
      <c r="B17" s="1122" t="s">
        <v>1029</v>
      </c>
      <c r="C17" s="1123"/>
    </row>
    <row r="18" spans="1:3">
      <c r="A18" s="1122" t="s">
        <v>1032</v>
      </c>
      <c r="B18" s="1122" t="s">
        <v>3540</v>
      </c>
      <c r="C18" s="1123"/>
    </row>
    <row r="19" spans="1:3">
      <c r="A19" s="1122" t="s">
        <v>1033</v>
      </c>
      <c r="B19" s="1122" t="s">
        <v>3541</v>
      </c>
      <c r="C19" s="1123"/>
    </row>
    <row r="20" spans="1:3">
      <c r="A20" s="1122" t="s">
        <v>1034</v>
      </c>
      <c r="B20" s="1122" t="s">
        <v>310</v>
      </c>
      <c r="C20" s="1123"/>
    </row>
    <row r="21" spans="1:3">
      <c r="A21" s="1122" t="s">
        <v>1035</v>
      </c>
      <c r="B21" s="1122" t="s">
        <v>2194</v>
      </c>
      <c r="C21" s="1123"/>
    </row>
    <row r="22" spans="1:3">
      <c r="A22" s="1122" t="s">
        <v>1036</v>
      </c>
      <c r="B22" s="1122" t="s">
        <v>3645</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02"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2"/>
      <c r="B54" s="1128" t="s">
        <v>379</v>
      </c>
      <c r="C54" s="1126" t="s">
        <v>577</v>
      </c>
    </row>
    <row r="55" spans="1:4">
      <c r="A55" s="4202"/>
      <c r="B55" s="1128" t="s">
        <v>380</v>
      </c>
      <c r="C55" s="1126" t="s">
        <v>578</v>
      </c>
    </row>
    <row r="56" spans="1:4">
      <c r="A56" s="4202"/>
      <c r="B56" s="1128" t="s">
        <v>381</v>
      </c>
      <c r="C56" s="1126" t="s">
        <v>582</v>
      </c>
    </row>
    <row r="57" spans="1:4">
      <c r="A57" s="4202"/>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R16" sqref="R16"/>
    </sheetView>
  </sheetViews>
  <sheetFormatPr defaultColWidth="15.25" defaultRowHeight="13.5"/>
  <cols>
    <col min="1" max="7" width="15.25" style="2243"/>
    <col min="8" max="8" width="14.25" style="2243" customWidth="1"/>
    <col min="9" max="13" width="11.5" style="2275" customWidth="1"/>
    <col min="14" max="15" width="11.5" style="2243" customWidth="1"/>
    <col min="16" max="18" width="9.5" style="2243" customWidth="1"/>
    <col min="19" max="16384" width="15.25" style="2243"/>
  </cols>
  <sheetData>
    <row r="1" spans="1:18">
      <c r="A1" s="2240" t="s">
        <v>2393</v>
      </c>
      <c r="B1" s="2241"/>
      <c r="C1" s="2241"/>
      <c r="D1" s="2241"/>
      <c r="E1" s="2241"/>
      <c r="F1" s="2242"/>
      <c r="I1" s="2565" t="s">
        <v>2486</v>
      </c>
      <c r="J1" s="3718"/>
      <c r="K1" s="3718"/>
      <c r="L1" s="3718"/>
      <c r="M1" s="3718"/>
      <c r="N1" s="3719"/>
      <c r="O1" s="3719"/>
      <c r="P1" s="3719"/>
      <c r="Q1" s="3719"/>
      <c r="R1" s="3720"/>
    </row>
    <row r="2" spans="1:18">
      <c r="A2" s="2244"/>
      <c r="B2" s="2245"/>
      <c r="C2" s="2245"/>
      <c r="D2" s="2245"/>
      <c r="E2" s="2245"/>
      <c r="F2" s="2246"/>
      <c r="I2" s="4203" t="s">
        <v>2473</v>
      </c>
      <c r="J2" s="4204"/>
      <c r="K2" s="4204"/>
      <c r="L2" s="4204"/>
      <c r="M2" s="4204"/>
      <c r="N2" s="4204"/>
      <c r="O2" s="4204"/>
      <c r="P2" s="4204"/>
      <c r="Q2" s="4204"/>
      <c r="R2" s="4205"/>
    </row>
    <row r="3" spans="1:18">
      <c r="A3" s="2247" t="s">
        <v>2394</v>
      </c>
      <c r="B3" s="2248">
        <f>项目基本情况!D3</f>
        <v>46043</v>
      </c>
      <c r="C3" s="2249"/>
      <c r="D3" s="2249"/>
      <c r="E3" s="2249"/>
      <c r="F3" s="2246"/>
      <c r="I3" s="2254"/>
      <c r="J3" s="2255" t="s">
        <v>2477</v>
      </c>
      <c r="K3" s="2255" t="s">
        <v>2478</v>
      </c>
      <c r="L3" s="2255" t="s">
        <v>2479</v>
      </c>
      <c r="M3" s="2255" t="s">
        <v>2480</v>
      </c>
      <c r="N3" s="2566" t="s">
        <v>2481</v>
      </c>
      <c r="O3" s="2566" t="s">
        <v>2482</v>
      </c>
      <c r="P3" s="2566" t="s">
        <v>2483</v>
      </c>
      <c r="Q3" s="2566" t="s">
        <v>2484</v>
      </c>
      <c r="R3" s="3697" t="s">
        <v>2485</v>
      </c>
    </row>
    <row r="4" spans="1:18">
      <c r="A4" s="2247" t="s">
        <v>2395</v>
      </c>
      <c r="B4" s="2249" t="s">
        <v>2396</v>
      </c>
      <c r="C4" s="2249" t="s">
        <v>2397</v>
      </c>
      <c r="D4" s="2249" t="s">
        <v>2398</v>
      </c>
      <c r="E4" s="2249" t="s">
        <v>2399</v>
      </c>
      <c r="F4" s="2246"/>
      <c r="I4" s="2254" t="s">
        <v>2474</v>
      </c>
      <c r="J4" s="3694">
        <v>80</v>
      </c>
      <c r="K4" s="3694">
        <v>70</v>
      </c>
      <c r="L4" s="3694">
        <v>20</v>
      </c>
      <c r="M4" s="3694">
        <v>30</v>
      </c>
      <c r="N4" s="3225">
        <v>45</v>
      </c>
      <c r="O4" s="3225">
        <v>60</v>
      </c>
      <c r="P4" s="3225">
        <v>50</v>
      </c>
      <c r="Q4" s="3225">
        <v>20</v>
      </c>
      <c r="R4" s="3698">
        <v>375</v>
      </c>
    </row>
    <row r="5" spans="1:18">
      <c r="A5" s="3721">
        <v>40</v>
      </c>
      <c r="B5" s="2248">
        <v>46375</v>
      </c>
      <c r="C5" s="3722">
        <f>ROUNDDOWN(MIN((B5-B3)/365,A5),2)</f>
        <v>0.9</v>
      </c>
      <c r="D5" s="3723">
        <f>IF(ISERROR(ROUND(POWER(1+E5,A5-C5)*(POWER(1+E5,C5)-1)/(POWER(1+E5,A5)-1),3)),0,ROUND(POWER(1+E5,A5-C5)*(POWER(1+E5,C5)-1)/(POWER(1+E5,A5)-1),4))</f>
        <v>4.3799999999999999E-2</v>
      </c>
      <c r="E5" s="3724">
        <v>0.04</v>
      </c>
      <c r="F5" s="2246"/>
      <c r="I5" s="2254" t="s">
        <v>2475</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10.91</v>
      </c>
      <c r="D6" s="3723">
        <f>IF(ISERROR(ROUND(POWER(1+E6,A6-C6)*(POWER(1+E6,C6)-1)/(POWER(1+E6,A6)-1),3)),0,ROUND(POWER(1+E6,A6-C6)*(POWER(1+E6,C6)-1)/(POWER(1+E6,A6)-1),4))</f>
        <v>0.40510000000000002</v>
      </c>
      <c r="E6" s="3724">
        <v>0.04</v>
      </c>
      <c r="F6" s="2246"/>
      <c r="I6" s="3699" t="s">
        <v>2476</v>
      </c>
      <c r="J6" s="3700">
        <v>60</v>
      </c>
      <c r="K6" s="3700">
        <v>50</v>
      </c>
      <c r="L6" s="3700">
        <v>10</v>
      </c>
      <c r="M6" s="3700">
        <v>20</v>
      </c>
      <c r="N6" s="3701">
        <v>35</v>
      </c>
      <c r="O6" s="3701">
        <v>40</v>
      </c>
      <c r="P6" s="3701">
        <v>30</v>
      </c>
      <c r="Q6" s="3701">
        <v>10</v>
      </c>
      <c r="R6" s="3702">
        <v>255</v>
      </c>
    </row>
    <row r="7" spans="1:18">
      <c r="A7" s="3721">
        <v>70</v>
      </c>
      <c r="B7" s="2248">
        <v>57333</v>
      </c>
      <c r="C7" s="3722">
        <f>ROUNDDOWN(MIN((B7-B3)/365,A7),2)</f>
        <v>30.93</v>
      </c>
      <c r="D7" s="3723">
        <f>IF(ISERROR(ROUND(POWER(1+E7,A7-C7)*(POWER(1+E7,C7)-1)/(POWER(1+E7,A7)-1),3)),0,ROUND(POWER(1+E7,A7-C7)*(POWER(1+E7,C7)-1)/(POWER(1+E7,A7)-1),4))</f>
        <v>0.751</v>
      </c>
      <c r="E7" s="3724">
        <v>0.04</v>
      </c>
      <c r="F7" s="2246"/>
      <c r="I7" s="3703" t="s">
        <v>3692</v>
      </c>
      <c r="J7" s="3704" t="s">
        <v>3695</v>
      </c>
      <c r="K7" s="3705">
        <v>2.5</v>
      </c>
      <c r="L7" s="3706" t="s">
        <v>3694</v>
      </c>
      <c r="M7" s="3696"/>
      <c r="N7" s="2241"/>
      <c r="O7" s="2241"/>
      <c r="P7" s="2241"/>
      <c r="Q7" s="2241"/>
      <c r="R7" s="2242"/>
    </row>
    <row r="8" spans="1:18">
      <c r="A8" s="2244"/>
      <c r="B8" s="2245"/>
      <c r="C8" s="2245"/>
      <c r="D8" s="2245"/>
      <c r="E8" s="2245"/>
      <c r="F8" s="2246"/>
      <c r="I8" s="4203" t="s">
        <v>3693</v>
      </c>
      <c r="J8" s="4204"/>
      <c r="K8" s="4204"/>
      <c r="L8" s="4204"/>
      <c r="M8" s="4204"/>
      <c r="N8" s="4204"/>
      <c r="O8" s="4204"/>
      <c r="P8" s="4204"/>
      <c r="Q8" s="4204"/>
      <c r="R8" s="4205"/>
    </row>
    <row r="9" spans="1:18">
      <c r="A9" s="2247" t="s">
        <v>2400</v>
      </c>
      <c r="B9" s="2249"/>
      <c r="C9" s="2249"/>
      <c r="D9" s="2249"/>
      <c r="E9" s="2249"/>
      <c r="F9" s="2250"/>
      <c r="I9" s="2254"/>
      <c r="J9" s="2255" t="s">
        <v>2477</v>
      </c>
      <c r="K9" s="2255" t="s">
        <v>2478</v>
      </c>
      <c r="L9" s="2255" t="s">
        <v>2479</v>
      </c>
      <c r="M9" s="2255" t="s">
        <v>2480</v>
      </c>
      <c r="N9" s="2566" t="s">
        <v>2481</v>
      </c>
      <c r="O9" s="2566" t="s">
        <v>2482</v>
      </c>
      <c r="P9" s="2566" t="s">
        <v>2483</v>
      </c>
      <c r="Q9" s="2566" t="s">
        <v>2484</v>
      </c>
      <c r="R9" s="3697" t="s">
        <v>2485</v>
      </c>
    </row>
    <row r="10" spans="1:18">
      <c r="A10" s="2247" t="s">
        <v>2401</v>
      </c>
      <c r="B10" s="2249"/>
      <c r="C10" s="2249"/>
      <c r="D10" s="2249" t="s">
        <v>2399</v>
      </c>
      <c r="E10" s="2249"/>
      <c r="F10" s="2250" t="s">
        <v>2398</v>
      </c>
      <c r="I10" s="2254" t="s">
        <v>2474</v>
      </c>
      <c r="J10" s="3694">
        <f t="shared" ref="J10:R10" si="0">J4/$K$7</f>
        <v>32</v>
      </c>
      <c r="K10" s="3694">
        <f t="shared" si="0"/>
        <v>28</v>
      </c>
      <c r="L10" s="3694">
        <f t="shared" si="0"/>
        <v>8</v>
      </c>
      <c r="M10" s="3694">
        <f t="shared" si="0"/>
        <v>12</v>
      </c>
      <c r="N10" s="3694">
        <f t="shared" si="0"/>
        <v>18</v>
      </c>
      <c r="O10" s="3694">
        <f t="shared" si="0"/>
        <v>24</v>
      </c>
      <c r="P10" s="3694">
        <f t="shared" si="0"/>
        <v>20</v>
      </c>
      <c r="Q10" s="3694">
        <f t="shared" si="0"/>
        <v>8</v>
      </c>
      <c r="R10" s="3709">
        <f t="shared" si="0"/>
        <v>150</v>
      </c>
    </row>
    <row r="11" spans="1:18">
      <c r="A11" s="3727" t="s">
        <v>2402</v>
      </c>
      <c r="B11" s="3725">
        <v>70</v>
      </c>
      <c r="C11" s="3728" t="s">
        <v>2403</v>
      </c>
      <c r="D11" s="3724">
        <v>4.4999999999999998E-2</v>
      </c>
      <c r="E11" s="3728" t="s">
        <v>2404</v>
      </c>
      <c r="F11" s="3726">
        <f>ROUND(1-(1/(POWER(1+D11,B11))),4)</f>
        <v>0.95409999999999995</v>
      </c>
      <c r="I11" s="2254" t="s">
        <v>2475</v>
      </c>
      <c r="J11" s="3694">
        <f t="shared" ref="J11:R11" si="1">J5/$K$7</f>
        <v>28</v>
      </c>
      <c r="K11" s="3694">
        <f t="shared" si="1"/>
        <v>24</v>
      </c>
      <c r="L11" s="3694">
        <f t="shared" si="1"/>
        <v>6</v>
      </c>
      <c r="M11" s="3694">
        <f t="shared" si="1"/>
        <v>10</v>
      </c>
      <c r="N11" s="3694">
        <f t="shared" si="1"/>
        <v>16</v>
      </c>
      <c r="O11" s="3694">
        <f t="shared" si="1"/>
        <v>20</v>
      </c>
      <c r="P11" s="3694">
        <f t="shared" si="1"/>
        <v>16</v>
      </c>
      <c r="Q11" s="3694">
        <f t="shared" si="1"/>
        <v>6</v>
      </c>
      <c r="R11" s="3709">
        <f t="shared" si="1"/>
        <v>126</v>
      </c>
    </row>
    <row r="12" spans="1:18" ht="14.25" thickBot="1">
      <c r="A12" s="3727" t="s">
        <v>2405</v>
      </c>
      <c r="B12" s="3725">
        <v>40</v>
      </c>
      <c r="C12" s="3728" t="s">
        <v>2406</v>
      </c>
      <c r="D12" s="3724">
        <v>4.4999999999999998E-2</v>
      </c>
      <c r="E12" s="3728" t="s">
        <v>2407</v>
      </c>
      <c r="F12" s="3726">
        <f>ROUND(1-(1/(POWER(1+D12,B12))),4)</f>
        <v>0.82809999999999995</v>
      </c>
      <c r="I12" s="3707" t="s">
        <v>2476</v>
      </c>
      <c r="J12" s="3708">
        <f t="shared" ref="J12:R12" si="2">J6/$K$7</f>
        <v>24</v>
      </c>
      <c r="K12" s="3708">
        <f t="shared" si="2"/>
        <v>20</v>
      </c>
      <c r="L12" s="3708">
        <f t="shared" si="2"/>
        <v>4</v>
      </c>
      <c r="M12" s="3708">
        <f t="shared" si="2"/>
        <v>8</v>
      </c>
      <c r="N12" s="3708">
        <f t="shared" si="2"/>
        <v>14</v>
      </c>
      <c r="O12" s="3708">
        <f t="shared" si="2"/>
        <v>16</v>
      </c>
      <c r="P12" s="3708">
        <f t="shared" si="2"/>
        <v>12</v>
      </c>
      <c r="Q12" s="3708">
        <f t="shared" si="2"/>
        <v>4</v>
      </c>
      <c r="R12" s="3713">
        <f t="shared" si="2"/>
        <v>102</v>
      </c>
    </row>
    <row r="13" spans="1:18">
      <c r="A13" s="2247" t="s">
        <v>2408</v>
      </c>
      <c r="B13" s="2249"/>
      <c r="C13" s="2249"/>
      <c r="D13" s="2245"/>
      <c r="E13" s="2245"/>
      <c r="F13" s="2246"/>
      <c r="I13" s="3695" t="s">
        <v>3696</v>
      </c>
      <c r="J13" s="3711">
        <f>'数据-汇总表'!I7</f>
        <v>2.1</v>
      </c>
      <c r="K13" s="3696" t="s">
        <v>3697</v>
      </c>
      <c r="L13" s="3712">
        <v>1.04</v>
      </c>
      <c r="M13" s="3696"/>
      <c r="N13" s="2241"/>
      <c r="O13" s="2241"/>
      <c r="P13" s="2241"/>
      <c r="Q13" s="2241"/>
      <c r="R13" s="2242"/>
    </row>
    <row r="14" spans="1:18">
      <c r="A14" s="3727" t="s">
        <v>2409</v>
      </c>
      <c r="B14" s="3729">
        <v>5000</v>
      </c>
      <c r="C14" s="3730"/>
      <c r="D14" s="2245"/>
      <c r="E14" s="2245"/>
      <c r="F14" s="2246"/>
      <c r="I14" s="2254"/>
      <c r="J14" s="2255" t="s">
        <v>2477</v>
      </c>
      <c r="K14" s="2255" t="s">
        <v>2478</v>
      </c>
      <c r="L14" s="2255" t="s">
        <v>2479</v>
      </c>
      <c r="M14" s="2255" t="s">
        <v>2480</v>
      </c>
      <c r="N14" s="2566" t="s">
        <v>2481</v>
      </c>
      <c r="O14" s="2566" t="s">
        <v>2482</v>
      </c>
      <c r="P14" s="2566" t="s">
        <v>2483</v>
      </c>
      <c r="Q14" s="2566" t="s">
        <v>2484</v>
      </c>
      <c r="R14" s="3697" t="s">
        <v>2485</v>
      </c>
    </row>
    <row r="15" spans="1:18">
      <c r="A15" s="3727" t="s">
        <v>2410</v>
      </c>
      <c r="B15" s="3731">
        <f>ROUND(B14*F12/F11,2)</f>
        <v>4339.6899999999996</v>
      </c>
      <c r="C15" s="3723">
        <f>ROUND(F12/F11,4)</f>
        <v>0.8679</v>
      </c>
      <c r="D15" s="2245"/>
      <c r="E15" s="2245"/>
      <c r="F15" s="2246"/>
      <c r="I15" s="2254" t="s">
        <v>2474</v>
      </c>
      <c r="J15" s="3694">
        <f t="shared" ref="J15:R15" si="3">J10/$L$13</f>
        <v>30.769230769230766</v>
      </c>
      <c r="K15" s="3694">
        <f t="shared" si="3"/>
        <v>26.923076923076923</v>
      </c>
      <c r="L15" s="3694">
        <f t="shared" si="3"/>
        <v>7.6923076923076916</v>
      </c>
      <c r="M15" s="3694">
        <f t="shared" si="3"/>
        <v>11.538461538461538</v>
      </c>
      <c r="N15" s="3694">
        <f t="shared" si="3"/>
        <v>17.307692307692307</v>
      </c>
      <c r="O15" s="3694">
        <f t="shared" si="3"/>
        <v>23.076923076923077</v>
      </c>
      <c r="P15" s="3694">
        <f t="shared" si="3"/>
        <v>19.23076923076923</v>
      </c>
      <c r="Q15" s="3694">
        <f t="shared" si="3"/>
        <v>7.6923076923076916</v>
      </c>
      <c r="R15" s="3709">
        <f t="shared" si="3"/>
        <v>144.23076923076923</v>
      </c>
    </row>
    <row r="16" spans="1:18">
      <c r="A16" s="2247" t="s">
        <v>2411</v>
      </c>
      <c r="B16" s="2689"/>
      <c r="C16" s="2689"/>
      <c r="D16" s="2245"/>
      <c r="E16" s="2245"/>
      <c r="F16" s="2246"/>
      <c r="I16" s="2254" t="s">
        <v>2475</v>
      </c>
      <c r="J16" s="3694">
        <f t="shared" ref="J16:R16" si="4">J11/$L$13</f>
        <v>26.923076923076923</v>
      </c>
      <c r="K16" s="3694">
        <f t="shared" si="4"/>
        <v>23.076923076923077</v>
      </c>
      <c r="L16" s="3694">
        <f t="shared" si="4"/>
        <v>5.7692307692307692</v>
      </c>
      <c r="M16" s="3694">
        <f t="shared" si="4"/>
        <v>9.615384615384615</v>
      </c>
      <c r="N16" s="3694">
        <f t="shared" si="4"/>
        <v>15.384615384615383</v>
      </c>
      <c r="O16" s="3694">
        <f t="shared" si="4"/>
        <v>19.23076923076923</v>
      </c>
      <c r="P16" s="3694">
        <f t="shared" si="4"/>
        <v>15.384615384615383</v>
      </c>
      <c r="Q16" s="3694">
        <f t="shared" si="4"/>
        <v>5.7692307692307692</v>
      </c>
      <c r="R16" s="3709">
        <f t="shared" si="4"/>
        <v>121.15384615384615</v>
      </c>
    </row>
    <row r="17" spans="1:18" ht="14.25" thickBot="1">
      <c r="A17" s="3727" t="s">
        <v>2410</v>
      </c>
      <c r="B17" s="3729">
        <v>4810</v>
      </c>
      <c r="C17" s="3730"/>
      <c r="D17" s="2245"/>
      <c r="E17" s="2245"/>
      <c r="F17" s="2246"/>
      <c r="I17" s="3699" t="s">
        <v>2476</v>
      </c>
      <c r="J17" s="3700">
        <f t="shared" ref="J17:R17" si="5">J12/$L$13</f>
        <v>23.076923076923077</v>
      </c>
      <c r="K17" s="3700">
        <f t="shared" si="5"/>
        <v>19.23076923076923</v>
      </c>
      <c r="L17" s="3700">
        <f t="shared" si="5"/>
        <v>3.8461538461538458</v>
      </c>
      <c r="M17" s="3700">
        <f t="shared" si="5"/>
        <v>7.6923076923076916</v>
      </c>
      <c r="N17" s="3700">
        <f t="shared" si="5"/>
        <v>13.461538461538462</v>
      </c>
      <c r="O17" s="3700">
        <f t="shared" si="5"/>
        <v>15.384615384615383</v>
      </c>
      <c r="P17" s="3700">
        <f t="shared" si="5"/>
        <v>11.538461538461538</v>
      </c>
      <c r="Q17" s="3700">
        <f t="shared" si="5"/>
        <v>3.8461538461538458</v>
      </c>
      <c r="R17" s="3710">
        <f t="shared" si="5"/>
        <v>98.07692307692308</v>
      </c>
    </row>
    <row r="18" spans="1:18" ht="14.25" thickBot="1">
      <c r="A18" s="3732" t="s">
        <v>2409</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2412</v>
      </c>
      <c r="B20" s="2408"/>
      <c r="C20" s="2408"/>
      <c r="D20" s="2408"/>
      <c r="E20" s="2408"/>
      <c r="F20" s="2408"/>
      <c r="G20" s="3717"/>
      <c r="I20" s="2275" t="s">
        <v>2457</v>
      </c>
      <c r="J20" s="2275" t="s">
        <v>2462</v>
      </c>
    </row>
    <row r="21" spans="1:18">
      <c r="A21" s="2254"/>
      <c r="B21" s="2255" t="s">
        <v>2413</v>
      </c>
      <c r="C21" s="2255" t="s">
        <v>2414</v>
      </c>
      <c r="D21" s="2255" t="s">
        <v>2415</v>
      </c>
      <c r="E21" s="2255" t="s">
        <v>2416</v>
      </c>
      <c r="F21" s="2255" t="s">
        <v>2417</v>
      </c>
      <c r="G21" s="2256" t="s">
        <v>2418</v>
      </c>
      <c r="I21" s="2691">
        <v>5</v>
      </c>
      <c r="J21" s="2690">
        <v>54.2</v>
      </c>
      <c r="K21" s="2690"/>
    </row>
    <row r="22" spans="1:18">
      <c r="A22" s="2254" t="s">
        <v>2419</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2420</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2460</v>
      </c>
      <c r="N23" s="2573" t="s">
        <v>2461</v>
      </c>
    </row>
    <row r="24" spans="1:18">
      <c r="A24" s="2254" t="s">
        <v>2421</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2459</v>
      </c>
      <c r="N24" s="2692">
        <v>10</v>
      </c>
    </row>
    <row r="25" spans="1:18">
      <c r="A25" s="2254" t="s">
        <v>2422</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2463</v>
      </c>
      <c r="N25" s="2692">
        <v>8</v>
      </c>
    </row>
    <row r="26" spans="1:18">
      <c r="A26" s="2257"/>
      <c r="B26" s="2258"/>
      <c r="C26" s="2258"/>
      <c r="D26" s="2258"/>
      <c r="E26" s="2258"/>
      <c r="F26" s="2258"/>
      <c r="G26" s="2259"/>
      <c r="I26" s="2691">
        <v>30</v>
      </c>
      <c r="J26" s="2690">
        <v>90.5</v>
      </c>
      <c r="K26" s="2690">
        <f t="shared" si="7"/>
        <v>4.2000000000000028</v>
      </c>
      <c r="L26" s="2275" t="s">
        <v>2464</v>
      </c>
      <c r="N26" s="2692">
        <v>5</v>
      </c>
    </row>
    <row r="27" spans="1:18">
      <c r="A27" s="2257" t="s">
        <v>2423</v>
      </c>
      <c r="B27" s="2258"/>
      <c r="C27" s="2258"/>
      <c r="D27" s="2258"/>
      <c r="E27" s="2258"/>
      <c r="F27" s="2258"/>
      <c r="G27" s="2259"/>
      <c r="I27" s="2691">
        <v>35</v>
      </c>
      <c r="J27" s="2690">
        <v>93.8</v>
      </c>
      <c r="K27" s="2690">
        <f t="shared" si="7"/>
        <v>3.2999999999999972</v>
      </c>
      <c r="L27" s="2275" t="s">
        <v>2465</v>
      </c>
      <c r="N27" s="2692">
        <v>3</v>
      </c>
    </row>
    <row r="28" spans="1:18">
      <c r="A28" s="2257" t="s">
        <v>2424</v>
      </c>
      <c r="B28" s="2258"/>
      <c r="C28" s="2258"/>
      <c r="D28" s="2258"/>
      <c r="E28" s="2258"/>
      <c r="F28" s="2258"/>
      <c r="G28" s="2259"/>
      <c r="I28" s="2691">
        <v>40</v>
      </c>
      <c r="J28" s="2690">
        <v>96.4</v>
      </c>
      <c r="K28" s="2690">
        <f t="shared" si="7"/>
        <v>2.6000000000000085</v>
      </c>
      <c r="L28" s="2275" t="s">
        <v>2466</v>
      </c>
      <c r="N28" s="2692">
        <v>2</v>
      </c>
    </row>
    <row r="29" spans="1:18">
      <c r="A29" s="2257" t="s">
        <v>2425</v>
      </c>
      <c r="B29" s="2258"/>
      <c r="C29" s="2258"/>
      <c r="D29" s="2258"/>
      <c r="E29" s="2258"/>
      <c r="F29" s="2258"/>
      <c r="G29" s="2259"/>
      <c r="I29" s="2691">
        <v>45</v>
      </c>
      <c r="J29" s="2690">
        <v>98.4</v>
      </c>
      <c r="K29" s="2690">
        <f t="shared" si="7"/>
        <v>2</v>
      </c>
    </row>
    <row r="30" spans="1:18">
      <c r="A30" s="2257" t="s">
        <v>2426</v>
      </c>
      <c r="B30" s="2258"/>
      <c r="C30" s="2258"/>
      <c r="D30" s="2258"/>
      <c r="E30" s="2258"/>
      <c r="F30" s="2258"/>
      <c r="G30" s="2259"/>
      <c r="I30" s="2691">
        <v>50</v>
      </c>
      <c r="J30" s="2690">
        <v>100</v>
      </c>
      <c r="K30" s="2690">
        <f t="shared" si="7"/>
        <v>1.5999999999999943</v>
      </c>
    </row>
    <row r="31" spans="1:18">
      <c r="A31" s="2257" t="s">
        <v>2427</v>
      </c>
      <c r="B31" s="2258"/>
      <c r="C31" s="2258"/>
      <c r="D31" s="2258"/>
      <c r="E31" s="2258"/>
      <c r="F31" s="2258"/>
      <c r="G31" s="2259"/>
      <c r="I31" s="2275" t="s">
        <v>2458</v>
      </c>
    </row>
    <row r="32" spans="1:18">
      <c r="A32" s="2257" t="s">
        <v>2428</v>
      </c>
      <c r="B32" s="2258"/>
      <c r="C32" s="2258"/>
      <c r="D32" s="2258"/>
      <c r="E32" s="2258"/>
      <c r="F32" s="2258"/>
      <c r="G32" s="2259"/>
    </row>
    <row r="33" spans="1:14">
      <c r="A33" s="2257" t="s">
        <v>2429</v>
      </c>
      <c r="B33" s="2258"/>
      <c r="C33" s="2258"/>
      <c r="D33" s="2258"/>
      <c r="E33" s="2258"/>
      <c r="F33" s="2258"/>
      <c r="G33" s="2259"/>
      <c r="I33" s="2275" t="s">
        <v>2457</v>
      </c>
      <c r="J33" s="2275" t="s">
        <v>2467</v>
      </c>
    </row>
    <row r="34" spans="1:14">
      <c r="A34" s="2257" t="s">
        <v>2430</v>
      </c>
      <c r="B34" s="2258"/>
      <c r="C34" s="2258"/>
      <c r="D34" s="2258"/>
      <c r="E34" s="2258"/>
      <c r="F34" s="2258"/>
      <c r="G34" s="2259"/>
      <c r="I34" s="2691">
        <v>5</v>
      </c>
      <c r="J34" s="2690">
        <v>55.1</v>
      </c>
      <c r="K34" s="2690"/>
    </row>
    <row r="35" spans="1:14">
      <c r="A35" s="2257" t="s">
        <v>2431</v>
      </c>
      <c r="B35" s="2258"/>
      <c r="C35" s="2258"/>
      <c r="D35" s="2258"/>
      <c r="E35" s="2258"/>
      <c r="F35" s="2258"/>
      <c r="G35" s="2259"/>
      <c r="I35" s="2691">
        <v>10</v>
      </c>
      <c r="J35" s="2690">
        <v>67</v>
      </c>
      <c r="K35" s="2690">
        <f>J35-J34</f>
        <v>11.899999999999999</v>
      </c>
    </row>
    <row r="36" spans="1:14">
      <c r="A36" s="2257" t="s">
        <v>2432</v>
      </c>
      <c r="B36" s="2258"/>
      <c r="C36" s="2258"/>
      <c r="D36" s="2258"/>
      <c r="E36" s="2258"/>
      <c r="F36" s="2258"/>
      <c r="G36" s="2259"/>
      <c r="I36" s="2691">
        <v>15</v>
      </c>
      <c r="J36" s="2690">
        <v>76.3</v>
      </c>
      <c r="K36" s="2690">
        <f t="shared" ref="K36:K41" si="8">J36-J35</f>
        <v>9.2999999999999972</v>
      </c>
      <c r="L36" s="2275" t="s">
        <v>2460</v>
      </c>
      <c r="N36" s="2573" t="s">
        <v>2461</v>
      </c>
    </row>
    <row r="37" spans="1:14">
      <c r="A37" s="2257" t="s">
        <v>2433</v>
      </c>
      <c r="B37" s="2258"/>
      <c r="C37" s="2258"/>
      <c r="D37" s="2258"/>
      <c r="E37" s="2258"/>
      <c r="F37" s="2258"/>
      <c r="G37" s="2259"/>
      <c r="I37" s="2691">
        <v>20</v>
      </c>
      <c r="J37" s="2690">
        <v>83.6</v>
      </c>
      <c r="K37" s="2690">
        <f t="shared" si="8"/>
        <v>7.2999999999999972</v>
      </c>
      <c r="L37" s="2275" t="s">
        <v>2459</v>
      </c>
      <c r="N37" s="2692">
        <v>10</v>
      </c>
    </row>
    <row r="38" spans="1:14">
      <c r="A38" s="2257" t="s">
        <v>2434</v>
      </c>
      <c r="B38" s="2258"/>
      <c r="C38" s="2258"/>
      <c r="D38" s="2258"/>
      <c r="E38" s="2258"/>
      <c r="F38" s="2258"/>
      <c r="G38" s="2259"/>
      <c r="I38" s="2691">
        <v>25</v>
      </c>
      <c r="J38" s="2690">
        <v>89.3</v>
      </c>
      <c r="K38" s="2690">
        <f t="shared" si="8"/>
        <v>5.7000000000000028</v>
      </c>
      <c r="L38" s="2275" t="s">
        <v>2463</v>
      </c>
      <c r="N38" s="2692">
        <v>8</v>
      </c>
    </row>
    <row r="39" spans="1:14">
      <c r="A39" s="2257"/>
      <c r="B39" s="2258"/>
      <c r="C39" s="2258"/>
      <c r="D39" s="2258"/>
      <c r="E39" s="2258"/>
      <c r="F39" s="2258"/>
      <c r="G39" s="2259"/>
      <c r="I39" s="2691">
        <v>30</v>
      </c>
      <c r="J39" s="2690">
        <v>93.8</v>
      </c>
      <c r="K39" s="2690">
        <f t="shared" si="8"/>
        <v>4.5</v>
      </c>
      <c r="L39" s="2275" t="s">
        <v>2464</v>
      </c>
      <c r="N39" s="2692">
        <v>6</v>
      </c>
    </row>
    <row r="40" spans="1:14">
      <c r="A40" s="2260" t="s">
        <v>2435</v>
      </c>
      <c r="B40" s="2261"/>
      <c r="C40" s="2261"/>
      <c r="D40" s="2261"/>
      <c r="E40" s="2261"/>
      <c r="F40" s="2261"/>
      <c r="G40" s="2262"/>
      <c r="I40" s="2691">
        <v>35</v>
      </c>
      <c r="J40" s="2690">
        <v>97.2</v>
      </c>
      <c r="K40" s="2690">
        <f t="shared" si="8"/>
        <v>3.4000000000000057</v>
      </c>
      <c r="L40" s="2275" t="s">
        <v>2465</v>
      </c>
      <c r="N40" s="2692">
        <v>3</v>
      </c>
    </row>
    <row r="41" spans="1:14">
      <c r="A41" s="2263" t="s">
        <v>2436</v>
      </c>
      <c r="B41" s="2264" t="s">
        <v>2437</v>
      </c>
      <c r="C41" s="2265" t="s">
        <v>2438</v>
      </c>
      <c r="D41" s="2265" t="s">
        <v>2439</v>
      </c>
      <c r="E41" s="2266"/>
      <c r="F41" s="2267"/>
      <c r="G41" s="2268"/>
      <c r="I41" s="2691">
        <v>40</v>
      </c>
      <c r="J41" s="2690">
        <v>100</v>
      </c>
      <c r="K41" s="2690">
        <f t="shared" si="8"/>
        <v>2.7999999999999972</v>
      </c>
    </row>
    <row r="42" spans="1:14">
      <c r="A42" s="2263" t="s">
        <v>2440</v>
      </c>
      <c r="B42" s="2264" t="s">
        <v>2441</v>
      </c>
      <c r="C42" s="2265" t="s">
        <v>2442</v>
      </c>
      <c r="D42" s="2269" t="s">
        <v>2443</v>
      </c>
      <c r="E42" s="2261" t="s">
        <v>2444</v>
      </c>
      <c r="F42" s="2261"/>
      <c r="G42" s="2262"/>
    </row>
    <row r="43" spans="1:14">
      <c r="A43" s="2263" t="s">
        <v>2445</v>
      </c>
      <c r="B43" s="2264" t="s">
        <v>2446</v>
      </c>
      <c r="C43" s="2265" t="s">
        <v>2447</v>
      </c>
      <c r="D43" s="2265" t="s">
        <v>2448</v>
      </c>
      <c r="E43" s="2266" t="s">
        <v>2449</v>
      </c>
      <c r="F43" s="2267"/>
      <c r="G43" s="2268"/>
      <c r="I43" s="2275" t="s">
        <v>2457</v>
      </c>
      <c r="J43" s="2275" t="s">
        <v>2468</v>
      </c>
    </row>
    <row r="44" spans="1:14">
      <c r="A44" s="2263" t="s">
        <v>2450</v>
      </c>
      <c r="B44" s="2264" t="s">
        <v>2451</v>
      </c>
      <c r="C44" s="2265" t="s">
        <v>2452</v>
      </c>
      <c r="D44" s="2269">
        <v>0.5</v>
      </c>
      <c r="E44" s="2266" t="s">
        <v>2453</v>
      </c>
      <c r="F44" s="2267"/>
      <c r="G44" s="2268"/>
      <c r="I44" s="2691">
        <v>30</v>
      </c>
      <c r="J44" s="2690">
        <v>81.7</v>
      </c>
      <c r="K44" s="2690"/>
    </row>
    <row r="45" spans="1:14" ht="14.25" thickBot="1">
      <c r="A45" s="2270" t="s">
        <v>2454</v>
      </c>
      <c r="B45" s="2271" t="s">
        <v>2441</v>
      </c>
      <c r="C45" s="2272" t="s">
        <v>2441</v>
      </c>
      <c r="D45" s="2272" t="s">
        <v>2455</v>
      </c>
      <c r="E45" s="2273" t="s">
        <v>2456</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3357</v>
      </c>
      <c r="B54" s="2694"/>
      <c r="C54" s="2694"/>
      <c r="D54" s="2694"/>
      <c r="E54" s="2694"/>
      <c r="I54" s="4206" t="s">
        <v>3371</v>
      </c>
      <c r="J54" s="4206"/>
      <c r="K54" s="4206"/>
      <c r="L54" s="4206"/>
      <c r="M54" s="4206"/>
    </row>
    <row r="55" spans="1:15" ht="14.25">
      <c r="A55" s="2705" t="s">
        <v>3358</v>
      </c>
      <c r="B55" s="2708" t="s">
        <v>3359</v>
      </c>
      <c r="C55" s="2712" t="s">
        <v>3360</v>
      </c>
      <c r="D55" s="2713" t="s">
        <v>3370</v>
      </c>
      <c r="E55" s="2714" t="s">
        <v>3369</v>
      </c>
      <c r="F55" s="2717" t="s">
        <v>3378</v>
      </c>
      <c r="I55" s="2255" t="s">
        <v>3372</v>
      </c>
      <c r="J55" s="2255" t="s">
        <v>3373</v>
      </c>
      <c r="K55" s="2255" t="s">
        <v>3374</v>
      </c>
      <c r="L55" s="2255" t="s">
        <v>3375</v>
      </c>
      <c r="M55" s="2255" t="s">
        <v>3376</v>
      </c>
      <c r="O55" s="2255" t="s">
        <v>3377</v>
      </c>
    </row>
    <row r="56" spans="1:15" ht="14.25">
      <c r="A56" s="1927" t="s">
        <v>3361</v>
      </c>
      <c r="B56" s="2709">
        <f>B57+B58</f>
        <v>90701.11</v>
      </c>
      <c r="C56" s="2709">
        <f>E56/B56</f>
        <v>2720.6490085953742</v>
      </c>
      <c r="D56" s="2715"/>
      <c r="E56" s="2716">
        <f>E57+E58</f>
        <v>246765885</v>
      </c>
      <c r="F56" s="2718">
        <f>E56/$E$63</f>
        <v>0.33673226312036064</v>
      </c>
      <c r="I56" s="2255"/>
      <c r="J56" s="2255"/>
      <c r="K56" s="2255"/>
      <c r="L56" s="2255"/>
      <c r="M56" s="2255"/>
      <c r="O56" s="2251"/>
    </row>
    <row r="57" spans="1:15" ht="14.25">
      <c r="A57" s="2706" t="s">
        <v>3362</v>
      </c>
      <c r="B57" s="2695">
        <v>70688</v>
      </c>
      <c r="C57" s="2720"/>
      <c r="D57" s="2698">
        <v>2500</v>
      </c>
      <c r="E57" s="2723">
        <f>D57*B57</f>
        <v>176720000</v>
      </c>
      <c r="F57" s="2718"/>
      <c r="G57" s="4156" t="s">
        <v>4014</v>
      </c>
      <c r="I57" s="2702">
        <f>E57</f>
        <v>176720000</v>
      </c>
      <c r="J57" s="2702">
        <f>E59*B57/B56</f>
        <v>31809600</v>
      </c>
      <c r="K57" s="2702">
        <f>O57*B57</f>
        <v>70688000</v>
      </c>
      <c r="L57" s="2702">
        <f>E61*B57/B56</f>
        <v>17706612.925905757</v>
      </c>
      <c r="M57" s="2702">
        <f>E62*B57/B56</f>
        <v>11198589.000909911</v>
      </c>
      <c r="O57" s="3741">
        <v>1000</v>
      </c>
    </row>
    <row r="58" spans="1:15" ht="14.25">
      <c r="A58" s="2706" t="s">
        <v>3363</v>
      </c>
      <c r="B58" s="2695">
        <v>20013.11</v>
      </c>
      <c r="C58" s="2720"/>
      <c r="D58" s="2698">
        <v>3500</v>
      </c>
      <c r="E58" s="2723">
        <f>D58*B58</f>
        <v>70045885</v>
      </c>
      <c r="F58" s="2718"/>
      <c r="G58" s="4156" t="s">
        <v>4013</v>
      </c>
      <c r="I58" s="2702">
        <f>E58</f>
        <v>70045885</v>
      </c>
      <c r="J58" s="2702">
        <f>E59-J57</f>
        <v>9005899.5</v>
      </c>
      <c r="K58" s="2702">
        <f>E60-K57</f>
        <v>337466995</v>
      </c>
      <c r="L58" s="2702">
        <f>E61-L57</f>
        <v>5013077.0740942433</v>
      </c>
      <c r="M58" s="2702">
        <f>E62-M57</f>
        <v>3170532.3890900891</v>
      </c>
      <c r="O58" s="3722">
        <f>K58/B58</f>
        <v>16862.296514634658</v>
      </c>
    </row>
    <row r="59" spans="1:15" ht="15">
      <c r="A59" s="1926" t="s">
        <v>3364</v>
      </c>
      <c r="B59" s="2710">
        <f>B56</f>
        <v>90701.11</v>
      </c>
      <c r="C59" s="2696">
        <v>450</v>
      </c>
      <c r="D59" s="2721"/>
      <c r="E59" s="2724">
        <f>C59*B59</f>
        <v>40815499.5</v>
      </c>
      <c r="F59" s="2718">
        <f t="shared" ref="F59:F62" si="10">E59/$E$63</f>
        <v>5.5696092338788847E-2</v>
      </c>
    </row>
    <row r="60" spans="1:15" ht="15">
      <c r="A60" s="1926" t="s">
        <v>3365</v>
      </c>
      <c r="B60" s="2710">
        <f>B56</f>
        <v>90701.11</v>
      </c>
      <c r="C60" s="2696">
        <v>4500</v>
      </c>
      <c r="D60" s="2721"/>
      <c r="E60" s="2724">
        <f>C60*B60</f>
        <v>408154995</v>
      </c>
      <c r="F60" s="2718">
        <f t="shared" si="10"/>
        <v>0.55696092338788838</v>
      </c>
    </row>
    <row r="61" spans="1:15" ht="15">
      <c r="A61" s="1926" t="s">
        <v>3367</v>
      </c>
      <c r="B61" s="2696">
        <v>6491.34</v>
      </c>
      <c r="C61" s="2710">
        <f>E61/B56</f>
        <v>250.48965773406741</v>
      </c>
      <c r="D61" s="2697">
        <f>D58</f>
        <v>3500</v>
      </c>
      <c r="E61" s="2724">
        <f>D61*B61</f>
        <v>22719690</v>
      </c>
      <c r="F61" s="2718">
        <f t="shared" si="10"/>
        <v>3.1002878015707183E-2</v>
      </c>
    </row>
    <row r="62" spans="1:15" ht="15">
      <c r="A62" s="1926" t="s">
        <v>3366</v>
      </c>
      <c r="B62" s="2700">
        <f>B56</f>
        <v>90701.11</v>
      </c>
      <c r="C62" s="2710">
        <f>E62/B56</f>
        <v>158.42277332658884</v>
      </c>
      <c r="D62" s="2699">
        <v>0.02</v>
      </c>
      <c r="E62" s="2724">
        <f>(E56+E59+E60+E61)*D62</f>
        <v>14369121.390000001</v>
      </c>
      <c r="F62" s="2718">
        <f t="shared" si="10"/>
        <v>1.9607843137254902E-2</v>
      </c>
      <c r="I62" s="4207" t="s">
        <v>3379</v>
      </c>
      <c r="J62" s="4207"/>
      <c r="K62" s="4207"/>
      <c r="L62" s="4207"/>
      <c r="M62" s="4207"/>
    </row>
    <row r="63" spans="1:15" ht="15.75" thickBot="1">
      <c r="A63" s="2707" t="s">
        <v>3368</v>
      </c>
      <c r="B63" s="2711">
        <f>B56</f>
        <v>90701.11</v>
      </c>
      <c r="C63" s="2722">
        <f>C56+C59+C60+C62+C61</f>
        <v>8079.5614396560304</v>
      </c>
      <c r="D63" s="3740">
        <f>E63/B63</f>
        <v>8079.5614396560304</v>
      </c>
      <c r="E63" s="2701">
        <f>E56+E59+E60+E62+E61</f>
        <v>732825190.88999999</v>
      </c>
      <c r="F63" s="2719">
        <f>F56+F59+F60+F61+F62</f>
        <v>1</v>
      </c>
      <c r="I63" s="2702">
        <f>I57+I58</f>
        <v>246765885</v>
      </c>
      <c r="J63" s="2702">
        <f t="shared" ref="J63:M63" si="11">J57+J58</f>
        <v>40815499.5</v>
      </c>
      <c r="K63" s="2702">
        <f t="shared" si="11"/>
        <v>408154995</v>
      </c>
      <c r="L63" s="2702">
        <f t="shared" si="11"/>
        <v>22719690</v>
      </c>
      <c r="M63" s="2702">
        <f t="shared" si="11"/>
        <v>14369121.390000001</v>
      </c>
    </row>
    <row r="64" spans="1:15">
      <c r="B64" s="2693"/>
      <c r="C64" s="2693"/>
      <c r="D64" s="2693"/>
      <c r="I64" s="2703">
        <f>I63/$E$63</f>
        <v>0.33673226312036064</v>
      </c>
      <c r="J64" s="2703">
        <f t="shared" ref="J64:M64" si="12">J63/$E$63</f>
        <v>5.5696092338788847E-2</v>
      </c>
      <c r="K64" s="2703">
        <f t="shared" si="12"/>
        <v>0.55696092338788838</v>
      </c>
      <c r="L64" s="2703">
        <f t="shared" si="12"/>
        <v>3.1002878015707183E-2</v>
      </c>
      <c r="M64" s="2703">
        <f t="shared" si="12"/>
        <v>1.9607843137254902E-2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G15" sqref="G15"/>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0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09"/>
      <c r="D1" s="4209"/>
      <c r="E1" s="4209"/>
      <c r="F1" s="4209"/>
      <c r="G1" s="4209"/>
      <c r="H1" s="4209"/>
      <c r="I1" s="421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北京市出让国有建设用地使用权及在建建筑物房地产</v>
      </c>
      <c r="T2" s="1286"/>
      <c r="U2" s="1286"/>
      <c r="V2" s="1286"/>
      <c r="W2" s="1286"/>
      <c r="X2" s="1286"/>
      <c r="Y2" s="1286"/>
      <c r="Z2" s="1286"/>
      <c r="AA2" s="1286"/>
      <c r="AB2" s="1286"/>
    </row>
    <row r="3" spans="1:30">
      <c r="A3" s="187" t="s">
        <v>2080</v>
      </c>
      <c r="B3" s="1774">
        <v>46043</v>
      </c>
      <c r="C3" s="1775" t="s">
        <v>2081</v>
      </c>
      <c r="D3" s="1774">
        <v>46043</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3847</v>
      </c>
      <c r="C8" s="1790"/>
      <c r="D8" s="4211" t="s">
        <v>2087</v>
      </c>
      <c r="E8" s="1791" t="s">
        <v>3848</v>
      </c>
      <c r="F8" s="1792"/>
      <c r="G8" s="1975"/>
      <c r="H8" s="1975"/>
      <c r="I8" s="1975"/>
      <c r="J8" s="1829"/>
      <c r="K8" s="1934"/>
      <c r="L8" s="1933"/>
      <c r="M8" s="1933"/>
      <c r="N8" s="1829"/>
      <c r="O8" s="1333"/>
      <c r="P8" s="1829"/>
      <c r="Q8" s="1829"/>
      <c r="R8" s="1829"/>
    </row>
    <row r="9" spans="1:30" ht="13.5" thickBot="1">
      <c r="A9" s="1793" t="s">
        <v>2088</v>
      </c>
      <c r="B9" s="1794" t="s">
        <v>3848</v>
      </c>
      <c r="C9" s="1795"/>
      <c r="D9" s="4212"/>
      <c r="E9" s="1794" t="s">
        <v>41</v>
      </c>
      <c r="F9" s="1796"/>
      <c r="G9" s="1976"/>
      <c r="H9" s="1976"/>
      <c r="I9" s="1976"/>
      <c r="J9" s="1829"/>
      <c r="K9" s="1936"/>
      <c r="L9" s="1933"/>
      <c r="M9" s="1933"/>
      <c r="N9" s="1829"/>
      <c r="O9" s="1333"/>
      <c r="P9" s="1829"/>
      <c r="Q9" s="1829"/>
      <c r="R9" s="1829"/>
    </row>
    <row r="10" spans="1:30" ht="13.5" thickTop="1">
      <c r="A10" s="1797" t="s">
        <v>2089</v>
      </c>
      <c r="B10" s="3598" t="s">
        <v>3849</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56" t="s">
        <v>3850</v>
      </c>
      <c r="C11" s="1801"/>
      <c r="D11" s="1802"/>
      <c r="E11" s="1771"/>
      <c r="F11" s="1771"/>
      <c r="G11" s="1771"/>
      <c r="H11" s="1771"/>
      <c r="I11" s="1771"/>
      <c r="J11" s="227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76" t="s">
        <v>2469</v>
      </c>
      <c r="J12" s="2278"/>
      <c r="K12" s="1933"/>
      <c r="L12" s="1933"/>
      <c r="M12" s="1829"/>
      <c r="N12" s="1333"/>
      <c r="O12" s="1829"/>
      <c r="P12" s="1829"/>
      <c r="Q12" s="1829"/>
      <c r="AD12" s="1286"/>
    </row>
    <row r="13" spans="1:30">
      <c r="A13" s="2556" t="s">
        <v>3223</v>
      </c>
      <c r="B13" s="1805" t="s">
        <v>2100</v>
      </c>
      <c r="C13" s="574">
        <v>71169</v>
      </c>
      <c r="D13" s="574"/>
      <c r="E13" s="574"/>
      <c r="F13" s="574">
        <v>63864</v>
      </c>
      <c r="G13" s="574">
        <v>63864</v>
      </c>
      <c r="H13" s="574"/>
      <c r="I13" s="574"/>
      <c r="J13" s="2278"/>
      <c r="K13" s="1933"/>
      <c r="L13" s="1933"/>
      <c r="M13" s="1829"/>
      <c r="N13" s="1333"/>
      <c r="O13" s="1829"/>
      <c r="P13" s="1829"/>
      <c r="Q13" s="1829"/>
      <c r="AD13" s="1286"/>
    </row>
    <row r="14" spans="1:30">
      <c r="A14" s="750"/>
      <c r="B14" s="1805" t="s">
        <v>2101</v>
      </c>
      <c r="C14" s="1806">
        <v>70</v>
      </c>
      <c r="D14" s="1806"/>
      <c r="E14" s="1806"/>
      <c r="F14" s="1806">
        <v>50</v>
      </c>
      <c r="G14" s="1806">
        <v>50</v>
      </c>
      <c r="H14" s="1806"/>
      <c r="I14" s="1806"/>
      <c r="J14" s="2279"/>
      <c r="K14" s="1933"/>
      <c r="L14" s="1933"/>
      <c r="M14" s="1829"/>
      <c r="N14" s="1333"/>
      <c r="O14" s="1829"/>
      <c r="P14" s="1829"/>
      <c r="Q14" s="1829"/>
      <c r="AD14" s="1286"/>
    </row>
    <row r="15" spans="1:30">
      <c r="A15" s="204"/>
      <c r="B15" s="1807" t="s">
        <v>2102</v>
      </c>
      <c r="C15" s="6">
        <f>IF(A13="出让",IF(C13="","",ROUNDDOWN(MIN((C13-$D$3)/365,C14),2)),C14)</f>
        <v>68.83</v>
      </c>
      <c r="D15" s="6" t="str">
        <f>IF(A13="出让",IF(D13="","",ROUNDDOWN(MIN((D13-$D$3)/365,D14),2)),D14)</f>
        <v/>
      </c>
      <c r="E15" s="6" t="str">
        <f>IF(A13="出让",IF(E13="","",ROUNDDOWN(MIN((E13-$D$3)/365,E14),2)),E14)</f>
        <v/>
      </c>
      <c r="F15" s="6">
        <f>IF(A13="出让",IF(F13="","",ROUNDDOWN(MIN((F13-$D$3)/365,F14),2)),F14)</f>
        <v>48.82</v>
      </c>
      <c r="G15" s="6">
        <f>IF(A13="出让",IF(G13="","",ROUNDDOWN(MIN((G13-$D$3)/365,G14),2)),G14)</f>
        <v>48.82</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2103</v>
      </c>
      <c r="B16" s="4218"/>
      <c r="C16" s="4219"/>
      <c r="D16" s="4220"/>
      <c r="E16" s="1808" t="s">
        <v>2104</v>
      </c>
      <c r="F16" s="4221"/>
      <c r="G16" s="4222"/>
      <c r="H16" s="4222"/>
      <c r="I16" s="4223"/>
      <c r="J16" s="1829"/>
      <c r="K16" s="1937"/>
      <c r="L16" s="1333"/>
      <c r="M16" s="1333"/>
      <c r="N16" s="1829"/>
      <c r="O16" s="1333"/>
      <c r="P16" s="1829"/>
      <c r="Q16" s="1829"/>
      <c r="R16" s="1829"/>
    </row>
    <row r="17" spans="1:28">
      <c r="A17" s="198" t="s">
        <v>2105</v>
      </c>
      <c r="B17" s="187" t="s">
        <v>2106</v>
      </c>
      <c r="C17" s="9">
        <f>'数据-汇总表'!E3</f>
        <v>24968.190000000002</v>
      </c>
      <c r="D17" s="936" t="s">
        <v>2107</v>
      </c>
      <c r="E17" s="4224" t="s">
        <v>2108</v>
      </c>
      <c r="F17" s="4225"/>
      <c r="G17" s="4225"/>
      <c r="H17" s="4225"/>
      <c r="I17" s="4226"/>
      <c r="J17" s="1829"/>
      <c r="K17" s="1938"/>
      <c r="L17" s="1333"/>
      <c r="M17" s="1333"/>
      <c r="N17" s="1829"/>
      <c r="O17" s="1333"/>
      <c r="P17" s="1829"/>
      <c r="Q17" s="1829"/>
      <c r="R17" s="1829"/>
      <c r="S17" s="1829"/>
      <c r="T17" s="1829"/>
      <c r="U17" s="1829"/>
      <c r="V17" s="1829"/>
    </row>
    <row r="18" spans="1:28" ht="24.75" thickBot="1">
      <c r="A18" s="1809" t="s">
        <v>2109</v>
      </c>
      <c r="B18" s="759" t="s">
        <v>2110</v>
      </c>
      <c r="C18" s="2688">
        <f>'数据-汇总表'!D3</f>
        <v>7720.15</v>
      </c>
      <c r="D18" s="761" t="s">
        <v>2111</v>
      </c>
      <c r="E18" s="4227" t="s">
        <v>2112</v>
      </c>
      <c r="F18" s="4228"/>
      <c r="G18" s="4228"/>
      <c r="H18" s="4228"/>
      <c r="I18" s="4229"/>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14" t="s">
        <v>2116</v>
      </c>
      <c r="C20" s="4215"/>
      <c r="D20" s="4216" t="s">
        <v>2117</v>
      </c>
      <c r="E20" s="4217"/>
      <c r="F20" s="1964" t="s">
        <v>1042</v>
      </c>
      <c r="G20" s="1975"/>
      <c r="H20" s="1975"/>
      <c r="I20" s="1975"/>
      <c r="J20" s="1829"/>
      <c r="K20" s="4213"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21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21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31"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31"/>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31"/>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2"/>
      <c r="B30" s="187" t="s">
        <v>2128</v>
      </c>
      <c r="C30" s="4233"/>
      <c r="D30" s="4234"/>
      <c r="E30" s="1975"/>
      <c r="F30" s="1975"/>
      <c r="G30" s="1975"/>
      <c r="H30" s="1975"/>
      <c r="I30" s="1975"/>
      <c r="J30" s="1829"/>
      <c r="K30" s="1936"/>
      <c r="L30" s="1933"/>
      <c r="M30" s="1933"/>
      <c r="N30" s="1829"/>
      <c r="O30" s="1333"/>
      <c r="P30" s="1829"/>
      <c r="Q30" s="1829"/>
      <c r="R30" s="1829"/>
      <c r="S30" s="1829"/>
      <c r="T30" s="1829"/>
      <c r="U30" s="1829"/>
      <c r="V30" s="1829"/>
    </row>
    <row r="31" spans="1:28">
      <c r="A31" s="4235"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6"/>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6"/>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t="s">
        <v>3851</v>
      </c>
      <c r="C34" s="1502" t="s">
        <v>3852</v>
      </c>
      <c r="D34" s="1502" t="s">
        <v>3853</v>
      </c>
      <c r="E34" s="1502" t="s">
        <v>3854</v>
      </c>
      <c r="F34" s="1502" t="s">
        <v>3855</v>
      </c>
      <c r="G34" s="1502" t="s">
        <v>3856</v>
      </c>
      <c r="H34" s="1502" t="s">
        <v>3857</v>
      </c>
      <c r="I34" s="1975"/>
      <c r="J34" s="1829"/>
      <c r="K34" s="6">
        <f>COUNTIF(B34:H34,"——")</f>
        <v>0</v>
      </c>
      <c r="L34" s="207" t="s">
        <v>2131</v>
      </c>
      <c r="M34" s="207" t="s">
        <v>2132</v>
      </c>
      <c r="N34" s="207" t="s">
        <v>2133</v>
      </c>
      <c r="O34" s="207" t="s">
        <v>2134</v>
      </c>
      <c r="P34" s="207" t="s">
        <v>2135</v>
      </c>
      <c r="Q34" s="207" t="s">
        <v>2136</v>
      </c>
      <c r="R34" s="207" t="s">
        <v>2137</v>
      </c>
      <c r="S34" s="4230" t="s">
        <v>2138</v>
      </c>
      <c r="T34" s="207" t="str">
        <f>NUMBERSTRING(7-K34,1)&amp;"通"</f>
        <v>七通</v>
      </c>
      <c r="U34" s="1829"/>
      <c r="V34" s="1829"/>
    </row>
    <row r="35" spans="1:30">
      <c r="A35" s="1820"/>
      <c r="B35" s="4230" t="s">
        <v>2139</v>
      </c>
      <c r="C35" s="4230"/>
      <c r="D35" s="4230"/>
      <c r="E35" s="4230"/>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230"/>
      <c r="T35" s="55" t="str">
        <f>IF(T34="一通",L35,IF(T34="二通",M35,IF(T34="三通",N35,IF(T34="四通",O35,IF(T34="五通",P35,IF(T34="六通",Q35,R35))))))</f>
        <v>通路、通电、通讯、通上水、通下水、通热、燃气</v>
      </c>
      <c r="U35" s="1829"/>
      <c r="V35" s="1829"/>
    </row>
    <row r="36" spans="1:30">
      <c r="A36" s="1772"/>
      <c r="B36" s="6" t="s">
        <v>2095</v>
      </c>
      <c r="C36" s="6" t="s">
        <v>2096</v>
      </c>
      <c r="D36" s="6" t="s">
        <v>2094</v>
      </c>
      <c r="E36" s="6" t="s">
        <v>2099</v>
      </c>
      <c r="F36" s="2276" t="s">
        <v>2472</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t="s">
        <v>301</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t="s">
        <v>147</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面积!G466</f>
        <v>7720.15</v>
      </c>
      <c r="B3" s="942">
        <f>IF(C3="否",G5-AT5,G5)</f>
        <v>24968.190000000002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24968.190000000002</v>
      </c>
      <c r="H5" s="6">
        <f t="shared" ref="H5:AT5" si="0">SUM(H13:H656)</f>
        <v>24968.190000000002</v>
      </c>
      <c r="I5" s="6">
        <f t="shared" si="0"/>
        <v>10800.690000000002</v>
      </c>
      <c r="J5" s="6">
        <f t="shared" si="0"/>
        <v>0</v>
      </c>
      <c r="K5" s="6">
        <f t="shared" si="0"/>
        <v>4951.4299999999994</v>
      </c>
      <c r="L5" s="6">
        <f t="shared" si="0"/>
        <v>0</v>
      </c>
      <c r="M5" s="6">
        <f t="shared" si="0"/>
        <v>9216.07</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24968.190000000002</v>
      </c>
      <c r="BA5" s="466">
        <f t="shared" si="1"/>
        <v>24968.190000000002</v>
      </c>
      <c r="BB5" s="466">
        <f t="shared" si="1"/>
        <v>10800.690000000002</v>
      </c>
      <c r="BC5" s="466">
        <f t="shared" si="1"/>
        <v>4951.4299999999994</v>
      </c>
      <c r="BD5" s="466">
        <f t="shared" si="1"/>
        <v>9216.07</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2.75">
      <c r="A6" s="8" t="s">
        <v>1057</v>
      </c>
      <c r="B6" s="939"/>
      <c r="C6" s="939"/>
      <c r="D6" s="940"/>
      <c r="E6" s="6">
        <f>H6+AC6+AT6</f>
        <v>7720.15</v>
      </c>
      <c r="F6" s="6" t="s">
        <v>0</v>
      </c>
      <c r="G6" s="6" t="s">
        <v>1</v>
      </c>
      <c r="H6" s="11">
        <f>SUMIF(I$12:AB$12,"总值",I6:AB6)</f>
        <v>7720.15</v>
      </c>
      <c r="I6" s="6">
        <f t="shared" ref="I6:AB6" si="2">ROUND($A$3*I5/$B$3,2)</f>
        <v>3339.57</v>
      </c>
      <c r="J6" s="6">
        <f t="shared" si="2"/>
        <v>0</v>
      </c>
      <c r="K6" s="6">
        <f t="shared" si="2"/>
        <v>1530.98</v>
      </c>
      <c r="L6" s="6">
        <f t="shared" si="2"/>
        <v>0</v>
      </c>
      <c r="M6" s="6">
        <f t="shared" si="2"/>
        <v>2849.6</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4">
        <f>IF(AY3&gt;0,AY3,ROUND($A$3*AZ5/$B$3,2))</f>
        <v>7720.15</v>
      </c>
      <c r="AZ6" s="6" t="s">
        <v>2</v>
      </c>
      <c r="BA6" s="6">
        <f>ROUND($AY$6*BA5/$AZ$5,2)</f>
        <v>7720.15</v>
      </c>
      <c r="BB6" s="6">
        <f>ROUND($AY$6*BB5/$AZ$5,2)</f>
        <v>3339.57</v>
      </c>
      <c r="BC6" s="6">
        <f t="shared" ref="BC6:BH6" si="4">ROUND($AY$6*BC5/$AZ$5,2)</f>
        <v>1530.98</v>
      </c>
      <c r="BD6" s="6">
        <f t="shared" si="4"/>
        <v>2849.6</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3931</v>
      </c>
      <c r="J9" s="556"/>
      <c r="K9" s="1168" t="s">
        <v>3932</v>
      </c>
      <c r="L9" s="556"/>
      <c r="M9" s="1168" t="s">
        <v>3932</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3276</v>
      </c>
      <c r="J10" s="556"/>
      <c r="K10" s="1174" t="s">
        <v>3225</v>
      </c>
      <c r="L10" s="556"/>
      <c r="M10" s="1174" t="s">
        <v>3224</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t="str">
        <f>K10</f>
        <v>仓储</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38" t="s">
        <v>3927</v>
      </c>
      <c r="D13" s="1190" t="s">
        <v>3930</v>
      </c>
      <c r="E13" s="6">
        <f>IF($C$3="是",ROUND($A$3*G13/$B$3,2),ROUND($A$3*(G13-AT13)/$B$3,2))</f>
        <v>3339.57</v>
      </c>
      <c r="F13" s="607"/>
      <c r="G13" s="18">
        <f>H13+AC13+AT13</f>
        <v>10800.690000000002</v>
      </c>
      <c r="H13" s="11">
        <f>SUMIF(I$12:AB$12,"总值",I13:AB13)</f>
        <v>10800.690000000002</v>
      </c>
      <c r="I13" s="1142">
        <f>面积!O54</f>
        <v>10800.690000000002</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住宅</v>
      </c>
      <c r="AY13" s="940">
        <f>ROUND($AY$6*AZ13/$AZ$5,2)</f>
        <v>3339.57</v>
      </c>
      <c r="AZ13" s="9">
        <f>BA13+BL13</f>
        <v>10800.690000000002</v>
      </c>
      <c r="BA13" s="9">
        <f>SUM(BB13:BK13)</f>
        <v>10800.690000000002</v>
      </c>
      <c r="BB13" s="9">
        <f>IF($D13="是",I13-J13,0)</f>
        <v>10800.690000000002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4139" t="s">
        <v>3928</v>
      </c>
      <c r="D14" s="1190" t="s">
        <v>3930</v>
      </c>
      <c r="E14" s="6">
        <f>IF($C$3="是",ROUND($A$3*G14/$B$3,2),ROUND($A$3*(G14-AT14)/$B$3,2))</f>
        <v>1530.98</v>
      </c>
      <c r="F14" s="607"/>
      <c r="G14" s="18">
        <f>H14+AC14+AT14</f>
        <v>4951.4299999999994</v>
      </c>
      <c r="H14" s="11">
        <f>SUMIF(I$12:AB$12,"总值",I14:AB14)</f>
        <v>4951.4299999999994</v>
      </c>
      <c r="I14" s="1142"/>
      <c r="J14" s="1142"/>
      <c r="K14" s="1142">
        <f>面积!O55</f>
        <v>4951.4299999999994</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地下仓储</v>
      </c>
      <c r="AY14" s="940">
        <f>ROUND($AY$6*AZ14/$AZ$5,2)</f>
        <v>1530.98</v>
      </c>
      <c r="AZ14" s="9">
        <f>BA14+BL14</f>
        <v>4951.4299999999994</v>
      </c>
      <c r="BA14" s="9">
        <f>SUM(BB14:BK14)</f>
        <v>4951.4299999999994</v>
      </c>
      <c r="BB14" s="9">
        <f>IF($D14="是",I14-J14,0)</f>
        <v>0</v>
      </c>
      <c r="BC14" s="9">
        <f>IF($D14="是",K14-L14,0)</f>
        <v>4951.4299999999994</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4139" t="s">
        <v>3929</v>
      </c>
      <c r="D15" s="1190" t="s">
        <v>3930</v>
      </c>
      <c r="E15" s="6">
        <f>IF($C$3="是",ROUND($A$3*G15/$B$3,2),ROUND($A$3*(G15-AT15)/$B$3,2))</f>
        <v>2849.6</v>
      </c>
      <c r="F15" s="607"/>
      <c r="G15" s="18">
        <f>H15+AC15+AT15</f>
        <v>9216.07</v>
      </c>
      <c r="H15" s="11">
        <f>SUMIF(I$12:AB$12,"总值",I15:AB15)</f>
        <v>9216.07</v>
      </c>
      <c r="I15" s="1142"/>
      <c r="J15" s="1142"/>
      <c r="K15" s="1142"/>
      <c r="L15" s="1142"/>
      <c r="M15" s="1142">
        <f>面积!O56</f>
        <v>9216.07</v>
      </c>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地下车库</v>
      </c>
      <c r="AY15" s="940">
        <f>ROUND($AY$6*AZ15/$AZ$5,2)</f>
        <v>2849.6</v>
      </c>
      <c r="AZ15" s="9">
        <f>BA15+BL15</f>
        <v>9216.07</v>
      </c>
      <c r="BA15" s="9">
        <f>SUM(BB15:BK15)</f>
        <v>9216.07</v>
      </c>
      <c r="BB15" s="9">
        <f>IF($D15="是",I15-J15,0)</f>
        <v>0</v>
      </c>
      <c r="BC15" s="9">
        <f>IF($D15="是",K15-L15,0)</f>
        <v>0</v>
      </c>
      <c r="BD15" s="9">
        <f>IF($D15="是",M15-N15,0)</f>
        <v>9216.07</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467"/>
  <sheetViews>
    <sheetView tabSelected="1" topLeftCell="A447" workbookViewId="0">
      <selection activeCell="G466" sqref="G466"/>
    </sheetView>
  </sheetViews>
  <sheetFormatPr defaultRowHeight="13.5"/>
  <cols>
    <col min="1" max="1" width="5.75" bestFit="1" customWidth="1"/>
    <col min="2" max="2" width="9.75" bestFit="1" customWidth="1"/>
    <col min="3" max="4" width="7.75" bestFit="1" customWidth="1"/>
    <col min="5" max="5" width="9.75" bestFit="1" customWidth="1"/>
    <col min="6" max="6" width="10.75" bestFit="1" customWidth="1"/>
    <col min="7" max="7" width="18.625" bestFit="1" customWidth="1"/>
    <col min="8" max="8" width="10.5" style="4134" bestFit="1" customWidth="1"/>
    <col min="10" max="10" width="5.75" bestFit="1" customWidth="1"/>
    <col min="11" max="11" width="9.75" bestFit="1" customWidth="1"/>
    <col min="12" max="12" width="7.75" bestFit="1" customWidth="1"/>
    <col min="13" max="13" width="11.375" bestFit="1" customWidth="1"/>
    <col min="14" max="14" width="9.75" bestFit="1" customWidth="1"/>
    <col min="15" max="15" width="10.5" bestFit="1" customWidth="1"/>
    <col min="16" max="16" width="18.625" bestFit="1" customWidth="1"/>
    <col min="17" max="17" width="9.125" customWidth="1"/>
    <col min="18" max="18" width="5.75" bestFit="1" customWidth="1"/>
    <col min="19" max="19" width="9.75" bestFit="1" customWidth="1"/>
    <col min="20" max="21" width="7.75" bestFit="1" customWidth="1"/>
    <col min="22" max="23" width="9.75" bestFit="1" customWidth="1"/>
    <col min="24" max="24" width="18.625" bestFit="1" customWidth="1"/>
    <col min="26" max="26" width="5.75" bestFit="1" customWidth="1"/>
    <col min="27" max="27" width="9.75" bestFit="1" customWidth="1"/>
    <col min="28" max="29" width="7.75" bestFit="1" customWidth="1"/>
    <col min="30" max="31" width="9.75" bestFit="1" customWidth="1"/>
    <col min="32" max="32" width="18.625" bestFit="1" customWidth="1"/>
  </cols>
  <sheetData>
    <row r="1" spans="1:32" ht="15">
      <c r="A1" s="4595" t="s">
        <v>3837</v>
      </c>
      <c r="B1" s="4595" t="s">
        <v>3838</v>
      </c>
      <c r="C1" s="4595" t="s">
        <v>3839</v>
      </c>
      <c r="D1" s="4595" t="s">
        <v>3840</v>
      </c>
      <c r="E1" s="4595" t="s">
        <v>3841</v>
      </c>
      <c r="F1" s="4595" t="s">
        <v>3842</v>
      </c>
      <c r="G1" s="4595" t="s">
        <v>3843</v>
      </c>
      <c r="H1" s="4133"/>
      <c r="J1" s="4124" t="s">
        <v>3837</v>
      </c>
      <c r="K1" s="4124" t="s">
        <v>3838</v>
      </c>
      <c r="L1" s="4124" t="s">
        <v>3839</v>
      </c>
      <c r="M1" s="4124" t="s">
        <v>3840</v>
      </c>
      <c r="N1" s="4124" t="s">
        <v>3841</v>
      </c>
      <c r="O1" s="4124" t="s">
        <v>3842</v>
      </c>
      <c r="P1" s="4124" t="s">
        <v>3843</v>
      </c>
      <c r="R1" s="4124" t="s">
        <v>3837</v>
      </c>
      <c r="S1" s="4124" t="s">
        <v>3838</v>
      </c>
      <c r="T1" s="4124" t="s">
        <v>3839</v>
      </c>
      <c r="U1" s="4124" t="s">
        <v>3840</v>
      </c>
      <c r="V1" s="4124" t="s">
        <v>3841</v>
      </c>
      <c r="W1" s="4124" t="s">
        <v>3842</v>
      </c>
      <c r="X1" s="4124" t="s">
        <v>3843</v>
      </c>
      <c r="Z1" s="4124" t="s">
        <v>3837</v>
      </c>
      <c r="AA1" s="4124" t="s">
        <v>3838</v>
      </c>
      <c r="AB1" s="4124" t="s">
        <v>3839</v>
      </c>
      <c r="AC1" s="4124" t="s">
        <v>3840</v>
      </c>
      <c r="AD1" s="4124" t="s">
        <v>3841</v>
      </c>
      <c r="AE1" s="4124" t="s">
        <v>3842</v>
      </c>
      <c r="AF1" s="4124" t="s">
        <v>3843</v>
      </c>
    </row>
    <row r="2" spans="1:32" ht="15">
      <c r="A2" s="4595">
        <v>1</v>
      </c>
      <c r="B2" s="4595">
        <v>1</v>
      </c>
      <c r="C2" s="4595">
        <v>1</v>
      </c>
      <c r="D2" s="4595">
        <v>101</v>
      </c>
      <c r="E2" s="4595" t="s">
        <v>3276</v>
      </c>
      <c r="F2" s="4596">
        <v>119.29</v>
      </c>
      <c r="G2" s="4596">
        <v>36.880000000000003</v>
      </c>
      <c r="H2" s="4133">
        <f t="shared" ref="H2:H65" si="0">G2/F2</f>
        <v>0.30916254505826141</v>
      </c>
      <c r="J2" s="4124">
        <v>1</v>
      </c>
      <c r="K2" s="4124">
        <v>1</v>
      </c>
      <c r="L2" s="4124">
        <v>1</v>
      </c>
      <c r="M2" s="4124">
        <v>101</v>
      </c>
      <c r="N2" s="4124" t="s">
        <v>3276</v>
      </c>
      <c r="O2" s="4129">
        <v>119.29</v>
      </c>
      <c r="P2" s="4129">
        <v>36.880000000000003</v>
      </c>
      <c r="R2" s="4124">
        <v>1</v>
      </c>
      <c r="S2" s="4124">
        <v>1</v>
      </c>
      <c r="T2" s="4124" t="s">
        <v>3844</v>
      </c>
      <c r="U2" s="4124">
        <v>101</v>
      </c>
      <c r="V2" s="4124" t="s">
        <v>3225</v>
      </c>
      <c r="W2" s="4129">
        <v>56.6</v>
      </c>
      <c r="X2" s="4129">
        <v>17.5</v>
      </c>
      <c r="Z2" s="4124">
        <v>1</v>
      </c>
      <c r="AA2" s="4125" t="s">
        <v>3845</v>
      </c>
      <c r="AB2" s="4124" t="s">
        <v>3844</v>
      </c>
      <c r="AC2" s="4124">
        <v>-1005</v>
      </c>
      <c r="AD2" s="4125" t="s">
        <v>3846</v>
      </c>
      <c r="AE2" s="4129">
        <v>32.72</v>
      </c>
      <c r="AF2" s="4129">
        <v>10.119999999999999</v>
      </c>
    </row>
    <row r="3" spans="1:32" ht="15">
      <c r="A3" s="4595">
        <v>2</v>
      </c>
      <c r="B3" s="4595">
        <v>1</v>
      </c>
      <c r="C3" s="4595" t="s">
        <v>3844</v>
      </c>
      <c r="D3" s="4595">
        <v>101</v>
      </c>
      <c r="E3" s="4595" t="s">
        <v>3225</v>
      </c>
      <c r="F3" s="4596">
        <v>56.6</v>
      </c>
      <c r="G3" s="4596">
        <v>17.5</v>
      </c>
      <c r="H3" s="4133">
        <f t="shared" si="0"/>
        <v>0.30918727915194344</v>
      </c>
      <c r="J3" s="4124">
        <v>2</v>
      </c>
      <c r="K3" s="4124">
        <v>2</v>
      </c>
      <c r="L3" s="4124">
        <v>1</v>
      </c>
      <c r="M3" s="4124">
        <v>102</v>
      </c>
      <c r="N3" s="4124" t="s">
        <v>3276</v>
      </c>
      <c r="O3" s="4129">
        <v>151.44999999999999</v>
      </c>
      <c r="P3" s="4129">
        <v>46.83</v>
      </c>
      <c r="R3" s="4124">
        <v>2</v>
      </c>
      <c r="S3" s="4124">
        <v>1</v>
      </c>
      <c r="T3" s="4124" t="s">
        <v>3844</v>
      </c>
      <c r="U3" s="4124">
        <v>102</v>
      </c>
      <c r="V3" s="4124" t="s">
        <v>3225</v>
      </c>
      <c r="W3" s="4129">
        <v>16.71</v>
      </c>
      <c r="X3" s="4129">
        <v>5.17</v>
      </c>
      <c r="Z3" s="4124">
        <v>2</v>
      </c>
      <c r="AA3" s="4125" t="s">
        <v>3845</v>
      </c>
      <c r="AB3" s="4124" t="s">
        <v>3844</v>
      </c>
      <c r="AC3" s="4124">
        <v>-1009</v>
      </c>
      <c r="AD3" s="4125" t="s">
        <v>3846</v>
      </c>
      <c r="AE3" s="4129">
        <v>32.72</v>
      </c>
      <c r="AF3" s="4129">
        <v>10.119999999999999</v>
      </c>
    </row>
    <row r="4" spans="1:32" ht="15">
      <c r="A4" s="4595">
        <v>3</v>
      </c>
      <c r="B4" s="4595">
        <v>1</v>
      </c>
      <c r="C4" s="4595" t="s">
        <v>3844</v>
      </c>
      <c r="D4" s="4595">
        <v>102</v>
      </c>
      <c r="E4" s="4595" t="s">
        <v>3225</v>
      </c>
      <c r="F4" s="4596">
        <v>16.71</v>
      </c>
      <c r="G4" s="4596">
        <v>5.17</v>
      </c>
      <c r="H4" s="4133">
        <f t="shared" si="0"/>
        <v>0.30939557151406344</v>
      </c>
      <c r="J4" s="4124">
        <v>3</v>
      </c>
      <c r="K4" s="4124">
        <v>2</v>
      </c>
      <c r="L4" s="4124">
        <v>2</v>
      </c>
      <c r="M4" s="4124">
        <v>101</v>
      </c>
      <c r="N4" s="4124" t="s">
        <v>3276</v>
      </c>
      <c r="O4" s="4129">
        <v>151.44999999999999</v>
      </c>
      <c r="P4" s="4129">
        <v>46.83</v>
      </c>
      <c r="R4" s="4124">
        <v>3</v>
      </c>
      <c r="S4" s="4124">
        <v>1</v>
      </c>
      <c r="T4" s="4124" t="s">
        <v>3844</v>
      </c>
      <c r="U4" s="4124">
        <v>103</v>
      </c>
      <c r="V4" s="4124" t="s">
        <v>3225</v>
      </c>
      <c r="W4" s="4129">
        <v>19.05</v>
      </c>
      <c r="X4" s="4129">
        <v>5.89</v>
      </c>
      <c r="Z4" s="4124">
        <v>3</v>
      </c>
      <c r="AA4" s="4125" t="s">
        <v>3845</v>
      </c>
      <c r="AB4" s="4124" t="s">
        <v>3844</v>
      </c>
      <c r="AC4" s="4124">
        <v>-1010</v>
      </c>
      <c r="AD4" s="4125" t="s">
        <v>3846</v>
      </c>
      <c r="AE4" s="4129">
        <v>32.72</v>
      </c>
      <c r="AF4" s="4129">
        <v>10.119999999999999</v>
      </c>
    </row>
    <row r="5" spans="1:32" ht="15">
      <c r="A5" s="4595">
        <v>4</v>
      </c>
      <c r="B5" s="4595">
        <v>1</v>
      </c>
      <c r="C5" s="4595" t="s">
        <v>3844</v>
      </c>
      <c r="D5" s="4595">
        <v>103</v>
      </c>
      <c r="E5" s="4595" t="s">
        <v>3225</v>
      </c>
      <c r="F5" s="4596">
        <v>19.05</v>
      </c>
      <c r="G5" s="4596">
        <v>5.89</v>
      </c>
      <c r="H5" s="4133">
        <f t="shared" si="0"/>
        <v>0.3091863517060367</v>
      </c>
      <c r="J5" s="4124">
        <v>4</v>
      </c>
      <c r="K5" s="4124">
        <v>2</v>
      </c>
      <c r="L5" s="4124">
        <v>3</v>
      </c>
      <c r="M5" s="4124">
        <v>102</v>
      </c>
      <c r="N5" s="4124" t="s">
        <v>3276</v>
      </c>
      <c r="O5" s="4129">
        <v>151.44999999999999</v>
      </c>
      <c r="P5" s="4129">
        <v>46.83</v>
      </c>
      <c r="R5" s="4124">
        <v>4</v>
      </c>
      <c r="S5" s="4124">
        <v>1</v>
      </c>
      <c r="T5" s="4124" t="s">
        <v>3844</v>
      </c>
      <c r="U5" s="4124">
        <v>104</v>
      </c>
      <c r="V5" s="4124" t="s">
        <v>3225</v>
      </c>
      <c r="W5" s="4129">
        <v>54.69</v>
      </c>
      <c r="X5" s="4129">
        <v>16.91</v>
      </c>
      <c r="Z5" s="4124">
        <v>4</v>
      </c>
      <c r="AA5" s="4125" t="s">
        <v>3845</v>
      </c>
      <c r="AB5" s="4124" t="s">
        <v>3844</v>
      </c>
      <c r="AC5" s="4124">
        <v>-1011</v>
      </c>
      <c r="AD5" s="4125" t="s">
        <v>3846</v>
      </c>
      <c r="AE5" s="4129">
        <v>32.72</v>
      </c>
      <c r="AF5" s="4129">
        <v>10.119999999999999</v>
      </c>
    </row>
    <row r="6" spans="1:32" ht="15">
      <c r="A6" s="4595">
        <v>5</v>
      </c>
      <c r="B6" s="4595">
        <v>1</v>
      </c>
      <c r="C6" s="4595" t="s">
        <v>3844</v>
      </c>
      <c r="D6" s="4595">
        <v>104</v>
      </c>
      <c r="E6" s="4595" t="s">
        <v>3225</v>
      </c>
      <c r="F6" s="4596">
        <v>54.69</v>
      </c>
      <c r="G6" s="4596">
        <v>16.91</v>
      </c>
      <c r="H6" s="4133">
        <f t="shared" si="0"/>
        <v>0.30919729383799599</v>
      </c>
      <c r="J6" s="4124">
        <v>5</v>
      </c>
      <c r="K6" s="4124">
        <v>2</v>
      </c>
      <c r="L6" s="4124">
        <v>4</v>
      </c>
      <c r="M6" s="4124">
        <v>101</v>
      </c>
      <c r="N6" s="4124" t="s">
        <v>3276</v>
      </c>
      <c r="O6" s="4129">
        <v>151.44999999999999</v>
      </c>
      <c r="P6" s="4129">
        <v>46.83</v>
      </c>
      <c r="R6" s="4124">
        <v>5</v>
      </c>
      <c r="S6" s="4124">
        <v>1</v>
      </c>
      <c r="T6" s="4124" t="s">
        <v>3844</v>
      </c>
      <c r="U6" s="4124">
        <v>105</v>
      </c>
      <c r="V6" s="4124" t="s">
        <v>3225</v>
      </c>
      <c r="W6" s="4129">
        <v>33.53</v>
      </c>
      <c r="X6" s="4129">
        <v>10.37</v>
      </c>
      <c r="Z6" s="4124">
        <v>5</v>
      </c>
      <c r="AA6" s="4127" t="s">
        <v>3845</v>
      </c>
      <c r="AB6" s="4126" t="s">
        <v>3844</v>
      </c>
      <c r="AC6" s="4126">
        <v>-1014</v>
      </c>
      <c r="AD6" s="4127" t="s">
        <v>3846</v>
      </c>
      <c r="AE6" s="4130">
        <v>32.72</v>
      </c>
      <c r="AF6" s="4130">
        <v>10.119999999999999</v>
      </c>
    </row>
    <row r="7" spans="1:32" ht="15">
      <c r="A7" s="4595">
        <v>6</v>
      </c>
      <c r="B7" s="4595">
        <v>1</v>
      </c>
      <c r="C7" s="4595" t="s">
        <v>3844</v>
      </c>
      <c r="D7" s="4595">
        <v>105</v>
      </c>
      <c r="E7" s="4595" t="s">
        <v>3225</v>
      </c>
      <c r="F7" s="4596">
        <v>33.53</v>
      </c>
      <c r="G7" s="4596">
        <v>10.37</v>
      </c>
      <c r="H7" s="4133">
        <f t="shared" si="0"/>
        <v>0.30927527587235309</v>
      </c>
      <c r="J7" s="4124">
        <v>6</v>
      </c>
      <c r="K7" s="4124">
        <v>3</v>
      </c>
      <c r="L7" s="4124">
        <v>1</v>
      </c>
      <c r="M7" s="4124">
        <v>101</v>
      </c>
      <c r="N7" s="4124" t="s">
        <v>3276</v>
      </c>
      <c r="O7" s="4129">
        <v>176.51</v>
      </c>
      <c r="P7" s="4129">
        <v>54.58</v>
      </c>
      <c r="R7" s="4124">
        <v>6</v>
      </c>
      <c r="S7" s="4124">
        <v>1</v>
      </c>
      <c r="T7" s="4124" t="s">
        <v>3844</v>
      </c>
      <c r="U7" s="4124">
        <v>106</v>
      </c>
      <c r="V7" s="4124" t="s">
        <v>3225</v>
      </c>
      <c r="W7" s="4129">
        <v>18.079999999999998</v>
      </c>
      <c r="X7" s="4129">
        <v>5.59</v>
      </c>
      <c r="Z7" s="4124">
        <v>6</v>
      </c>
      <c r="AA7" s="4127" t="s">
        <v>3845</v>
      </c>
      <c r="AB7" s="4126" t="s">
        <v>3844</v>
      </c>
      <c r="AC7" s="4126">
        <v>-1016</v>
      </c>
      <c r="AD7" s="4127" t="s">
        <v>3846</v>
      </c>
      <c r="AE7" s="4130">
        <v>32.72</v>
      </c>
      <c r="AF7" s="4130">
        <v>10.119999999999999</v>
      </c>
    </row>
    <row r="8" spans="1:32" ht="15">
      <c r="A8" s="4595">
        <v>7</v>
      </c>
      <c r="B8" s="4595">
        <v>1</v>
      </c>
      <c r="C8" s="4595" t="s">
        <v>3844</v>
      </c>
      <c r="D8" s="4595">
        <v>106</v>
      </c>
      <c r="E8" s="4595" t="s">
        <v>3225</v>
      </c>
      <c r="F8" s="4596">
        <v>18.079999999999998</v>
      </c>
      <c r="G8" s="4596">
        <v>5.59</v>
      </c>
      <c r="H8" s="4133">
        <f t="shared" si="0"/>
        <v>0.30918141592920356</v>
      </c>
      <c r="J8" s="4124">
        <v>7</v>
      </c>
      <c r="K8" s="4124">
        <v>3</v>
      </c>
      <c r="L8" s="4124">
        <v>1</v>
      </c>
      <c r="M8" s="4124">
        <v>902</v>
      </c>
      <c r="N8" s="4124" t="s">
        <v>3276</v>
      </c>
      <c r="O8" s="4129">
        <v>178.8</v>
      </c>
      <c r="P8" s="4129">
        <v>55.28</v>
      </c>
      <c r="R8" s="4124">
        <v>7</v>
      </c>
      <c r="S8" s="4124">
        <v>1</v>
      </c>
      <c r="T8" s="4124" t="s">
        <v>3844</v>
      </c>
      <c r="U8" s="4124">
        <v>107</v>
      </c>
      <c r="V8" s="4124" t="s">
        <v>3225</v>
      </c>
      <c r="W8" s="4129">
        <v>18.100000000000001</v>
      </c>
      <c r="X8" s="4129">
        <v>5.6</v>
      </c>
      <c r="Z8" s="4124">
        <v>7</v>
      </c>
      <c r="AA8" s="4127" t="s">
        <v>3845</v>
      </c>
      <c r="AB8" s="4126" t="s">
        <v>3844</v>
      </c>
      <c r="AC8" s="4126">
        <v>-1017</v>
      </c>
      <c r="AD8" s="4127" t="s">
        <v>3846</v>
      </c>
      <c r="AE8" s="4130">
        <v>32.72</v>
      </c>
      <c r="AF8" s="4130">
        <v>10.119999999999999</v>
      </c>
    </row>
    <row r="9" spans="1:32" ht="15">
      <c r="A9" s="4595">
        <v>8</v>
      </c>
      <c r="B9" s="4595">
        <v>1</v>
      </c>
      <c r="C9" s="4595" t="s">
        <v>3844</v>
      </c>
      <c r="D9" s="4595">
        <v>107</v>
      </c>
      <c r="E9" s="4595" t="s">
        <v>3225</v>
      </c>
      <c r="F9" s="4596">
        <v>18.100000000000001</v>
      </c>
      <c r="G9" s="4596">
        <v>5.6</v>
      </c>
      <c r="H9" s="4133">
        <f t="shared" si="0"/>
        <v>0.3093922651933701</v>
      </c>
      <c r="J9" s="4124">
        <v>8</v>
      </c>
      <c r="K9" s="4124">
        <v>4</v>
      </c>
      <c r="L9" s="4124">
        <v>1</v>
      </c>
      <c r="M9" s="4124">
        <v>302</v>
      </c>
      <c r="N9" s="4124" t="s">
        <v>3276</v>
      </c>
      <c r="O9" s="4129">
        <v>137.72999999999999</v>
      </c>
      <c r="P9" s="4129">
        <v>42.59</v>
      </c>
      <c r="R9" s="4124">
        <v>8</v>
      </c>
      <c r="S9" s="4124">
        <v>1</v>
      </c>
      <c r="T9" s="4124" t="s">
        <v>3844</v>
      </c>
      <c r="U9" s="4124">
        <v>108</v>
      </c>
      <c r="V9" s="4124" t="s">
        <v>3225</v>
      </c>
      <c r="W9" s="4129">
        <v>27.76</v>
      </c>
      <c r="X9" s="4129">
        <v>8.58</v>
      </c>
      <c r="Z9" s="4124">
        <v>8</v>
      </c>
      <c r="AA9" s="4127" t="s">
        <v>3845</v>
      </c>
      <c r="AB9" s="4126" t="s">
        <v>3844</v>
      </c>
      <c r="AC9" s="4126">
        <v>-1018</v>
      </c>
      <c r="AD9" s="4127" t="s">
        <v>3846</v>
      </c>
      <c r="AE9" s="4130">
        <v>32.72</v>
      </c>
      <c r="AF9" s="4130">
        <v>10.119999999999999</v>
      </c>
    </row>
    <row r="10" spans="1:32" ht="15">
      <c r="A10" s="4595">
        <v>9</v>
      </c>
      <c r="B10" s="4595">
        <v>1</v>
      </c>
      <c r="C10" s="4595" t="s">
        <v>3844</v>
      </c>
      <c r="D10" s="4595">
        <v>108</v>
      </c>
      <c r="E10" s="4595" t="s">
        <v>3225</v>
      </c>
      <c r="F10" s="4596">
        <v>27.76</v>
      </c>
      <c r="G10" s="4596">
        <v>8.58</v>
      </c>
      <c r="H10" s="4133">
        <f t="shared" si="0"/>
        <v>0.30907780979827087</v>
      </c>
      <c r="J10" s="4124">
        <v>9</v>
      </c>
      <c r="K10" s="4124">
        <v>5</v>
      </c>
      <c r="L10" s="4124">
        <v>1</v>
      </c>
      <c r="M10" s="4124">
        <v>101</v>
      </c>
      <c r="N10" s="4124" t="s">
        <v>3276</v>
      </c>
      <c r="O10" s="4129">
        <v>218.02</v>
      </c>
      <c r="P10" s="4129">
        <v>67.41</v>
      </c>
      <c r="R10" s="4124">
        <v>9</v>
      </c>
      <c r="S10" s="4124">
        <v>1</v>
      </c>
      <c r="T10" s="4124" t="s">
        <v>3844</v>
      </c>
      <c r="U10" s="4124">
        <v>109</v>
      </c>
      <c r="V10" s="4124" t="s">
        <v>3225</v>
      </c>
      <c r="W10" s="4129">
        <v>27.76</v>
      </c>
      <c r="X10" s="4129">
        <v>8.58</v>
      </c>
      <c r="Z10" s="4124">
        <v>9</v>
      </c>
      <c r="AA10" s="4127" t="s">
        <v>3845</v>
      </c>
      <c r="AB10" s="4126" t="s">
        <v>3844</v>
      </c>
      <c r="AC10" s="4126">
        <v>-1024</v>
      </c>
      <c r="AD10" s="4127" t="s">
        <v>3846</v>
      </c>
      <c r="AE10" s="4130">
        <v>32.72</v>
      </c>
      <c r="AF10" s="4130">
        <v>10.119999999999999</v>
      </c>
    </row>
    <row r="11" spans="1:32" ht="15">
      <c r="A11" s="4595">
        <v>10</v>
      </c>
      <c r="B11" s="4595">
        <v>1</v>
      </c>
      <c r="C11" s="4595" t="s">
        <v>3844</v>
      </c>
      <c r="D11" s="4595">
        <v>109</v>
      </c>
      <c r="E11" s="4595" t="s">
        <v>3225</v>
      </c>
      <c r="F11" s="4596">
        <v>27.76</v>
      </c>
      <c r="G11" s="4596">
        <v>8.58</v>
      </c>
      <c r="H11" s="4133">
        <f t="shared" si="0"/>
        <v>0.30907780979827087</v>
      </c>
      <c r="J11" s="4124">
        <v>10</v>
      </c>
      <c r="K11" s="4124">
        <v>5</v>
      </c>
      <c r="L11" s="4124">
        <v>1</v>
      </c>
      <c r="M11" s="4124">
        <v>202</v>
      </c>
      <c r="N11" s="4124" t="s">
        <v>3276</v>
      </c>
      <c r="O11" s="4129">
        <v>267.07</v>
      </c>
      <c r="P11" s="4129">
        <v>82.58</v>
      </c>
      <c r="R11" s="4124">
        <v>10</v>
      </c>
      <c r="S11" s="4124">
        <v>1</v>
      </c>
      <c r="T11" s="4124" t="s">
        <v>3844</v>
      </c>
      <c r="U11" s="4124">
        <v>110</v>
      </c>
      <c r="V11" s="4124" t="s">
        <v>3225</v>
      </c>
      <c r="W11" s="4129">
        <v>58.06</v>
      </c>
      <c r="X11" s="4129">
        <v>17.95</v>
      </c>
      <c r="Z11" s="4124">
        <v>10</v>
      </c>
      <c r="AA11" s="4127" t="s">
        <v>3845</v>
      </c>
      <c r="AB11" s="4126" t="s">
        <v>3844</v>
      </c>
      <c r="AC11" s="4126">
        <v>-1027</v>
      </c>
      <c r="AD11" s="4127" t="s">
        <v>3846</v>
      </c>
      <c r="AE11" s="4130">
        <v>32.72</v>
      </c>
      <c r="AF11" s="4130">
        <v>10.119999999999999</v>
      </c>
    </row>
    <row r="12" spans="1:32" ht="15">
      <c r="A12" s="4595">
        <v>11</v>
      </c>
      <c r="B12" s="4595">
        <v>1</v>
      </c>
      <c r="C12" s="4595" t="s">
        <v>3844</v>
      </c>
      <c r="D12" s="4595">
        <v>110</v>
      </c>
      <c r="E12" s="4595" t="s">
        <v>3225</v>
      </c>
      <c r="F12" s="4596">
        <v>58.06</v>
      </c>
      <c r="G12" s="4596">
        <v>17.95</v>
      </c>
      <c r="H12" s="4133">
        <f t="shared" si="0"/>
        <v>0.30916293489493624</v>
      </c>
      <c r="J12" s="4124">
        <v>11</v>
      </c>
      <c r="K12" s="4124">
        <v>5</v>
      </c>
      <c r="L12" s="4124">
        <v>1</v>
      </c>
      <c r="M12" s="4124">
        <v>302</v>
      </c>
      <c r="N12" s="4124" t="s">
        <v>3276</v>
      </c>
      <c r="O12" s="4129">
        <v>267.10000000000002</v>
      </c>
      <c r="P12" s="4129">
        <v>82.59</v>
      </c>
      <c r="R12" s="4124">
        <v>11</v>
      </c>
      <c r="S12" s="4124">
        <v>1</v>
      </c>
      <c r="T12" s="4124" t="s">
        <v>3844</v>
      </c>
      <c r="U12" s="4124">
        <v>111</v>
      </c>
      <c r="V12" s="4124" t="s">
        <v>3225</v>
      </c>
      <c r="W12" s="4129">
        <v>26.99</v>
      </c>
      <c r="X12" s="4129">
        <v>8.35</v>
      </c>
      <c r="Z12" s="4124">
        <v>11</v>
      </c>
      <c r="AA12" s="4127" t="s">
        <v>3845</v>
      </c>
      <c r="AB12" s="4126" t="s">
        <v>3844</v>
      </c>
      <c r="AC12" s="4126">
        <v>-1028</v>
      </c>
      <c r="AD12" s="4127" t="s">
        <v>3846</v>
      </c>
      <c r="AE12" s="4130">
        <v>32.72</v>
      </c>
      <c r="AF12" s="4130">
        <v>10.119999999999999</v>
      </c>
    </row>
    <row r="13" spans="1:32" ht="15">
      <c r="A13" s="4595">
        <v>12</v>
      </c>
      <c r="B13" s="4595">
        <v>1</v>
      </c>
      <c r="C13" s="4595" t="s">
        <v>3844</v>
      </c>
      <c r="D13" s="4595">
        <v>111</v>
      </c>
      <c r="E13" s="4595" t="s">
        <v>3225</v>
      </c>
      <c r="F13" s="4596">
        <v>26.99</v>
      </c>
      <c r="G13" s="4596">
        <v>8.35</v>
      </c>
      <c r="H13" s="4133">
        <f t="shared" si="0"/>
        <v>0.30937384216376435</v>
      </c>
      <c r="J13" s="4124">
        <v>12</v>
      </c>
      <c r="K13" s="4124">
        <v>5</v>
      </c>
      <c r="L13" s="4124">
        <v>1</v>
      </c>
      <c r="M13" s="4124">
        <v>402</v>
      </c>
      <c r="N13" s="4124" t="s">
        <v>3276</v>
      </c>
      <c r="O13" s="4129">
        <v>267.10000000000002</v>
      </c>
      <c r="P13" s="4129">
        <v>82.59</v>
      </c>
      <c r="R13" s="4124">
        <v>12</v>
      </c>
      <c r="S13" s="4124">
        <v>1</v>
      </c>
      <c r="T13" s="4124" t="s">
        <v>3844</v>
      </c>
      <c r="U13" s="4124">
        <v>112</v>
      </c>
      <c r="V13" s="4124" t="s">
        <v>3225</v>
      </c>
      <c r="W13" s="4129">
        <v>23.76</v>
      </c>
      <c r="X13" s="4129">
        <v>7.35</v>
      </c>
      <c r="Z13" s="4124">
        <v>12</v>
      </c>
      <c r="AA13" s="4127" t="s">
        <v>3845</v>
      </c>
      <c r="AB13" s="4126" t="s">
        <v>3844</v>
      </c>
      <c r="AC13" s="4126">
        <v>-1034</v>
      </c>
      <c r="AD13" s="4127" t="s">
        <v>3846</v>
      </c>
      <c r="AE13" s="4130">
        <v>32.72</v>
      </c>
      <c r="AF13" s="4130">
        <v>10.119999999999999</v>
      </c>
    </row>
    <row r="14" spans="1:32" ht="15">
      <c r="A14" s="4595">
        <v>13</v>
      </c>
      <c r="B14" s="4595">
        <v>1</v>
      </c>
      <c r="C14" s="4595" t="s">
        <v>3844</v>
      </c>
      <c r="D14" s="4595">
        <v>112</v>
      </c>
      <c r="E14" s="4595" t="s">
        <v>3225</v>
      </c>
      <c r="F14" s="4596">
        <v>23.76</v>
      </c>
      <c r="G14" s="4596">
        <v>7.35</v>
      </c>
      <c r="H14" s="4133">
        <f t="shared" si="0"/>
        <v>0.30934343434343431</v>
      </c>
      <c r="J14" s="4124">
        <v>13</v>
      </c>
      <c r="K14" s="4124">
        <v>5</v>
      </c>
      <c r="L14" s="4124">
        <v>1</v>
      </c>
      <c r="M14" s="4124">
        <v>502</v>
      </c>
      <c r="N14" s="4124" t="s">
        <v>3276</v>
      </c>
      <c r="O14" s="4129">
        <v>267.10000000000002</v>
      </c>
      <c r="P14" s="4129">
        <v>82.59</v>
      </c>
      <c r="R14" s="4124">
        <v>13</v>
      </c>
      <c r="S14" s="4124">
        <v>1</v>
      </c>
      <c r="T14" s="4124" t="s">
        <v>3844</v>
      </c>
      <c r="U14" s="4124">
        <v>113</v>
      </c>
      <c r="V14" s="4124" t="s">
        <v>3225</v>
      </c>
      <c r="W14" s="4129">
        <v>32.58</v>
      </c>
      <c r="X14" s="4129">
        <v>10.07</v>
      </c>
      <c r="Z14" s="4124">
        <v>13</v>
      </c>
      <c r="AA14" s="4127" t="s">
        <v>3845</v>
      </c>
      <c r="AB14" s="4126" t="s">
        <v>3844</v>
      </c>
      <c r="AC14" s="4126">
        <v>-1035</v>
      </c>
      <c r="AD14" s="4127" t="s">
        <v>3846</v>
      </c>
      <c r="AE14" s="4130">
        <v>32.72</v>
      </c>
      <c r="AF14" s="4130">
        <v>10.119999999999999</v>
      </c>
    </row>
    <row r="15" spans="1:32" ht="15">
      <c r="A15" s="4595">
        <v>14</v>
      </c>
      <c r="B15" s="4595">
        <v>1</v>
      </c>
      <c r="C15" s="4595" t="s">
        <v>3844</v>
      </c>
      <c r="D15" s="4595">
        <v>113</v>
      </c>
      <c r="E15" s="4595" t="s">
        <v>3225</v>
      </c>
      <c r="F15" s="4596">
        <v>32.58</v>
      </c>
      <c r="G15" s="4596">
        <v>10.07</v>
      </c>
      <c r="H15" s="4133">
        <f t="shared" si="0"/>
        <v>0.30908532842234504</v>
      </c>
      <c r="J15" s="4124">
        <v>14</v>
      </c>
      <c r="K15" s="4124">
        <v>5</v>
      </c>
      <c r="L15" s="4124">
        <v>1</v>
      </c>
      <c r="M15" s="4124">
        <v>602</v>
      </c>
      <c r="N15" s="4124" t="s">
        <v>3276</v>
      </c>
      <c r="O15" s="4129">
        <v>267.10000000000002</v>
      </c>
      <c r="P15" s="4129">
        <v>82.59</v>
      </c>
      <c r="R15" s="4124">
        <v>14</v>
      </c>
      <c r="S15" s="4124">
        <v>1</v>
      </c>
      <c r="T15" s="4124" t="s">
        <v>3844</v>
      </c>
      <c r="U15" s="4124">
        <v>114</v>
      </c>
      <c r="V15" s="4124" t="s">
        <v>3225</v>
      </c>
      <c r="W15" s="4129">
        <v>32.58</v>
      </c>
      <c r="X15" s="4129">
        <v>10.07</v>
      </c>
      <c r="Z15" s="4124">
        <v>14</v>
      </c>
      <c r="AA15" s="4127" t="s">
        <v>3845</v>
      </c>
      <c r="AB15" s="4126" t="s">
        <v>3844</v>
      </c>
      <c r="AC15" s="4126">
        <v>-1036</v>
      </c>
      <c r="AD15" s="4127" t="s">
        <v>3846</v>
      </c>
      <c r="AE15" s="4130">
        <v>47.11</v>
      </c>
      <c r="AF15" s="4130">
        <v>14.57</v>
      </c>
    </row>
    <row r="16" spans="1:32" ht="15">
      <c r="A16" s="4595">
        <v>15</v>
      </c>
      <c r="B16" s="4595">
        <v>1</v>
      </c>
      <c r="C16" s="4595" t="s">
        <v>3844</v>
      </c>
      <c r="D16" s="4595">
        <v>114</v>
      </c>
      <c r="E16" s="4595" t="s">
        <v>3225</v>
      </c>
      <c r="F16" s="4596">
        <v>32.58</v>
      </c>
      <c r="G16" s="4596">
        <v>10.07</v>
      </c>
      <c r="H16" s="4133">
        <f t="shared" si="0"/>
        <v>0.30908532842234504</v>
      </c>
      <c r="J16" s="4124">
        <v>15</v>
      </c>
      <c r="K16" s="4124">
        <v>5</v>
      </c>
      <c r="L16" s="4124">
        <v>1</v>
      </c>
      <c r="M16" s="4124">
        <v>702</v>
      </c>
      <c r="N16" s="4124" t="s">
        <v>3276</v>
      </c>
      <c r="O16" s="4129">
        <v>267.10000000000002</v>
      </c>
      <c r="P16" s="4129">
        <v>82.59</v>
      </c>
      <c r="R16" s="4124">
        <v>15</v>
      </c>
      <c r="S16" s="4124">
        <v>1</v>
      </c>
      <c r="T16" s="4124" t="s">
        <v>3844</v>
      </c>
      <c r="U16" s="4124">
        <v>201</v>
      </c>
      <c r="V16" s="4124" t="s">
        <v>3225</v>
      </c>
      <c r="W16" s="4129">
        <v>32.81</v>
      </c>
      <c r="X16" s="4129">
        <v>10.14</v>
      </c>
      <c r="Z16" s="4124">
        <v>15</v>
      </c>
      <c r="AA16" s="4127" t="s">
        <v>3845</v>
      </c>
      <c r="AB16" s="4126" t="s">
        <v>3844</v>
      </c>
      <c r="AC16" s="4126">
        <v>-1043</v>
      </c>
      <c r="AD16" s="4127" t="s">
        <v>3846</v>
      </c>
      <c r="AE16" s="4130">
        <v>32.72</v>
      </c>
      <c r="AF16" s="4130">
        <v>10.119999999999999</v>
      </c>
    </row>
    <row r="17" spans="1:32" ht="15">
      <c r="A17" s="4595">
        <v>16</v>
      </c>
      <c r="B17" s="4595">
        <v>1</v>
      </c>
      <c r="C17" s="4595" t="s">
        <v>3844</v>
      </c>
      <c r="D17" s="4595">
        <v>201</v>
      </c>
      <c r="E17" s="4595" t="s">
        <v>3225</v>
      </c>
      <c r="F17" s="4596">
        <v>32.81</v>
      </c>
      <c r="G17" s="4596">
        <v>10.14</v>
      </c>
      <c r="H17" s="4133">
        <f t="shared" si="0"/>
        <v>0.30905211825662909</v>
      </c>
      <c r="J17" s="4124">
        <v>16</v>
      </c>
      <c r="K17" s="4124">
        <v>5</v>
      </c>
      <c r="L17" s="4124">
        <v>1</v>
      </c>
      <c r="M17" s="4124">
        <v>1001</v>
      </c>
      <c r="N17" s="4124" t="s">
        <v>3276</v>
      </c>
      <c r="O17" s="4129">
        <v>218.04</v>
      </c>
      <c r="P17" s="4129">
        <v>67.42</v>
      </c>
      <c r="R17" s="4124">
        <v>16</v>
      </c>
      <c r="S17" s="4124">
        <v>1</v>
      </c>
      <c r="T17" s="4124" t="s">
        <v>3844</v>
      </c>
      <c r="U17" s="4124">
        <v>202</v>
      </c>
      <c r="V17" s="4124" t="s">
        <v>3225</v>
      </c>
      <c r="W17" s="4129">
        <v>24.24</v>
      </c>
      <c r="X17" s="4129">
        <v>7.49</v>
      </c>
      <c r="Z17" s="4124">
        <v>16</v>
      </c>
      <c r="AA17" s="4127" t="s">
        <v>3845</v>
      </c>
      <c r="AB17" s="4126" t="s">
        <v>3844</v>
      </c>
      <c r="AC17" s="4126">
        <v>-1061</v>
      </c>
      <c r="AD17" s="4127" t="s">
        <v>3846</v>
      </c>
      <c r="AE17" s="4130">
        <v>32.72</v>
      </c>
      <c r="AF17" s="4130">
        <v>10.119999999999999</v>
      </c>
    </row>
    <row r="18" spans="1:32" ht="15">
      <c r="A18" s="4595">
        <v>17</v>
      </c>
      <c r="B18" s="4595">
        <v>1</v>
      </c>
      <c r="C18" s="4595" t="s">
        <v>3844</v>
      </c>
      <c r="D18" s="4595">
        <v>202</v>
      </c>
      <c r="E18" s="4595" t="s">
        <v>3225</v>
      </c>
      <c r="F18" s="4596">
        <v>24.24</v>
      </c>
      <c r="G18" s="4596">
        <v>7.49</v>
      </c>
      <c r="H18" s="4133">
        <f t="shared" si="0"/>
        <v>0.30899339933993403</v>
      </c>
      <c r="J18" s="4124">
        <v>17</v>
      </c>
      <c r="K18" s="4124">
        <v>5</v>
      </c>
      <c r="L18" s="4124">
        <v>1</v>
      </c>
      <c r="M18" s="4124">
        <v>1002</v>
      </c>
      <c r="N18" s="4124" t="s">
        <v>3276</v>
      </c>
      <c r="O18" s="4129">
        <v>267.10000000000002</v>
      </c>
      <c r="P18" s="4129">
        <v>82.59</v>
      </c>
      <c r="R18" s="4124">
        <v>17</v>
      </c>
      <c r="S18" s="4124">
        <v>1</v>
      </c>
      <c r="T18" s="4124" t="s">
        <v>3844</v>
      </c>
      <c r="U18" s="4124">
        <v>203</v>
      </c>
      <c r="V18" s="4124" t="s">
        <v>3225</v>
      </c>
      <c r="W18" s="4129">
        <v>25.44</v>
      </c>
      <c r="X18" s="4129">
        <v>7.87</v>
      </c>
      <c r="Z18" s="4124">
        <v>17</v>
      </c>
      <c r="AA18" s="4127" t="s">
        <v>3845</v>
      </c>
      <c r="AB18" s="4126" t="s">
        <v>3844</v>
      </c>
      <c r="AC18" s="4126">
        <v>-1067</v>
      </c>
      <c r="AD18" s="4127" t="s">
        <v>3846</v>
      </c>
      <c r="AE18" s="4130">
        <v>32.72</v>
      </c>
      <c r="AF18" s="4130">
        <v>10.119999999999999</v>
      </c>
    </row>
    <row r="19" spans="1:32" ht="15">
      <c r="A19" s="4595">
        <v>18</v>
      </c>
      <c r="B19" s="4595">
        <v>1</v>
      </c>
      <c r="C19" s="4595" t="s">
        <v>3844</v>
      </c>
      <c r="D19" s="4595">
        <v>203</v>
      </c>
      <c r="E19" s="4595" t="s">
        <v>3225</v>
      </c>
      <c r="F19" s="4596">
        <v>25.44</v>
      </c>
      <c r="G19" s="4596">
        <v>7.87</v>
      </c>
      <c r="H19" s="4133">
        <f t="shared" si="0"/>
        <v>0.30935534591194969</v>
      </c>
      <c r="J19" s="4124">
        <v>18</v>
      </c>
      <c r="K19" s="4124">
        <v>5</v>
      </c>
      <c r="L19" s="4124">
        <v>2</v>
      </c>
      <c r="M19" s="4124">
        <v>101</v>
      </c>
      <c r="N19" s="4124" t="s">
        <v>3276</v>
      </c>
      <c r="O19" s="4129">
        <v>267.08</v>
      </c>
      <c r="P19" s="4129">
        <v>82.58</v>
      </c>
      <c r="R19" s="4124">
        <v>18</v>
      </c>
      <c r="S19" s="4124">
        <v>2</v>
      </c>
      <c r="T19" s="4124" t="s">
        <v>3844</v>
      </c>
      <c r="U19" s="4124">
        <v>101</v>
      </c>
      <c r="V19" s="4124" t="s">
        <v>3225</v>
      </c>
      <c r="W19" s="4129">
        <v>23.16</v>
      </c>
      <c r="X19" s="4129">
        <v>7.16</v>
      </c>
      <c r="Z19" s="4124">
        <v>18</v>
      </c>
      <c r="AA19" s="4127" t="s">
        <v>3845</v>
      </c>
      <c r="AB19" s="4126" t="s">
        <v>3844</v>
      </c>
      <c r="AC19" s="4126">
        <v>-1074</v>
      </c>
      <c r="AD19" s="4127" t="s">
        <v>3846</v>
      </c>
      <c r="AE19" s="4130">
        <v>32.72</v>
      </c>
      <c r="AF19" s="4130">
        <v>10.119999999999999</v>
      </c>
    </row>
    <row r="20" spans="1:32" ht="15">
      <c r="A20" s="4595">
        <v>19</v>
      </c>
      <c r="B20" s="4595">
        <v>2</v>
      </c>
      <c r="C20" s="4595">
        <v>1</v>
      </c>
      <c r="D20" s="4595">
        <v>102</v>
      </c>
      <c r="E20" s="4595" t="s">
        <v>3276</v>
      </c>
      <c r="F20" s="4596">
        <v>151.44999999999999</v>
      </c>
      <c r="G20" s="4596">
        <v>46.83</v>
      </c>
      <c r="H20" s="4133">
        <f t="shared" si="0"/>
        <v>0.30921096071310666</v>
      </c>
      <c r="J20" s="4124">
        <v>19</v>
      </c>
      <c r="K20" s="4124">
        <v>5</v>
      </c>
      <c r="L20" s="4124">
        <v>2</v>
      </c>
      <c r="M20" s="4124">
        <v>102</v>
      </c>
      <c r="N20" s="4124" t="s">
        <v>3276</v>
      </c>
      <c r="O20" s="4129">
        <v>218.02</v>
      </c>
      <c r="P20" s="4129">
        <v>67.41</v>
      </c>
      <c r="R20" s="4124">
        <v>19</v>
      </c>
      <c r="S20" s="4124">
        <v>2</v>
      </c>
      <c r="T20" s="4124" t="s">
        <v>3844</v>
      </c>
      <c r="U20" s="4124">
        <v>104</v>
      </c>
      <c r="V20" s="4124" t="s">
        <v>3225</v>
      </c>
      <c r="W20" s="4129">
        <v>28.37</v>
      </c>
      <c r="X20" s="4129">
        <v>8.77</v>
      </c>
      <c r="Z20" s="4124">
        <v>19</v>
      </c>
      <c r="AA20" s="4127" t="s">
        <v>3845</v>
      </c>
      <c r="AB20" s="4126" t="s">
        <v>3844</v>
      </c>
      <c r="AC20" s="4126">
        <v>-1078</v>
      </c>
      <c r="AD20" s="4127" t="s">
        <v>3846</v>
      </c>
      <c r="AE20" s="4130">
        <v>47.11</v>
      </c>
      <c r="AF20" s="4130">
        <v>14.57</v>
      </c>
    </row>
    <row r="21" spans="1:32" ht="15">
      <c r="A21" s="4595">
        <v>20</v>
      </c>
      <c r="B21" s="4595">
        <v>2</v>
      </c>
      <c r="C21" s="4595">
        <v>2</v>
      </c>
      <c r="D21" s="4595">
        <v>101</v>
      </c>
      <c r="E21" s="4595" t="s">
        <v>3276</v>
      </c>
      <c r="F21" s="4596">
        <v>151.44999999999999</v>
      </c>
      <c r="G21" s="4596">
        <v>46.83</v>
      </c>
      <c r="H21" s="4133">
        <f t="shared" si="0"/>
        <v>0.30921096071310666</v>
      </c>
      <c r="J21" s="4124">
        <v>20</v>
      </c>
      <c r="K21" s="4124">
        <v>5</v>
      </c>
      <c r="L21" s="4124">
        <v>2</v>
      </c>
      <c r="M21" s="4124">
        <v>201</v>
      </c>
      <c r="N21" s="4124" t="s">
        <v>3276</v>
      </c>
      <c r="O21" s="4129">
        <v>267.07</v>
      </c>
      <c r="P21" s="4129">
        <v>82.58</v>
      </c>
      <c r="R21" s="4124">
        <v>20</v>
      </c>
      <c r="S21" s="4124">
        <v>2</v>
      </c>
      <c r="T21" s="4124" t="s">
        <v>3844</v>
      </c>
      <c r="U21" s="4124">
        <v>106</v>
      </c>
      <c r="V21" s="4124" t="s">
        <v>3225</v>
      </c>
      <c r="W21" s="4129">
        <v>38.880000000000003</v>
      </c>
      <c r="X21" s="4129">
        <v>12.02</v>
      </c>
      <c r="Z21" s="4124">
        <v>20</v>
      </c>
      <c r="AA21" s="4127" t="s">
        <v>3845</v>
      </c>
      <c r="AB21" s="4126" t="s">
        <v>3844</v>
      </c>
      <c r="AC21" s="4126">
        <v>-1084</v>
      </c>
      <c r="AD21" s="4127" t="s">
        <v>3846</v>
      </c>
      <c r="AE21" s="4130">
        <v>32.72</v>
      </c>
      <c r="AF21" s="4130">
        <v>10.119999999999999</v>
      </c>
    </row>
    <row r="22" spans="1:32" ht="15">
      <c r="A22" s="4595">
        <v>21</v>
      </c>
      <c r="B22" s="4595">
        <v>2</v>
      </c>
      <c r="C22" s="4595">
        <v>3</v>
      </c>
      <c r="D22" s="4595">
        <v>102</v>
      </c>
      <c r="E22" s="4595" t="s">
        <v>3276</v>
      </c>
      <c r="F22" s="4596">
        <v>151.44999999999999</v>
      </c>
      <c r="G22" s="4596">
        <v>46.83</v>
      </c>
      <c r="H22" s="4133">
        <f t="shared" si="0"/>
        <v>0.30921096071310666</v>
      </c>
      <c r="J22" s="4124">
        <v>21</v>
      </c>
      <c r="K22" s="4124">
        <v>5</v>
      </c>
      <c r="L22" s="4124">
        <v>2</v>
      </c>
      <c r="M22" s="4124">
        <v>202</v>
      </c>
      <c r="N22" s="4124" t="s">
        <v>3276</v>
      </c>
      <c r="O22" s="4129">
        <v>218.02</v>
      </c>
      <c r="P22" s="4129">
        <v>67.41</v>
      </c>
      <c r="R22" s="4124">
        <v>21</v>
      </c>
      <c r="S22" s="4124">
        <v>2</v>
      </c>
      <c r="T22" s="4124" t="s">
        <v>3844</v>
      </c>
      <c r="U22" s="4124">
        <v>107</v>
      </c>
      <c r="V22" s="4124" t="s">
        <v>3225</v>
      </c>
      <c r="W22" s="4129">
        <v>29.24</v>
      </c>
      <c r="X22" s="4129">
        <v>9.0399999999999991</v>
      </c>
      <c r="Z22" s="4124">
        <v>21</v>
      </c>
      <c r="AA22" s="4127" t="s">
        <v>3845</v>
      </c>
      <c r="AB22" s="4126" t="s">
        <v>3844</v>
      </c>
      <c r="AC22" s="4126">
        <v>-1090</v>
      </c>
      <c r="AD22" s="4127" t="s">
        <v>3846</v>
      </c>
      <c r="AE22" s="4130">
        <v>32.72</v>
      </c>
      <c r="AF22" s="4130">
        <v>10.119999999999999</v>
      </c>
    </row>
    <row r="23" spans="1:32" ht="15">
      <c r="A23" s="4595">
        <v>22</v>
      </c>
      <c r="B23" s="4595">
        <v>2</v>
      </c>
      <c r="C23" s="4595">
        <v>4</v>
      </c>
      <c r="D23" s="4595">
        <v>101</v>
      </c>
      <c r="E23" s="4595" t="s">
        <v>3276</v>
      </c>
      <c r="F23" s="4596">
        <v>151.44999999999999</v>
      </c>
      <c r="G23" s="4596">
        <v>46.83</v>
      </c>
      <c r="H23" s="4133">
        <f t="shared" si="0"/>
        <v>0.30921096071310666</v>
      </c>
      <c r="J23" s="4124">
        <v>22</v>
      </c>
      <c r="K23" s="4124">
        <v>5</v>
      </c>
      <c r="L23" s="4124">
        <v>2</v>
      </c>
      <c r="M23" s="4124">
        <v>301</v>
      </c>
      <c r="N23" s="4124" t="s">
        <v>3276</v>
      </c>
      <c r="O23" s="4129">
        <v>267.10000000000002</v>
      </c>
      <c r="P23" s="4129">
        <v>82.59</v>
      </c>
      <c r="R23" s="4124">
        <v>22</v>
      </c>
      <c r="S23" s="4124">
        <v>2</v>
      </c>
      <c r="T23" s="4124" t="s">
        <v>3844</v>
      </c>
      <c r="U23" s="4124">
        <v>108</v>
      </c>
      <c r="V23" s="4124" t="s">
        <v>3225</v>
      </c>
      <c r="W23" s="4129">
        <v>29.24</v>
      </c>
      <c r="X23" s="4129">
        <v>9.0399999999999991</v>
      </c>
      <c r="Z23" s="4124">
        <v>22</v>
      </c>
      <c r="AA23" s="4127" t="s">
        <v>3845</v>
      </c>
      <c r="AB23" s="4126" t="s">
        <v>3844</v>
      </c>
      <c r="AC23" s="4126">
        <v>-1093</v>
      </c>
      <c r="AD23" s="4127" t="s">
        <v>3846</v>
      </c>
      <c r="AE23" s="4130">
        <v>32.72</v>
      </c>
      <c r="AF23" s="4130">
        <v>10.119999999999999</v>
      </c>
    </row>
    <row r="24" spans="1:32" ht="15">
      <c r="A24" s="4595">
        <v>23</v>
      </c>
      <c r="B24" s="4595">
        <v>2</v>
      </c>
      <c r="C24" s="4595" t="s">
        <v>3844</v>
      </c>
      <c r="D24" s="4595">
        <v>101</v>
      </c>
      <c r="E24" s="4595" t="s">
        <v>3225</v>
      </c>
      <c r="F24" s="4596">
        <v>23.16</v>
      </c>
      <c r="G24" s="4596">
        <v>7.16</v>
      </c>
      <c r="H24" s="4133">
        <f t="shared" si="0"/>
        <v>0.30915371329879104</v>
      </c>
      <c r="J24" s="4124">
        <v>23</v>
      </c>
      <c r="K24" s="4124">
        <v>5</v>
      </c>
      <c r="L24" s="4124">
        <v>2</v>
      </c>
      <c r="M24" s="4124">
        <v>401</v>
      </c>
      <c r="N24" s="4124" t="s">
        <v>3276</v>
      </c>
      <c r="O24" s="4129">
        <v>267.10000000000002</v>
      </c>
      <c r="P24" s="4129">
        <v>82.59</v>
      </c>
      <c r="R24" s="4124">
        <v>23</v>
      </c>
      <c r="S24" s="4124">
        <v>2</v>
      </c>
      <c r="T24" s="4124" t="s">
        <v>3844</v>
      </c>
      <c r="U24" s="4124">
        <v>109</v>
      </c>
      <c r="V24" s="4124" t="s">
        <v>3225</v>
      </c>
      <c r="W24" s="4129">
        <v>31.7</v>
      </c>
      <c r="X24" s="4129">
        <v>9.8000000000000007</v>
      </c>
      <c r="Z24" s="4124">
        <v>23</v>
      </c>
      <c r="AA24" s="4127" t="s">
        <v>3845</v>
      </c>
      <c r="AB24" s="4126" t="s">
        <v>3844</v>
      </c>
      <c r="AC24" s="4126">
        <v>-1094</v>
      </c>
      <c r="AD24" s="4127" t="s">
        <v>3846</v>
      </c>
      <c r="AE24" s="4130">
        <v>32.72</v>
      </c>
      <c r="AF24" s="4130">
        <v>10.119999999999999</v>
      </c>
    </row>
    <row r="25" spans="1:32" ht="15">
      <c r="A25" s="4595">
        <v>24</v>
      </c>
      <c r="B25" s="4595">
        <v>2</v>
      </c>
      <c r="C25" s="4595" t="s">
        <v>3844</v>
      </c>
      <c r="D25" s="4595">
        <v>104</v>
      </c>
      <c r="E25" s="4595" t="s">
        <v>3225</v>
      </c>
      <c r="F25" s="4596">
        <v>28.37</v>
      </c>
      <c r="G25" s="4596">
        <v>8.77</v>
      </c>
      <c r="H25" s="4133">
        <f t="shared" si="0"/>
        <v>0.30912936200211488</v>
      </c>
      <c r="J25" s="4124">
        <v>24</v>
      </c>
      <c r="K25" s="4124">
        <v>5</v>
      </c>
      <c r="L25" s="4124">
        <v>2</v>
      </c>
      <c r="M25" s="4124">
        <v>701</v>
      </c>
      <c r="N25" s="4124" t="s">
        <v>3276</v>
      </c>
      <c r="O25" s="4129">
        <v>267.10000000000002</v>
      </c>
      <c r="P25" s="4129">
        <v>82.59</v>
      </c>
      <c r="R25" s="4124">
        <v>24</v>
      </c>
      <c r="S25" s="4124">
        <v>2</v>
      </c>
      <c r="T25" s="4124" t="s">
        <v>3844</v>
      </c>
      <c r="U25" s="4124">
        <v>111</v>
      </c>
      <c r="V25" s="4124" t="s">
        <v>3225</v>
      </c>
      <c r="W25" s="4129">
        <v>29.56</v>
      </c>
      <c r="X25" s="4129">
        <v>9.14</v>
      </c>
      <c r="Z25" s="4124">
        <v>24</v>
      </c>
      <c r="AA25" s="4127" t="s">
        <v>3845</v>
      </c>
      <c r="AB25" s="4126" t="s">
        <v>3844</v>
      </c>
      <c r="AC25" s="4126">
        <v>-1096</v>
      </c>
      <c r="AD25" s="4127" t="s">
        <v>3846</v>
      </c>
      <c r="AE25" s="4130">
        <v>32.72</v>
      </c>
      <c r="AF25" s="4130">
        <v>10.119999999999999</v>
      </c>
    </row>
    <row r="26" spans="1:32" ht="15">
      <c r="A26" s="4595">
        <v>25</v>
      </c>
      <c r="B26" s="4595">
        <v>2</v>
      </c>
      <c r="C26" s="4595" t="s">
        <v>3844</v>
      </c>
      <c r="D26" s="4595">
        <v>106</v>
      </c>
      <c r="E26" s="4595" t="s">
        <v>3225</v>
      </c>
      <c r="F26" s="4596">
        <v>38.880000000000003</v>
      </c>
      <c r="G26" s="4596">
        <v>12.02</v>
      </c>
      <c r="H26" s="4133">
        <f t="shared" si="0"/>
        <v>0.30915637860082301</v>
      </c>
      <c r="J26" s="4124">
        <v>25</v>
      </c>
      <c r="K26" s="4124">
        <v>5</v>
      </c>
      <c r="L26" s="4124">
        <v>2</v>
      </c>
      <c r="M26" s="4124">
        <v>801</v>
      </c>
      <c r="N26" s="4124" t="s">
        <v>3276</v>
      </c>
      <c r="O26" s="4129">
        <v>267.10000000000002</v>
      </c>
      <c r="P26" s="4129">
        <v>82.59</v>
      </c>
      <c r="R26" s="4124">
        <v>25</v>
      </c>
      <c r="S26" s="4124">
        <v>2</v>
      </c>
      <c r="T26" s="4124" t="s">
        <v>3844</v>
      </c>
      <c r="U26" s="4124">
        <v>114</v>
      </c>
      <c r="V26" s="4124" t="s">
        <v>3225</v>
      </c>
      <c r="W26" s="4129">
        <v>36.71</v>
      </c>
      <c r="X26" s="4129">
        <v>11.35</v>
      </c>
      <c r="Z26" s="4124">
        <v>25</v>
      </c>
      <c r="AA26" s="4127" t="s">
        <v>3845</v>
      </c>
      <c r="AB26" s="4126" t="s">
        <v>3844</v>
      </c>
      <c r="AC26" s="4126">
        <v>-1105</v>
      </c>
      <c r="AD26" s="4127" t="s">
        <v>3846</v>
      </c>
      <c r="AE26" s="4130">
        <v>32.72</v>
      </c>
      <c r="AF26" s="4130">
        <v>10.119999999999999</v>
      </c>
    </row>
    <row r="27" spans="1:32" ht="15">
      <c r="A27" s="4595">
        <v>26</v>
      </c>
      <c r="B27" s="4595">
        <v>2</v>
      </c>
      <c r="C27" s="4595" t="s">
        <v>3844</v>
      </c>
      <c r="D27" s="4595">
        <v>107</v>
      </c>
      <c r="E27" s="4595" t="s">
        <v>3225</v>
      </c>
      <c r="F27" s="4596">
        <v>29.24</v>
      </c>
      <c r="G27" s="4596">
        <v>9.0399999999999991</v>
      </c>
      <c r="H27" s="4133">
        <f t="shared" si="0"/>
        <v>0.30916552667578656</v>
      </c>
      <c r="J27" s="4124">
        <v>26</v>
      </c>
      <c r="K27" s="4124">
        <v>5</v>
      </c>
      <c r="L27" s="4124">
        <v>2</v>
      </c>
      <c r="M27" s="4124">
        <v>1001</v>
      </c>
      <c r="N27" s="4124" t="s">
        <v>3276</v>
      </c>
      <c r="O27" s="4129">
        <v>267.10000000000002</v>
      </c>
      <c r="P27" s="4129">
        <v>82.59</v>
      </c>
      <c r="R27" s="4124">
        <v>26</v>
      </c>
      <c r="S27" s="4124">
        <v>2</v>
      </c>
      <c r="T27" s="4124" t="s">
        <v>3844</v>
      </c>
      <c r="U27" s="4124">
        <v>117</v>
      </c>
      <c r="V27" s="4124" t="s">
        <v>3225</v>
      </c>
      <c r="W27" s="4129">
        <v>27.47</v>
      </c>
      <c r="X27" s="4129">
        <v>8.49</v>
      </c>
      <c r="Z27" s="4124">
        <v>26</v>
      </c>
      <c r="AA27" s="4127" t="s">
        <v>3845</v>
      </c>
      <c r="AB27" s="4126" t="s">
        <v>3844</v>
      </c>
      <c r="AC27" s="4126">
        <v>-1106</v>
      </c>
      <c r="AD27" s="4127" t="s">
        <v>3846</v>
      </c>
      <c r="AE27" s="4130">
        <v>32.72</v>
      </c>
      <c r="AF27" s="4130">
        <v>10.119999999999999</v>
      </c>
    </row>
    <row r="28" spans="1:32" ht="15">
      <c r="A28" s="4595">
        <v>27</v>
      </c>
      <c r="B28" s="4595">
        <v>2</v>
      </c>
      <c r="C28" s="4595" t="s">
        <v>3844</v>
      </c>
      <c r="D28" s="4595">
        <v>108</v>
      </c>
      <c r="E28" s="4595" t="s">
        <v>3225</v>
      </c>
      <c r="F28" s="4596">
        <v>29.24</v>
      </c>
      <c r="G28" s="4596">
        <v>9.0399999999999991</v>
      </c>
      <c r="H28" s="4133">
        <f t="shared" si="0"/>
        <v>0.30916552667578656</v>
      </c>
      <c r="J28" s="4124">
        <v>27</v>
      </c>
      <c r="K28" s="4124">
        <v>8</v>
      </c>
      <c r="L28" s="4124">
        <v>1</v>
      </c>
      <c r="M28" s="4124">
        <v>101</v>
      </c>
      <c r="N28" s="4124" t="s">
        <v>3276</v>
      </c>
      <c r="O28" s="4129">
        <v>218.14</v>
      </c>
      <c r="P28" s="4129">
        <v>67.45</v>
      </c>
      <c r="R28" s="4124">
        <v>27</v>
      </c>
      <c r="S28" s="4124">
        <v>2</v>
      </c>
      <c r="T28" s="4124" t="s">
        <v>3844</v>
      </c>
      <c r="U28" s="4124">
        <v>118</v>
      </c>
      <c r="V28" s="4124" t="s">
        <v>3225</v>
      </c>
      <c r="W28" s="4129">
        <v>28.37</v>
      </c>
      <c r="X28" s="4129">
        <v>8.77</v>
      </c>
      <c r="Z28" s="4124">
        <v>27</v>
      </c>
      <c r="AA28" s="4127" t="s">
        <v>3845</v>
      </c>
      <c r="AB28" s="4126" t="s">
        <v>3844</v>
      </c>
      <c r="AC28" s="4126">
        <v>-1107</v>
      </c>
      <c r="AD28" s="4127" t="s">
        <v>3846</v>
      </c>
      <c r="AE28" s="4130">
        <v>32.72</v>
      </c>
      <c r="AF28" s="4130">
        <v>10.119999999999999</v>
      </c>
    </row>
    <row r="29" spans="1:32" ht="15">
      <c r="A29" s="4595">
        <v>28</v>
      </c>
      <c r="B29" s="4595">
        <v>2</v>
      </c>
      <c r="C29" s="4595" t="s">
        <v>3844</v>
      </c>
      <c r="D29" s="4595">
        <v>109</v>
      </c>
      <c r="E29" s="4595" t="s">
        <v>3225</v>
      </c>
      <c r="F29" s="4596">
        <v>31.7</v>
      </c>
      <c r="G29" s="4596">
        <v>9.8000000000000007</v>
      </c>
      <c r="H29" s="4133">
        <f t="shared" si="0"/>
        <v>0.30914826498422715</v>
      </c>
      <c r="J29" s="4124">
        <v>28</v>
      </c>
      <c r="K29" s="4124">
        <v>8</v>
      </c>
      <c r="L29" s="4124">
        <v>1</v>
      </c>
      <c r="M29" s="4124">
        <v>102</v>
      </c>
      <c r="N29" s="4124" t="s">
        <v>3276</v>
      </c>
      <c r="O29" s="4129">
        <v>267.22000000000003</v>
      </c>
      <c r="P29" s="4129">
        <v>82.62</v>
      </c>
      <c r="R29" s="4124">
        <v>28</v>
      </c>
      <c r="S29" s="4124">
        <v>2</v>
      </c>
      <c r="T29" s="4124" t="s">
        <v>3844</v>
      </c>
      <c r="U29" s="4124">
        <v>119</v>
      </c>
      <c r="V29" s="4124" t="s">
        <v>3225</v>
      </c>
      <c r="W29" s="4129">
        <v>31.51</v>
      </c>
      <c r="X29" s="4129">
        <v>9.74</v>
      </c>
      <c r="Z29" s="4124">
        <v>28</v>
      </c>
      <c r="AA29" s="4127" t="s">
        <v>3845</v>
      </c>
      <c r="AB29" s="4126" t="s">
        <v>3844</v>
      </c>
      <c r="AC29" s="4126">
        <v>-1109</v>
      </c>
      <c r="AD29" s="4127" t="s">
        <v>3846</v>
      </c>
      <c r="AE29" s="4130">
        <v>32.72</v>
      </c>
      <c r="AF29" s="4130">
        <v>10.119999999999999</v>
      </c>
    </row>
    <row r="30" spans="1:32" ht="15">
      <c r="A30" s="4595">
        <v>29</v>
      </c>
      <c r="B30" s="4595">
        <v>2</v>
      </c>
      <c r="C30" s="4595" t="s">
        <v>3844</v>
      </c>
      <c r="D30" s="4595">
        <v>111</v>
      </c>
      <c r="E30" s="4595" t="s">
        <v>3225</v>
      </c>
      <c r="F30" s="4596">
        <v>29.56</v>
      </c>
      <c r="G30" s="4596">
        <v>9.14</v>
      </c>
      <c r="H30" s="4133">
        <f t="shared" si="0"/>
        <v>0.30920162381596755</v>
      </c>
      <c r="J30" s="4124">
        <v>29</v>
      </c>
      <c r="K30" s="4124">
        <v>8</v>
      </c>
      <c r="L30" s="4124">
        <v>1</v>
      </c>
      <c r="M30" s="4124">
        <v>202</v>
      </c>
      <c r="N30" s="4124" t="s">
        <v>3276</v>
      </c>
      <c r="O30" s="4129">
        <v>267.20999999999998</v>
      </c>
      <c r="P30" s="4129">
        <v>82.62</v>
      </c>
      <c r="R30" s="4124">
        <v>29</v>
      </c>
      <c r="S30" s="4124">
        <v>2</v>
      </c>
      <c r="T30" s="4124" t="s">
        <v>3844</v>
      </c>
      <c r="U30" s="4124">
        <v>120</v>
      </c>
      <c r="V30" s="4124" t="s">
        <v>3225</v>
      </c>
      <c r="W30" s="4129">
        <v>21.63</v>
      </c>
      <c r="X30" s="4129">
        <v>6.69</v>
      </c>
      <c r="Z30" s="4124">
        <v>29</v>
      </c>
      <c r="AA30" s="4127" t="s">
        <v>3845</v>
      </c>
      <c r="AB30" s="4126" t="s">
        <v>3844</v>
      </c>
      <c r="AC30" s="4126">
        <v>-1110</v>
      </c>
      <c r="AD30" s="4127" t="s">
        <v>3846</v>
      </c>
      <c r="AE30" s="4130">
        <v>32.72</v>
      </c>
      <c r="AF30" s="4130">
        <v>10.119999999999999</v>
      </c>
    </row>
    <row r="31" spans="1:32" ht="15">
      <c r="A31" s="4595">
        <v>30</v>
      </c>
      <c r="B31" s="4595">
        <v>2</v>
      </c>
      <c r="C31" s="4595" t="s">
        <v>3844</v>
      </c>
      <c r="D31" s="4595">
        <v>114</v>
      </c>
      <c r="E31" s="4595" t="s">
        <v>3225</v>
      </c>
      <c r="F31" s="4596">
        <v>36.71</v>
      </c>
      <c r="G31" s="4596">
        <v>11.35</v>
      </c>
      <c r="H31" s="4133">
        <f t="shared" si="0"/>
        <v>0.30918005992917458</v>
      </c>
      <c r="J31" s="4124">
        <v>30</v>
      </c>
      <c r="K31" s="4124">
        <v>8</v>
      </c>
      <c r="L31" s="4124">
        <v>1</v>
      </c>
      <c r="M31" s="4124">
        <v>302</v>
      </c>
      <c r="N31" s="4124" t="s">
        <v>3276</v>
      </c>
      <c r="O31" s="4129">
        <v>267.25</v>
      </c>
      <c r="P31" s="4129">
        <v>82.63</v>
      </c>
      <c r="R31" s="4124">
        <v>30</v>
      </c>
      <c r="S31" s="4124">
        <v>2</v>
      </c>
      <c r="T31" s="4124" t="s">
        <v>3844</v>
      </c>
      <c r="U31" s="4124">
        <v>121</v>
      </c>
      <c r="V31" s="4124" t="s">
        <v>3225</v>
      </c>
      <c r="W31" s="4129">
        <v>27.79</v>
      </c>
      <c r="X31" s="4129">
        <v>8.59</v>
      </c>
      <c r="Z31" s="4124">
        <v>30</v>
      </c>
      <c r="AA31" s="4127" t="s">
        <v>3845</v>
      </c>
      <c r="AB31" s="4126" t="s">
        <v>3844</v>
      </c>
      <c r="AC31" s="4126">
        <v>-1112</v>
      </c>
      <c r="AD31" s="4127" t="s">
        <v>3846</v>
      </c>
      <c r="AE31" s="4130">
        <v>32.72</v>
      </c>
      <c r="AF31" s="4130">
        <v>10.119999999999999</v>
      </c>
    </row>
    <row r="32" spans="1:32" ht="15">
      <c r="A32" s="4595">
        <v>31</v>
      </c>
      <c r="B32" s="4595">
        <v>2</v>
      </c>
      <c r="C32" s="4595" t="s">
        <v>3844</v>
      </c>
      <c r="D32" s="4595">
        <v>117</v>
      </c>
      <c r="E32" s="4595" t="s">
        <v>3225</v>
      </c>
      <c r="F32" s="4596">
        <v>27.47</v>
      </c>
      <c r="G32" s="4596">
        <v>8.49</v>
      </c>
      <c r="H32" s="4133">
        <f t="shared" si="0"/>
        <v>0.30906443392792138</v>
      </c>
      <c r="J32" s="4124">
        <v>31</v>
      </c>
      <c r="K32" s="4124">
        <v>8</v>
      </c>
      <c r="L32" s="4124">
        <v>1</v>
      </c>
      <c r="M32" s="4124">
        <v>402</v>
      </c>
      <c r="N32" s="4124" t="s">
        <v>3276</v>
      </c>
      <c r="O32" s="4129">
        <v>267.25</v>
      </c>
      <c r="P32" s="4129">
        <v>82.63</v>
      </c>
      <c r="R32" s="4124">
        <v>31</v>
      </c>
      <c r="S32" s="4124">
        <v>2</v>
      </c>
      <c r="T32" s="4124" t="s">
        <v>3844</v>
      </c>
      <c r="U32" s="4124">
        <v>122</v>
      </c>
      <c r="V32" s="4124" t="s">
        <v>3225</v>
      </c>
      <c r="W32" s="4129">
        <v>25.07</v>
      </c>
      <c r="X32" s="4129">
        <v>7.75</v>
      </c>
      <c r="Z32" s="4124">
        <v>31</v>
      </c>
      <c r="AA32" s="4127" t="s">
        <v>3845</v>
      </c>
      <c r="AB32" s="4126" t="s">
        <v>3844</v>
      </c>
      <c r="AC32" s="4126">
        <v>-1114</v>
      </c>
      <c r="AD32" s="4127" t="s">
        <v>3846</v>
      </c>
      <c r="AE32" s="4130">
        <v>32.72</v>
      </c>
      <c r="AF32" s="4130">
        <v>10.119999999999999</v>
      </c>
    </row>
    <row r="33" spans="1:32" ht="15">
      <c r="A33" s="4595">
        <v>32</v>
      </c>
      <c r="B33" s="4595">
        <v>2</v>
      </c>
      <c r="C33" s="4595" t="s">
        <v>3844</v>
      </c>
      <c r="D33" s="4595">
        <v>118</v>
      </c>
      <c r="E33" s="4595" t="s">
        <v>3225</v>
      </c>
      <c r="F33" s="4596">
        <v>28.37</v>
      </c>
      <c r="G33" s="4596">
        <v>8.77</v>
      </c>
      <c r="H33" s="4133">
        <f t="shared" si="0"/>
        <v>0.30912936200211488</v>
      </c>
      <c r="J33" s="4124">
        <v>32</v>
      </c>
      <c r="K33" s="4124">
        <v>8</v>
      </c>
      <c r="L33" s="4124">
        <v>1</v>
      </c>
      <c r="M33" s="4124">
        <v>502</v>
      </c>
      <c r="N33" s="4124" t="s">
        <v>3276</v>
      </c>
      <c r="O33" s="4129">
        <v>267.25</v>
      </c>
      <c r="P33" s="4129">
        <v>82.63</v>
      </c>
      <c r="R33" s="4124">
        <v>32</v>
      </c>
      <c r="S33" s="4124">
        <v>2</v>
      </c>
      <c r="T33" s="4124" t="s">
        <v>3844</v>
      </c>
      <c r="U33" s="4124">
        <v>123</v>
      </c>
      <c r="V33" s="4124" t="s">
        <v>3225</v>
      </c>
      <c r="W33" s="4129">
        <v>30.53</v>
      </c>
      <c r="X33" s="4129">
        <v>9.44</v>
      </c>
      <c r="Z33" s="4124">
        <v>32</v>
      </c>
      <c r="AA33" s="4127" t="s">
        <v>3845</v>
      </c>
      <c r="AB33" s="4126" t="s">
        <v>3844</v>
      </c>
      <c r="AC33" s="4126">
        <v>-1116</v>
      </c>
      <c r="AD33" s="4127" t="s">
        <v>3846</v>
      </c>
      <c r="AE33" s="4130">
        <v>32.72</v>
      </c>
      <c r="AF33" s="4130">
        <v>10.119999999999999</v>
      </c>
    </row>
    <row r="34" spans="1:32" ht="15">
      <c r="A34" s="4595">
        <v>33</v>
      </c>
      <c r="B34" s="4595">
        <v>2</v>
      </c>
      <c r="C34" s="4595" t="s">
        <v>3844</v>
      </c>
      <c r="D34" s="4595">
        <v>119</v>
      </c>
      <c r="E34" s="4595" t="s">
        <v>3225</v>
      </c>
      <c r="F34" s="4596">
        <v>31.51</v>
      </c>
      <c r="G34" s="4596">
        <v>9.74</v>
      </c>
      <c r="H34" s="4133">
        <f t="shared" si="0"/>
        <v>0.30910821961282131</v>
      </c>
      <c r="J34" s="4124">
        <v>33</v>
      </c>
      <c r="K34" s="4124">
        <v>8</v>
      </c>
      <c r="L34" s="4124">
        <v>1</v>
      </c>
      <c r="M34" s="4124">
        <v>1002</v>
      </c>
      <c r="N34" s="4124" t="s">
        <v>3276</v>
      </c>
      <c r="O34" s="4129">
        <v>267.25</v>
      </c>
      <c r="P34" s="4129">
        <v>82.63</v>
      </c>
      <c r="R34" s="4124">
        <v>33</v>
      </c>
      <c r="S34" s="4124">
        <v>2</v>
      </c>
      <c r="T34" s="4124" t="s">
        <v>3844</v>
      </c>
      <c r="U34" s="4124">
        <v>124</v>
      </c>
      <c r="V34" s="4124" t="s">
        <v>3225</v>
      </c>
      <c r="W34" s="4129">
        <v>32.49</v>
      </c>
      <c r="X34" s="4129">
        <v>10.050000000000001</v>
      </c>
      <c r="Z34" s="4124">
        <v>33</v>
      </c>
      <c r="AA34" s="4127" t="s">
        <v>3845</v>
      </c>
      <c r="AB34" s="4126" t="s">
        <v>3844</v>
      </c>
      <c r="AC34" s="4126">
        <v>-1118</v>
      </c>
      <c r="AD34" s="4127" t="s">
        <v>3846</v>
      </c>
      <c r="AE34" s="4130">
        <v>32.72</v>
      </c>
      <c r="AF34" s="4130">
        <v>10.119999999999999</v>
      </c>
    </row>
    <row r="35" spans="1:32" ht="15">
      <c r="A35" s="4595">
        <v>34</v>
      </c>
      <c r="B35" s="4595">
        <v>2</v>
      </c>
      <c r="C35" s="4595" t="s">
        <v>3844</v>
      </c>
      <c r="D35" s="4595">
        <v>120</v>
      </c>
      <c r="E35" s="4595" t="s">
        <v>3225</v>
      </c>
      <c r="F35" s="4596">
        <v>21.63</v>
      </c>
      <c r="G35" s="4596">
        <v>6.69</v>
      </c>
      <c r="H35" s="4133">
        <f t="shared" si="0"/>
        <v>0.30929264909847437</v>
      </c>
      <c r="J35" s="4124">
        <v>34</v>
      </c>
      <c r="K35" s="4124">
        <v>8</v>
      </c>
      <c r="L35" s="4124">
        <v>2</v>
      </c>
      <c r="M35" s="4124">
        <v>101</v>
      </c>
      <c r="N35" s="4124" t="s">
        <v>3276</v>
      </c>
      <c r="O35" s="4129">
        <v>267.22000000000003</v>
      </c>
      <c r="P35" s="4129">
        <v>82.62</v>
      </c>
      <c r="R35" s="4124">
        <v>34</v>
      </c>
      <c r="S35" s="4124">
        <v>2</v>
      </c>
      <c r="T35" s="4124" t="s">
        <v>3844</v>
      </c>
      <c r="U35" s="4124">
        <v>125</v>
      </c>
      <c r="V35" s="4124" t="s">
        <v>3225</v>
      </c>
      <c r="W35" s="4129">
        <v>23.09</v>
      </c>
      <c r="X35" s="4129">
        <v>7.14</v>
      </c>
      <c r="Z35" s="4124">
        <v>34</v>
      </c>
      <c r="AA35" s="4127" t="s">
        <v>3845</v>
      </c>
      <c r="AB35" s="4126" t="s">
        <v>3844</v>
      </c>
      <c r="AC35" s="4126">
        <v>-1119</v>
      </c>
      <c r="AD35" s="4127" t="s">
        <v>3846</v>
      </c>
      <c r="AE35" s="4130">
        <v>32.72</v>
      </c>
      <c r="AF35" s="4130">
        <v>10.119999999999999</v>
      </c>
    </row>
    <row r="36" spans="1:32" ht="15">
      <c r="A36" s="4595">
        <v>35</v>
      </c>
      <c r="B36" s="4595">
        <v>2</v>
      </c>
      <c r="C36" s="4595" t="s">
        <v>3844</v>
      </c>
      <c r="D36" s="4595">
        <v>121</v>
      </c>
      <c r="E36" s="4595" t="s">
        <v>3225</v>
      </c>
      <c r="F36" s="4596">
        <v>27.79</v>
      </c>
      <c r="G36" s="4596">
        <v>8.59</v>
      </c>
      <c r="H36" s="4133">
        <f t="shared" si="0"/>
        <v>0.30910399424253326</v>
      </c>
      <c r="J36" s="4124">
        <v>35</v>
      </c>
      <c r="K36" s="4124">
        <v>8</v>
      </c>
      <c r="L36" s="4124">
        <v>2</v>
      </c>
      <c r="M36" s="4124">
        <v>102</v>
      </c>
      <c r="N36" s="4124" t="s">
        <v>3276</v>
      </c>
      <c r="O36" s="4129">
        <v>218.14</v>
      </c>
      <c r="P36" s="4129">
        <v>67.45</v>
      </c>
      <c r="R36" s="4124">
        <v>35</v>
      </c>
      <c r="S36" s="4124">
        <v>2</v>
      </c>
      <c r="T36" s="4124" t="s">
        <v>3844</v>
      </c>
      <c r="U36" s="4124">
        <v>127</v>
      </c>
      <c r="V36" s="4124" t="s">
        <v>3225</v>
      </c>
      <c r="W36" s="4129">
        <v>47.04</v>
      </c>
      <c r="X36" s="4129">
        <v>14.54</v>
      </c>
      <c r="Z36" s="4124">
        <v>35</v>
      </c>
      <c r="AA36" s="4127" t="s">
        <v>3845</v>
      </c>
      <c r="AB36" s="4126" t="s">
        <v>3844</v>
      </c>
      <c r="AC36" s="4126">
        <v>-1122</v>
      </c>
      <c r="AD36" s="4127" t="s">
        <v>3846</v>
      </c>
      <c r="AE36" s="4130">
        <v>32.72</v>
      </c>
      <c r="AF36" s="4130">
        <v>10.119999999999999</v>
      </c>
    </row>
    <row r="37" spans="1:32" ht="15">
      <c r="A37" s="4595">
        <v>36</v>
      </c>
      <c r="B37" s="4595">
        <v>2</v>
      </c>
      <c r="C37" s="4595" t="s">
        <v>3844</v>
      </c>
      <c r="D37" s="4595">
        <v>122</v>
      </c>
      <c r="E37" s="4595" t="s">
        <v>3225</v>
      </c>
      <c r="F37" s="4596">
        <v>25.07</v>
      </c>
      <c r="G37" s="4596">
        <v>7.75</v>
      </c>
      <c r="H37" s="4133">
        <f t="shared" si="0"/>
        <v>0.3091344236138811</v>
      </c>
      <c r="J37" s="4124">
        <v>36</v>
      </c>
      <c r="K37" s="4124">
        <v>8</v>
      </c>
      <c r="L37" s="4124">
        <v>2</v>
      </c>
      <c r="M37" s="4124">
        <v>201</v>
      </c>
      <c r="N37" s="4124" t="s">
        <v>3276</v>
      </c>
      <c r="O37" s="4129">
        <v>267.20999999999998</v>
      </c>
      <c r="P37" s="4129">
        <v>82.62</v>
      </c>
      <c r="R37" s="4124">
        <v>36</v>
      </c>
      <c r="S37" s="4124">
        <v>2</v>
      </c>
      <c r="T37" s="4124" t="s">
        <v>3844</v>
      </c>
      <c r="U37" s="4124">
        <v>128</v>
      </c>
      <c r="V37" s="4124" t="s">
        <v>3225</v>
      </c>
      <c r="W37" s="4129">
        <v>32.01</v>
      </c>
      <c r="X37" s="4129">
        <v>9.9</v>
      </c>
      <c r="Z37" s="4124">
        <v>36</v>
      </c>
      <c r="AA37" s="4127" t="s">
        <v>3845</v>
      </c>
      <c r="AB37" s="4126" t="s">
        <v>3844</v>
      </c>
      <c r="AC37" s="4126">
        <v>-1124</v>
      </c>
      <c r="AD37" s="4127" t="s">
        <v>3846</v>
      </c>
      <c r="AE37" s="4130">
        <v>32.72</v>
      </c>
      <c r="AF37" s="4130">
        <v>10.119999999999999</v>
      </c>
    </row>
    <row r="38" spans="1:32" ht="15">
      <c r="A38" s="4595">
        <v>37</v>
      </c>
      <c r="B38" s="4595">
        <v>2</v>
      </c>
      <c r="C38" s="4595" t="s">
        <v>3844</v>
      </c>
      <c r="D38" s="4595">
        <v>123</v>
      </c>
      <c r="E38" s="4595" t="s">
        <v>3225</v>
      </c>
      <c r="F38" s="4596">
        <v>30.53</v>
      </c>
      <c r="G38" s="4596">
        <v>9.44</v>
      </c>
      <c r="H38" s="4133">
        <f t="shared" si="0"/>
        <v>0.30920406157877495</v>
      </c>
      <c r="J38" s="4124">
        <v>37</v>
      </c>
      <c r="K38" s="4124">
        <v>8</v>
      </c>
      <c r="L38" s="4124">
        <v>2</v>
      </c>
      <c r="M38" s="4124">
        <v>202</v>
      </c>
      <c r="N38" s="4124" t="s">
        <v>3276</v>
      </c>
      <c r="O38" s="4129">
        <v>218.14</v>
      </c>
      <c r="P38" s="4129">
        <v>67.45</v>
      </c>
      <c r="R38" s="4124">
        <v>37</v>
      </c>
      <c r="S38" s="4124">
        <v>2</v>
      </c>
      <c r="T38" s="4124" t="s">
        <v>3844</v>
      </c>
      <c r="U38" s="4124">
        <v>129</v>
      </c>
      <c r="V38" s="4124" t="s">
        <v>3225</v>
      </c>
      <c r="W38" s="4129">
        <v>23.56</v>
      </c>
      <c r="X38" s="4129">
        <v>7.28</v>
      </c>
      <c r="Z38" s="4124">
        <v>37</v>
      </c>
      <c r="AA38" s="4127" t="s">
        <v>3845</v>
      </c>
      <c r="AB38" s="4126" t="s">
        <v>3844</v>
      </c>
      <c r="AC38" s="4126">
        <v>-1127</v>
      </c>
      <c r="AD38" s="4127" t="s">
        <v>3846</v>
      </c>
      <c r="AE38" s="4130">
        <v>32.72</v>
      </c>
      <c r="AF38" s="4130">
        <v>10.119999999999999</v>
      </c>
    </row>
    <row r="39" spans="1:32" ht="15">
      <c r="A39" s="4595">
        <v>38</v>
      </c>
      <c r="B39" s="4595">
        <v>2</v>
      </c>
      <c r="C39" s="4595" t="s">
        <v>3844</v>
      </c>
      <c r="D39" s="4595">
        <v>124</v>
      </c>
      <c r="E39" s="4595" t="s">
        <v>3225</v>
      </c>
      <c r="F39" s="4596">
        <v>32.49</v>
      </c>
      <c r="G39" s="4596">
        <v>10.050000000000001</v>
      </c>
      <c r="H39" s="4133">
        <f t="shared" si="0"/>
        <v>0.30932594644506001</v>
      </c>
      <c r="J39" s="4124">
        <v>38</v>
      </c>
      <c r="K39" s="4124">
        <v>8</v>
      </c>
      <c r="L39" s="4124">
        <v>2</v>
      </c>
      <c r="M39" s="4124">
        <v>301</v>
      </c>
      <c r="N39" s="4124" t="s">
        <v>3276</v>
      </c>
      <c r="O39" s="4129">
        <v>267.25</v>
      </c>
      <c r="P39" s="4129">
        <v>82.63</v>
      </c>
      <c r="R39" s="4124">
        <v>38</v>
      </c>
      <c r="S39" s="4124">
        <v>3</v>
      </c>
      <c r="T39" s="4124" t="s">
        <v>3844</v>
      </c>
      <c r="U39" s="4124">
        <v>101</v>
      </c>
      <c r="V39" s="4124" t="s">
        <v>3225</v>
      </c>
      <c r="W39" s="4129">
        <v>60.35</v>
      </c>
      <c r="X39" s="4129">
        <v>18.66</v>
      </c>
      <c r="Z39" s="4124">
        <v>38</v>
      </c>
      <c r="AA39" s="4127" t="s">
        <v>3845</v>
      </c>
      <c r="AB39" s="4126" t="s">
        <v>3844</v>
      </c>
      <c r="AC39" s="4126">
        <v>-1128</v>
      </c>
      <c r="AD39" s="4127" t="s">
        <v>3846</v>
      </c>
      <c r="AE39" s="4130">
        <v>32.72</v>
      </c>
      <c r="AF39" s="4130">
        <v>10.119999999999999</v>
      </c>
    </row>
    <row r="40" spans="1:32" ht="15">
      <c r="A40" s="4595">
        <v>39</v>
      </c>
      <c r="B40" s="4595">
        <v>2</v>
      </c>
      <c r="C40" s="4595" t="s">
        <v>3844</v>
      </c>
      <c r="D40" s="4595">
        <v>125</v>
      </c>
      <c r="E40" s="4595" t="s">
        <v>3225</v>
      </c>
      <c r="F40" s="4596">
        <v>23.09</v>
      </c>
      <c r="G40" s="4596">
        <v>7.14</v>
      </c>
      <c r="H40" s="4133">
        <f t="shared" si="0"/>
        <v>0.30922477262884362</v>
      </c>
      <c r="J40" s="4124">
        <v>39</v>
      </c>
      <c r="K40" s="4124">
        <v>8</v>
      </c>
      <c r="L40" s="4124">
        <v>2</v>
      </c>
      <c r="M40" s="4124">
        <v>401</v>
      </c>
      <c r="N40" s="4124" t="s">
        <v>3276</v>
      </c>
      <c r="O40" s="4129">
        <v>267.25</v>
      </c>
      <c r="P40" s="4129">
        <v>82.63</v>
      </c>
      <c r="R40" s="4124">
        <v>39</v>
      </c>
      <c r="S40" s="4124">
        <v>3</v>
      </c>
      <c r="T40" s="4124" t="s">
        <v>3844</v>
      </c>
      <c r="U40" s="4124">
        <v>102</v>
      </c>
      <c r="V40" s="4124" t="s">
        <v>3225</v>
      </c>
      <c r="W40" s="4129">
        <v>47.27</v>
      </c>
      <c r="X40" s="4129">
        <v>14.62</v>
      </c>
      <c r="Z40" s="4124">
        <v>39</v>
      </c>
      <c r="AA40" s="4127" t="s">
        <v>3845</v>
      </c>
      <c r="AB40" s="4126" t="s">
        <v>3844</v>
      </c>
      <c r="AC40" s="4126">
        <v>-1129</v>
      </c>
      <c r="AD40" s="4127" t="s">
        <v>3846</v>
      </c>
      <c r="AE40" s="4130">
        <v>32.72</v>
      </c>
      <c r="AF40" s="4130">
        <v>10.119999999999999</v>
      </c>
    </row>
    <row r="41" spans="1:32" ht="15">
      <c r="A41" s="4595">
        <v>40</v>
      </c>
      <c r="B41" s="4595">
        <v>2</v>
      </c>
      <c r="C41" s="4595" t="s">
        <v>3844</v>
      </c>
      <c r="D41" s="4595">
        <v>127</v>
      </c>
      <c r="E41" s="4595" t="s">
        <v>3225</v>
      </c>
      <c r="F41" s="4596">
        <v>47.04</v>
      </c>
      <c r="G41" s="4596">
        <v>14.54</v>
      </c>
      <c r="H41" s="4133">
        <f t="shared" si="0"/>
        <v>0.30909863945578231</v>
      </c>
      <c r="J41" s="4124">
        <v>40</v>
      </c>
      <c r="K41" s="4124">
        <v>8</v>
      </c>
      <c r="L41" s="4124">
        <v>2</v>
      </c>
      <c r="M41" s="4124">
        <v>501</v>
      </c>
      <c r="N41" s="4124" t="s">
        <v>3276</v>
      </c>
      <c r="O41" s="4129">
        <v>267.25</v>
      </c>
      <c r="P41" s="4129">
        <v>82.63</v>
      </c>
      <c r="R41" s="4124">
        <v>40</v>
      </c>
      <c r="S41" s="4124">
        <v>3</v>
      </c>
      <c r="T41" s="4124" t="s">
        <v>3844</v>
      </c>
      <c r="U41" s="4124">
        <v>103</v>
      </c>
      <c r="V41" s="4124" t="s">
        <v>3225</v>
      </c>
      <c r="W41" s="4129">
        <v>56.68</v>
      </c>
      <c r="X41" s="4129">
        <v>17.53</v>
      </c>
      <c r="Z41" s="4124">
        <v>40</v>
      </c>
      <c r="AA41" s="4127" t="s">
        <v>3845</v>
      </c>
      <c r="AB41" s="4126" t="s">
        <v>3844</v>
      </c>
      <c r="AC41" s="4126">
        <v>-1135</v>
      </c>
      <c r="AD41" s="4127" t="s">
        <v>3846</v>
      </c>
      <c r="AE41" s="4130">
        <v>32.72</v>
      </c>
      <c r="AF41" s="4130">
        <v>10.119999999999999</v>
      </c>
    </row>
    <row r="42" spans="1:32" ht="15">
      <c r="A42" s="4595">
        <v>41</v>
      </c>
      <c r="B42" s="4595">
        <v>2</v>
      </c>
      <c r="C42" s="4595" t="s">
        <v>3844</v>
      </c>
      <c r="D42" s="4595">
        <v>128</v>
      </c>
      <c r="E42" s="4595" t="s">
        <v>3225</v>
      </c>
      <c r="F42" s="4596">
        <v>32.01</v>
      </c>
      <c r="G42" s="4596">
        <v>9.9</v>
      </c>
      <c r="H42" s="4133">
        <f t="shared" si="0"/>
        <v>0.30927835051546393</v>
      </c>
      <c r="J42" s="4124">
        <v>41</v>
      </c>
      <c r="K42" s="4124">
        <v>8</v>
      </c>
      <c r="L42" s="4124">
        <v>2</v>
      </c>
      <c r="M42" s="4124">
        <v>801</v>
      </c>
      <c r="N42" s="4124" t="s">
        <v>3276</v>
      </c>
      <c r="O42" s="4129">
        <v>267.25</v>
      </c>
      <c r="P42" s="4129">
        <v>82.63</v>
      </c>
      <c r="R42" s="4124">
        <v>41</v>
      </c>
      <c r="S42" s="4124">
        <v>4</v>
      </c>
      <c r="T42" s="4124" t="s">
        <v>3844</v>
      </c>
      <c r="U42" s="4124">
        <v>201</v>
      </c>
      <c r="V42" s="4124" t="s">
        <v>3225</v>
      </c>
      <c r="W42" s="4129">
        <v>18.399999999999999</v>
      </c>
      <c r="X42" s="4129">
        <v>5.69</v>
      </c>
      <c r="Z42" s="4124">
        <v>41</v>
      </c>
      <c r="AA42" s="4127" t="s">
        <v>3845</v>
      </c>
      <c r="AB42" s="4126" t="s">
        <v>3844</v>
      </c>
      <c r="AC42" s="4126">
        <v>-1136</v>
      </c>
      <c r="AD42" s="4127" t="s">
        <v>3846</v>
      </c>
      <c r="AE42" s="4130">
        <v>32.72</v>
      </c>
      <c r="AF42" s="4130">
        <v>10.119999999999999</v>
      </c>
    </row>
    <row r="43" spans="1:32" ht="15">
      <c r="A43" s="4595">
        <v>42</v>
      </c>
      <c r="B43" s="4595">
        <v>2</v>
      </c>
      <c r="C43" s="4595" t="s">
        <v>3844</v>
      </c>
      <c r="D43" s="4595">
        <v>129</v>
      </c>
      <c r="E43" s="4595" t="s">
        <v>3225</v>
      </c>
      <c r="F43" s="4596">
        <v>23.56</v>
      </c>
      <c r="G43" s="4596">
        <v>7.28</v>
      </c>
      <c r="H43" s="4133">
        <f t="shared" si="0"/>
        <v>0.30899830220713076</v>
      </c>
      <c r="J43" s="4124">
        <v>42</v>
      </c>
      <c r="K43" s="4124">
        <v>8</v>
      </c>
      <c r="L43" s="4124">
        <v>2</v>
      </c>
      <c r="M43" s="4124">
        <v>1001</v>
      </c>
      <c r="N43" s="4124" t="s">
        <v>3276</v>
      </c>
      <c r="O43" s="4129">
        <v>267.25</v>
      </c>
      <c r="P43" s="4129">
        <v>82.63</v>
      </c>
      <c r="R43" s="4124">
        <v>42</v>
      </c>
      <c r="S43" s="4124">
        <v>4</v>
      </c>
      <c r="T43" s="4124" t="s">
        <v>3844</v>
      </c>
      <c r="U43" s="4124">
        <v>205</v>
      </c>
      <c r="V43" s="4124" t="s">
        <v>3225</v>
      </c>
      <c r="W43" s="4129">
        <v>13.61</v>
      </c>
      <c r="X43" s="4129">
        <v>4.21</v>
      </c>
      <c r="Z43" s="4124">
        <v>42</v>
      </c>
      <c r="AA43" s="4127" t="s">
        <v>3845</v>
      </c>
      <c r="AB43" s="4126" t="s">
        <v>3844</v>
      </c>
      <c r="AC43" s="4126">
        <v>-1144</v>
      </c>
      <c r="AD43" s="4127" t="s">
        <v>3846</v>
      </c>
      <c r="AE43" s="4130">
        <v>32.72</v>
      </c>
      <c r="AF43" s="4130">
        <v>10.119999999999999</v>
      </c>
    </row>
    <row r="44" spans="1:32" ht="15">
      <c r="A44" s="4595">
        <v>43</v>
      </c>
      <c r="B44" s="4595">
        <v>3</v>
      </c>
      <c r="C44" s="4595">
        <v>1</v>
      </c>
      <c r="D44" s="4595">
        <v>101</v>
      </c>
      <c r="E44" s="4595" t="s">
        <v>3276</v>
      </c>
      <c r="F44" s="4596">
        <v>176.51</v>
      </c>
      <c r="G44" s="4596">
        <v>54.58</v>
      </c>
      <c r="H44" s="4133">
        <f t="shared" si="0"/>
        <v>0.30921760806753157</v>
      </c>
      <c r="J44" s="4124">
        <v>43</v>
      </c>
      <c r="K44" s="4124">
        <v>8</v>
      </c>
      <c r="L44" s="4124">
        <v>2</v>
      </c>
      <c r="M44" s="4124">
        <v>1002</v>
      </c>
      <c r="N44" s="4124" t="s">
        <v>3276</v>
      </c>
      <c r="O44" s="4129">
        <v>218.16</v>
      </c>
      <c r="P44" s="4129">
        <v>67.45</v>
      </c>
      <c r="R44" s="4124">
        <v>43</v>
      </c>
      <c r="S44" s="4124">
        <v>4</v>
      </c>
      <c r="T44" s="4124" t="s">
        <v>3844</v>
      </c>
      <c r="U44" s="4124">
        <v>206</v>
      </c>
      <c r="V44" s="4124" t="s">
        <v>3225</v>
      </c>
      <c r="W44" s="4129">
        <v>36.770000000000003</v>
      </c>
      <c r="X44" s="4129">
        <v>11.37</v>
      </c>
      <c r="Z44" s="4124">
        <v>43</v>
      </c>
      <c r="AA44" s="4127" t="s">
        <v>3845</v>
      </c>
      <c r="AB44" s="4126" t="s">
        <v>3844</v>
      </c>
      <c r="AC44" s="4126">
        <v>-1145</v>
      </c>
      <c r="AD44" s="4127" t="s">
        <v>3846</v>
      </c>
      <c r="AE44" s="4130">
        <v>32.72</v>
      </c>
      <c r="AF44" s="4130">
        <v>10.119999999999999</v>
      </c>
    </row>
    <row r="45" spans="1:32" ht="15">
      <c r="A45" s="4595">
        <v>44</v>
      </c>
      <c r="B45" s="4595">
        <v>3</v>
      </c>
      <c r="C45" s="4595">
        <v>1</v>
      </c>
      <c r="D45" s="4595">
        <v>902</v>
      </c>
      <c r="E45" s="4595" t="s">
        <v>3276</v>
      </c>
      <c r="F45" s="4596">
        <v>178.8</v>
      </c>
      <c r="G45" s="4596">
        <v>55.28</v>
      </c>
      <c r="H45" s="4133">
        <f t="shared" si="0"/>
        <v>0.30917225950782995</v>
      </c>
      <c r="J45" s="4124">
        <v>44</v>
      </c>
      <c r="K45" s="4124">
        <v>9</v>
      </c>
      <c r="L45" s="4124" t="s">
        <v>3844</v>
      </c>
      <c r="M45" s="4124">
        <v>101</v>
      </c>
      <c r="N45" s="4124" t="s">
        <v>3276</v>
      </c>
      <c r="O45" s="4129">
        <v>176.15</v>
      </c>
      <c r="P45" s="4129">
        <v>54.47</v>
      </c>
      <c r="R45" s="4124">
        <v>44</v>
      </c>
      <c r="S45" s="4124">
        <v>4</v>
      </c>
      <c r="T45" s="4124" t="s">
        <v>3844</v>
      </c>
      <c r="U45" s="4124">
        <v>207</v>
      </c>
      <c r="V45" s="4124" t="s">
        <v>3225</v>
      </c>
      <c r="W45" s="4129">
        <v>36.770000000000003</v>
      </c>
      <c r="X45" s="4129">
        <v>11.37</v>
      </c>
      <c r="Z45" s="4124">
        <v>44</v>
      </c>
      <c r="AA45" s="4127" t="s">
        <v>3845</v>
      </c>
      <c r="AB45" s="4126" t="s">
        <v>3844</v>
      </c>
      <c r="AC45" s="4126">
        <v>-1151</v>
      </c>
      <c r="AD45" s="4127" t="s">
        <v>3846</v>
      </c>
      <c r="AE45" s="4130">
        <v>32.72</v>
      </c>
      <c r="AF45" s="4130">
        <v>10.119999999999999</v>
      </c>
    </row>
    <row r="46" spans="1:32" ht="15">
      <c r="A46" s="4595">
        <v>45</v>
      </c>
      <c r="B46" s="4595">
        <v>3</v>
      </c>
      <c r="C46" s="4595" t="s">
        <v>3844</v>
      </c>
      <c r="D46" s="4595">
        <v>101</v>
      </c>
      <c r="E46" s="4595" t="s">
        <v>3225</v>
      </c>
      <c r="F46" s="4596">
        <v>60.35</v>
      </c>
      <c r="G46" s="4596">
        <v>18.66</v>
      </c>
      <c r="H46" s="4133">
        <f t="shared" si="0"/>
        <v>0.30919635459817729</v>
      </c>
      <c r="J46" s="4124">
        <v>45</v>
      </c>
      <c r="K46" s="4124">
        <v>9</v>
      </c>
      <c r="L46" s="4124" t="s">
        <v>3844</v>
      </c>
      <c r="M46" s="4124">
        <v>602</v>
      </c>
      <c r="N46" s="4124" t="s">
        <v>3276</v>
      </c>
      <c r="O46" s="4129">
        <v>178.43</v>
      </c>
      <c r="P46" s="4129">
        <v>55.17</v>
      </c>
      <c r="R46" s="4124">
        <v>45</v>
      </c>
      <c r="S46" s="4124">
        <v>4</v>
      </c>
      <c r="T46" s="4124" t="s">
        <v>3844</v>
      </c>
      <c r="U46" s="4124">
        <v>208</v>
      </c>
      <c r="V46" s="4124" t="s">
        <v>3225</v>
      </c>
      <c r="W46" s="4129">
        <v>13.61</v>
      </c>
      <c r="X46" s="4129">
        <v>4.21</v>
      </c>
      <c r="Z46" s="4124">
        <v>45</v>
      </c>
      <c r="AA46" s="4127" t="s">
        <v>3845</v>
      </c>
      <c r="AB46" s="4126" t="s">
        <v>3844</v>
      </c>
      <c r="AC46" s="4126">
        <v>-1152</v>
      </c>
      <c r="AD46" s="4127" t="s">
        <v>3846</v>
      </c>
      <c r="AE46" s="4130">
        <v>32.72</v>
      </c>
      <c r="AF46" s="4130">
        <v>10.119999999999999</v>
      </c>
    </row>
    <row r="47" spans="1:32" ht="15">
      <c r="A47" s="4595">
        <v>46</v>
      </c>
      <c r="B47" s="4595">
        <v>3</v>
      </c>
      <c r="C47" s="4595" t="s">
        <v>3844</v>
      </c>
      <c r="D47" s="4595">
        <v>102</v>
      </c>
      <c r="E47" s="4595" t="s">
        <v>3225</v>
      </c>
      <c r="F47" s="4596">
        <v>47.27</v>
      </c>
      <c r="G47" s="4596">
        <v>14.62</v>
      </c>
      <c r="H47" s="4133">
        <f t="shared" si="0"/>
        <v>0.30928707425428387</v>
      </c>
      <c r="J47" s="4124">
        <v>46</v>
      </c>
      <c r="K47" s="4124">
        <v>12</v>
      </c>
      <c r="L47" s="4124">
        <v>2</v>
      </c>
      <c r="M47" s="4124">
        <v>701</v>
      </c>
      <c r="N47" s="4124" t="s">
        <v>3276</v>
      </c>
      <c r="O47" s="4129">
        <v>138.69999999999999</v>
      </c>
      <c r="P47" s="4129">
        <v>42.89</v>
      </c>
      <c r="R47" s="4124">
        <v>46</v>
      </c>
      <c r="S47" s="4124">
        <v>4</v>
      </c>
      <c r="T47" s="4124" t="s">
        <v>3844</v>
      </c>
      <c r="U47" s="4124">
        <v>209</v>
      </c>
      <c r="V47" s="4124" t="s">
        <v>3225</v>
      </c>
      <c r="W47" s="4129">
        <v>23.31</v>
      </c>
      <c r="X47" s="4129">
        <v>7.21</v>
      </c>
      <c r="Z47" s="4124">
        <v>46</v>
      </c>
      <c r="AA47" s="4127" t="s">
        <v>3845</v>
      </c>
      <c r="AB47" s="4126" t="s">
        <v>3844</v>
      </c>
      <c r="AC47" s="4126">
        <v>-1155</v>
      </c>
      <c r="AD47" s="4127" t="s">
        <v>3846</v>
      </c>
      <c r="AE47" s="4130">
        <v>32.72</v>
      </c>
      <c r="AF47" s="4130">
        <v>10.119999999999999</v>
      </c>
    </row>
    <row r="48" spans="1:32" ht="15">
      <c r="A48" s="4595">
        <v>47</v>
      </c>
      <c r="B48" s="4595">
        <v>3</v>
      </c>
      <c r="C48" s="4595" t="s">
        <v>3844</v>
      </c>
      <c r="D48" s="4595">
        <v>103</v>
      </c>
      <c r="E48" s="4595" t="s">
        <v>3225</v>
      </c>
      <c r="F48" s="4596">
        <v>56.68</v>
      </c>
      <c r="G48" s="4596">
        <v>17.53</v>
      </c>
      <c r="H48" s="4133">
        <f t="shared" si="0"/>
        <v>0.30928016937191249</v>
      </c>
      <c r="J48" s="4124">
        <v>47</v>
      </c>
      <c r="K48" s="4124">
        <v>13</v>
      </c>
      <c r="L48" s="4124">
        <v>1</v>
      </c>
      <c r="M48" s="4124">
        <v>101</v>
      </c>
      <c r="N48" s="4124" t="s">
        <v>3276</v>
      </c>
      <c r="O48" s="4129">
        <v>131.16999999999999</v>
      </c>
      <c r="P48" s="4129">
        <v>40.56</v>
      </c>
      <c r="R48" s="4124">
        <v>47</v>
      </c>
      <c r="S48" s="4124">
        <v>4</v>
      </c>
      <c r="T48" s="4124" t="s">
        <v>3844</v>
      </c>
      <c r="U48" s="4124">
        <v>210</v>
      </c>
      <c r="V48" s="4124" t="s">
        <v>3225</v>
      </c>
      <c r="W48" s="4129">
        <v>23.02</v>
      </c>
      <c r="X48" s="4129">
        <v>7.12</v>
      </c>
      <c r="Z48" s="4124">
        <v>47</v>
      </c>
      <c r="AA48" s="4127" t="s">
        <v>3845</v>
      </c>
      <c r="AB48" s="4126" t="s">
        <v>3844</v>
      </c>
      <c r="AC48" s="4126">
        <v>-1159</v>
      </c>
      <c r="AD48" s="4127" t="s">
        <v>3846</v>
      </c>
      <c r="AE48" s="4130">
        <v>32.72</v>
      </c>
      <c r="AF48" s="4130">
        <v>10.119999999999999</v>
      </c>
    </row>
    <row r="49" spans="1:32" ht="15">
      <c r="A49" s="4595">
        <v>48</v>
      </c>
      <c r="B49" s="4595">
        <v>4</v>
      </c>
      <c r="C49" s="4595">
        <v>1</v>
      </c>
      <c r="D49" s="4595">
        <v>302</v>
      </c>
      <c r="E49" s="4595" t="s">
        <v>3276</v>
      </c>
      <c r="F49" s="4596">
        <v>137.72999999999999</v>
      </c>
      <c r="G49" s="4596">
        <v>42.59</v>
      </c>
      <c r="H49" s="4133">
        <f t="shared" si="0"/>
        <v>0.3092282001016482</v>
      </c>
      <c r="O49" s="4137">
        <f>SUM(O2:O48)</f>
        <v>10800.690000000002</v>
      </c>
      <c r="P49" s="4137">
        <f>SUM(P2:P48)</f>
        <v>3339.5699999999997</v>
      </c>
      <c r="R49" s="4124">
        <v>48</v>
      </c>
      <c r="S49" s="4124">
        <v>4</v>
      </c>
      <c r="T49" s="4124" t="s">
        <v>3844</v>
      </c>
      <c r="U49" s="4124">
        <v>211</v>
      </c>
      <c r="V49" s="4124" t="s">
        <v>3225</v>
      </c>
      <c r="W49" s="4129">
        <v>24.01</v>
      </c>
      <c r="X49" s="4129">
        <v>7.42</v>
      </c>
      <c r="Z49" s="4124">
        <v>48</v>
      </c>
      <c r="AA49" s="4127" t="s">
        <v>3845</v>
      </c>
      <c r="AB49" s="4126" t="s">
        <v>3844</v>
      </c>
      <c r="AC49" s="4126">
        <v>-1162</v>
      </c>
      <c r="AD49" s="4127" t="s">
        <v>3846</v>
      </c>
      <c r="AE49" s="4130">
        <v>32.72</v>
      </c>
      <c r="AF49" s="4130">
        <v>10.119999999999999</v>
      </c>
    </row>
    <row r="50" spans="1:32" ht="15">
      <c r="A50" s="4595">
        <v>49</v>
      </c>
      <c r="B50" s="4595">
        <v>4</v>
      </c>
      <c r="C50" s="4595" t="s">
        <v>3844</v>
      </c>
      <c r="D50" s="4595">
        <v>201</v>
      </c>
      <c r="E50" s="4595" t="s">
        <v>3225</v>
      </c>
      <c r="F50" s="4596">
        <v>18.399999999999999</v>
      </c>
      <c r="G50" s="4596">
        <v>5.69</v>
      </c>
      <c r="H50" s="4133">
        <f t="shared" si="0"/>
        <v>0.30923913043478263</v>
      </c>
      <c r="R50" s="4124">
        <v>49</v>
      </c>
      <c r="S50" s="4124">
        <v>4</v>
      </c>
      <c r="T50" s="4124" t="s">
        <v>3844</v>
      </c>
      <c r="U50" s="4124">
        <v>212</v>
      </c>
      <c r="V50" s="4124" t="s">
        <v>3225</v>
      </c>
      <c r="W50" s="4129">
        <v>22.38</v>
      </c>
      <c r="X50" s="4129">
        <v>6.92</v>
      </c>
      <c r="Z50" s="4124">
        <v>49</v>
      </c>
      <c r="AA50" s="4127" t="s">
        <v>3845</v>
      </c>
      <c r="AB50" s="4126" t="s">
        <v>3844</v>
      </c>
      <c r="AC50" s="4126">
        <v>-1163</v>
      </c>
      <c r="AD50" s="4127" t="s">
        <v>3846</v>
      </c>
      <c r="AE50" s="4130">
        <v>32.72</v>
      </c>
      <c r="AF50" s="4130">
        <v>10.119999999999999</v>
      </c>
    </row>
    <row r="51" spans="1:32" ht="15">
      <c r="A51" s="4595">
        <v>50</v>
      </c>
      <c r="B51" s="4595">
        <v>4</v>
      </c>
      <c r="C51" s="4595" t="s">
        <v>3844</v>
      </c>
      <c r="D51" s="4595">
        <v>205</v>
      </c>
      <c r="E51" s="4595" t="s">
        <v>3225</v>
      </c>
      <c r="F51" s="4596">
        <v>13.61</v>
      </c>
      <c r="G51" s="4596">
        <v>4.21</v>
      </c>
      <c r="H51" s="4133">
        <f t="shared" si="0"/>
        <v>0.30933137398971344</v>
      </c>
      <c r="R51" s="4124">
        <v>50</v>
      </c>
      <c r="S51" s="4124">
        <v>4</v>
      </c>
      <c r="T51" s="4124" t="s">
        <v>3844</v>
      </c>
      <c r="U51" s="4124">
        <v>213</v>
      </c>
      <c r="V51" s="4124" t="s">
        <v>3225</v>
      </c>
      <c r="W51" s="4129">
        <v>13.39</v>
      </c>
      <c r="X51" s="4129">
        <v>4.1399999999999997</v>
      </c>
      <c r="Z51" s="4124">
        <v>50</v>
      </c>
      <c r="AA51" s="4127" t="s">
        <v>3845</v>
      </c>
      <c r="AB51" s="4126" t="s">
        <v>3844</v>
      </c>
      <c r="AC51" s="4126">
        <v>-1164</v>
      </c>
      <c r="AD51" s="4127" t="s">
        <v>3846</v>
      </c>
      <c r="AE51" s="4130">
        <v>32.72</v>
      </c>
      <c r="AF51" s="4130">
        <v>10.119999999999999</v>
      </c>
    </row>
    <row r="52" spans="1:32" ht="15">
      <c r="A52" s="4595">
        <v>51</v>
      </c>
      <c r="B52" s="4595">
        <v>4</v>
      </c>
      <c r="C52" s="4595" t="s">
        <v>3844</v>
      </c>
      <c r="D52" s="4595">
        <v>206</v>
      </c>
      <c r="E52" s="4595" t="s">
        <v>3225</v>
      </c>
      <c r="F52" s="4596">
        <v>36.770000000000003</v>
      </c>
      <c r="G52" s="4596">
        <v>11.37</v>
      </c>
      <c r="H52" s="4133">
        <f t="shared" si="0"/>
        <v>0.30921947239597491</v>
      </c>
      <c r="R52" s="4124">
        <v>51</v>
      </c>
      <c r="S52" s="4124">
        <v>4</v>
      </c>
      <c r="T52" s="4124" t="s">
        <v>3844</v>
      </c>
      <c r="U52" s="4124">
        <v>214</v>
      </c>
      <c r="V52" s="4124" t="s">
        <v>3225</v>
      </c>
      <c r="W52" s="4129">
        <v>16.829999999999998</v>
      </c>
      <c r="X52" s="4129">
        <v>5.2</v>
      </c>
      <c r="Z52" s="4124">
        <v>51</v>
      </c>
      <c r="AA52" s="4127" t="s">
        <v>3845</v>
      </c>
      <c r="AB52" s="4126" t="s">
        <v>3844</v>
      </c>
      <c r="AC52" s="4126">
        <v>-1165</v>
      </c>
      <c r="AD52" s="4127" t="s">
        <v>3846</v>
      </c>
      <c r="AE52" s="4130">
        <v>32.72</v>
      </c>
      <c r="AF52" s="4130">
        <v>10.119999999999999</v>
      </c>
    </row>
    <row r="53" spans="1:32" ht="15">
      <c r="A53" s="4595">
        <v>52</v>
      </c>
      <c r="B53" s="4595">
        <v>4</v>
      </c>
      <c r="C53" s="4595" t="s">
        <v>3844</v>
      </c>
      <c r="D53" s="4595">
        <v>207</v>
      </c>
      <c r="E53" s="4595" t="s">
        <v>3225</v>
      </c>
      <c r="F53" s="4596">
        <v>36.770000000000003</v>
      </c>
      <c r="G53" s="4596">
        <v>11.37</v>
      </c>
      <c r="H53" s="4133">
        <f t="shared" si="0"/>
        <v>0.30921947239597491</v>
      </c>
      <c r="N53" s="4124"/>
      <c r="O53" s="4124" t="s">
        <v>3842</v>
      </c>
      <c r="P53" s="4124" t="s">
        <v>3843</v>
      </c>
      <c r="Q53" s="1086" t="s">
        <v>4034</v>
      </c>
      <c r="R53" s="4124">
        <v>52</v>
      </c>
      <c r="S53" s="4124">
        <v>5</v>
      </c>
      <c r="T53" s="4124" t="s">
        <v>3844</v>
      </c>
      <c r="U53" s="4124">
        <v>120</v>
      </c>
      <c r="V53" s="4124" t="s">
        <v>3225</v>
      </c>
      <c r="W53" s="4129">
        <v>15.75</v>
      </c>
      <c r="X53" s="4129">
        <v>4.87</v>
      </c>
      <c r="Z53" s="4124">
        <v>52</v>
      </c>
      <c r="AA53" s="4127" t="s">
        <v>3845</v>
      </c>
      <c r="AB53" s="4126" t="s">
        <v>3844</v>
      </c>
      <c r="AC53" s="4126">
        <v>-1166</v>
      </c>
      <c r="AD53" s="4127" t="s">
        <v>3846</v>
      </c>
      <c r="AE53" s="4130">
        <v>32.72</v>
      </c>
      <c r="AF53" s="4130">
        <v>10.119999999999999</v>
      </c>
    </row>
    <row r="54" spans="1:32" ht="15">
      <c r="A54" s="4595">
        <v>53</v>
      </c>
      <c r="B54" s="4595">
        <v>4</v>
      </c>
      <c r="C54" s="4595" t="s">
        <v>3844</v>
      </c>
      <c r="D54" s="4595">
        <v>208</v>
      </c>
      <c r="E54" s="4595" t="s">
        <v>3225</v>
      </c>
      <c r="F54" s="4596">
        <v>13.61</v>
      </c>
      <c r="G54" s="4596">
        <v>4.21</v>
      </c>
      <c r="H54" s="4133">
        <f t="shared" si="0"/>
        <v>0.30933137398971344</v>
      </c>
      <c r="N54" s="4124" t="s">
        <v>3922</v>
      </c>
      <c r="O54" s="4124">
        <f>O49</f>
        <v>10800.690000000002</v>
      </c>
      <c r="P54" s="4124">
        <f>P49</f>
        <v>3339.5699999999997</v>
      </c>
      <c r="Q54">
        <f>J48</f>
        <v>47</v>
      </c>
      <c r="R54" s="4124">
        <v>53</v>
      </c>
      <c r="S54" s="4124">
        <v>5</v>
      </c>
      <c r="T54" s="4124" t="s">
        <v>3844</v>
      </c>
      <c r="U54" s="4124">
        <v>121</v>
      </c>
      <c r="V54" s="4124" t="s">
        <v>3225</v>
      </c>
      <c r="W54" s="4129">
        <v>11.31</v>
      </c>
      <c r="X54" s="4129">
        <v>3.5</v>
      </c>
      <c r="Z54" s="4124">
        <v>53</v>
      </c>
      <c r="AA54" s="4127" t="s">
        <v>3845</v>
      </c>
      <c r="AB54" s="4126" t="s">
        <v>3844</v>
      </c>
      <c r="AC54" s="4126">
        <v>-1168</v>
      </c>
      <c r="AD54" s="4127" t="s">
        <v>3846</v>
      </c>
      <c r="AE54" s="4130">
        <v>32.72</v>
      </c>
      <c r="AF54" s="4130">
        <v>10.119999999999999</v>
      </c>
    </row>
    <row r="55" spans="1:32" ht="15">
      <c r="A55" s="4595">
        <v>54</v>
      </c>
      <c r="B55" s="4595">
        <v>4</v>
      </c>
      <c r="C55" s="4595" t="s">
        <v>3844</v>
      </c>
      <c r="D55" s="4595">
        <v>209</v>
      </c>
      <c r="E55" s="4595" t="s">
        <v>3225</v>
      </c>
      <c r="F55" s="4596">
        <v>23.31</v>
      </c>
      <c r="G55" s="4596">
        <v>7.21</v>
      </c>
      <c r="H55" s="4133">
        <f t="shared" si="0"/>
        <v>0.30930930930930933</v>
      </c>
      <c r="N55" s="4124" t="s">
        <v>3924</v>
      </c>
      <c r="O55" s="4124">
        <f>W138</f>
        <v>4951.4299999999994</v>
      </c>
      <c r="P55" s="4124">
        <f>X138</f>
        <v>1531</v>
      </c>
      <c r="Q55">
        <f>R137</f>
        <v>136</v>
      </c>
      <c r="R55" s="4124">
        <v>54</v>
      </c>
      <c r="S55" s="4124">
        <v>5</v>
      </c>
      <c r="T55" s="4124" t="s">
        <v>3844</v>
      </c>
      <c r="U55" s="4124">
        <v>101</v>
      </c>
      <c r="V55" s="4124" t="s">
        <v>3225</v>
      </c>
      <c r="W55" s="4129">
        <v>91.56</v>
      </c>
      <c r="X55" s="4129">
        <v>28.31</v>
      </c>
      <c r="Z55" s="4124">
        <v>54</v>
      </c>
      <c r="AA55" s="4127" t="s">
        <v>3845</v>
      </c>
      <c r="AB55" s="4126" t="s">
        <v>3844</v>
      </c>
      <c r="AC55" s="4126">
        <v>-1170</v>
      </c>
      <c r="AD55" s="4127" t="s">
        <v>3846</v>
      </c>
      <c r="AE55" s="4130">
        <v>29.63</v>
      </c>
      <c r="AF55" s="4130">
        <v>9.16</v>
      </c>
    </row>
    <row r="56" spans="1:32" ht="15">
      <c r="A56" s="4595">
        <v>55</v>
      </c>
      <c r="B56" s="4595">
        <v>4</v>
      </c>
      <c r="C56" s="4595" t="s">
        <v>3844</v>
      </c>
      <c r="D56" s="4595">
        <v>210</v>
      </c>
      <c r="E56" s="4595" t="s">
        <v>3225</v>
      </c>
      <c r="F56" s="4596">
        <v>23.02</v>
      </c>
      <c r="G56" s="4596">
        <v>7.12</v>
      </c>
      <c r="H56" s="4133">
        <f t="shared" si="0"/>
        <v>0.30929626411815814</v>
      </c>
      <c r="N56" s="4124" t="s">
        <v>3926</v>
      </c>
      <c r="O56" s="4124">
        <f>AE282</f>
        <v>9216.07</v>
      </c>
      <c r="P56" s="4124">
        <f>AF282</f>
        <v>2850.439999999981</v>
      </c>
      <c r="Q56">
        <f>Z281</f>
        <v>280</v>
      </c>
      <c r="R56" s="4124">
        <v>55</v>
      </c>
      <c r="S56" s="4124">
        <v>5</v>
      </c>
      <c r="T56" s="4124" t="s">
        <v>3844</v>
      </c>
      <c r="U56" s="4124">
        <v>102</v>
      </c>
      <c r="V56" s="4124" t="s">
        <v>3225</v>
      </c>
      <c r="W56" s="4129">
        <v>32.880000000000003</v>
      </c>
      <c r="X56" s="4129">
        <v>10.17</v>
      </c>
      <c r="Z56" s="4124">
        <v>55</v>
      </c>
      <c r="AA56" s="4127" t="s">
        <v>3845</v>
      </c>
      <c r="AB56" s="4126" t="s">
        <v>3844</v>
      </c>
      <c r="AC56" s="4126">
        <v>-1172</v>
      </c>
      <c r="AD56" s="4127" t="s">
        <v>3846</v>
      </c>
      <c r="AE56" s="4130">
        <v>32.72</v>
      </c>
      <c r="AF56" s="4130">
        <v>10.119999999999999</v>
      </c>
    </row>
    <row r="57" spans="1:32" ht="15">
      <c r="A57" s="4595">
        <v>56</v>
      </c>
      <c r="B57" s="4595">
        <v>4</v>
      </c>
      <c r="C57" s="4595" t="s">
        <v>3844</v>
      </c>
      <c r="D57" s="4595">
        <v>211</v>
      </c>
      <c r="E57" s="4595" t="s">
        <v>3225</v>
      </c>
      <c r="F57" s="4596">
        <v>24.01</v>
      </c>
      <c r="G57" s="4596">
        <v>7.42</v>
      </c>
      <c r="H57" s="4133">
        <f t="shared" si="0"/>
        <v>0.30903790087463556</v>
      </c>
      <c r="N57" s="4124"/>
      <c r="O57" s="4124">
        <f>SUM(O54:O56)</f>
        <v>24968.190000000002</v>
      </c>
      <c r="P57" s="4124">
        <f>SUM(P54:P56)</f>
        <v>7721.0099999999802</v>
      </c>
      <c r="Q57">
        <f>SUM(Q54:Q56)</f>
        <v>463</v>
      </c>
      <c r="R57" s="4124">
        <v>56</v>
      </c>
      <c r="S57" s="4124">
        <v>5</v>
      </c>
      <c r="T57" s="4124" t="s">
        <v>3844</v>
      </c>
      <c r="U57" s="4124">
        <v>103</v>
      </c>
      <c r="V57" s="4124" t="s">
        <v>3225</v>
      </c>
      <c r="W57" s="4129">
        <v>42.16</v>
      </c>
      <c r="X57" s="4129">
        <v>13.04</v>
      </c>
      <c r="Z57" s="4124">
        <v>56</v>
      </c>
      <c r="AA57" s="4127" t="s">
        <v>3845</v>
      </c>
      <c r="AB57" s="4126" t="s">
        <v>3844</v>
      </c>
      <c r="AC57" s="4126">
        <v>-1173</v>
      </c>
      <c r="AD57" s="4127" t="s">
        <v>3846</v>
      </c>
      <c r="AE57" s="4130">
        <v>32.72</v>
      </c>
      <c r="AF57" s="4130">
        <v>10.119999999999999</v>
      </c>
    </row>
    <row r="58" spans="1:32" ht="15">
      <c r="A58" s="4595">
        <v>57</v>
      </c>
      <c r="B58" s="4595">
        <v>4</v>
      </c>
      <c r="C58" s="4595" t="s">
        <v>3844</v>
      </c>
      <c r="D58" s="4595">
        <v>212</v>
      </c>
      <c r="E58" s="4595" t="s">
        <v>3225</v>
      </c>
      <c r="F58" s="4596">
        <v>22.38</v>
      </c>
      <c r="G58" s="4596">
        <v>6.92</v>
      </c>
      <c r="H58" s="4133">
        <f t="shared" si="0"/>
        <v>0.30920464700625561</v>
      </c>
      <c r="R58" s="4124">
        <v>57</v>
      </c>
      <c r="S58" s="4124">
        <v>5</v>
      </c>
      <c r="T58" s="4124" t="s">
        <v>3844</v>
      </c>
      <c r="U58" s="4124">
        <v>104</v>
      </c>
      <c r="V58" s="4124" t="s">
        <v>3225</v>
      </c>
      <c r="W58" s="4129">
        <v>55.93</v>
      </c>
      <c r="X58" s="4129">
        <v>17.29</v>
      </c>
      <c r="Z58" s="4124">
        <v>57</v>
      </c>
      <c r="AA58" s="4127" t="s">
        <v>3845</v>
      </c>
      <c r="AB58" s="4126" t="s">
        <v>3844</v>
      </c>
      <c r="AC58" s="4126">
        <v>-1174</v>
      </c>
      <c r="AD58" s="4127" t="s">
        <v>3846</v>
      </c>
      <c r="AE58" s="4130">
        <v>32.72</v>
      </c>
      <c r="AF58" s="4130">
        <v>10.119999999999999</v>
      </c>
    </row>
    <row r="59" spans="1:32" ht="15">
      <c r="A59" s="4595">
        <v>58</v>
      </c>
      <c r="B59" s="4595">
        <v>4</v>
      </c>
      <c r="C59" s="4595" t="s">
        <v>3844</v>
      </c>
      <c r="D59" s="4595">
        <v>213</v>
      </c>
      <c r="E59" s="4595" t="s">
        <v>3225</v>
      </c>
      <c r="F59" s="4596">
        <v>13.39</v>
      </c>
      <c r="G59" s="4596">
        <v>4.1399999999999997</v>
      </c>
      <c r="H59" s="4133">
        <f t="shared" si="0"/>
        <v>0.3091859596713965</v>
      </c>
      <c r="R59" s="4124">
        <v>58</v>
      </c>
      <c r="S59" s="4124">
        <v>5</v>
      </c>
      <c r="T59" s="4124" t="s">
        <v>3844</v>
      </c>
      <c r="U59" s="4124">
        <v>110</v>
      </c>
      <c r="V59" s="4124" t="s">
        <v>3225</v>
      </c>
      <c r="W59" s="4129">
        <v>79.92</v>
      </c>
      <c r="X59" s="4129">
        <v>24.71</v>
      </c>
      <c r="Z59" s="4124">
        <v>58</v>
      </c>
      <c r="AA59" s="4127" t="s">
        <v>3845</v>
      </c>
      <c r="AB59" s="4126" t="s">
        <v>3844</v>
      </c>
      <c r="AC59" s="4126">
        <v>-1176</v>
      </c>
      <c r="AD59" s="4127" t="s">
        <v>3846</v>
      </c>
      <c r="AE59" s="4130">
        <v>32.72</v>
      </c>
      <c r="AF59" s="4130">
        <v>10.119999999999999</v>
      </c>
    </row>
    <row r="60" spans="1:32" ht="15">
      <c r="A60" s="4595">
        <v>59</v>
      </c>
      <c r="B60" s="4595">
        <v>4</v>
      </c>
      <c r="C60" s="4595" t="s">
        <v>3844</v>
      </c>
      <c r="D60" s="4595">
        <v>214</v>
      </c>
      <c r="E60" s="4595" t="s">
        <v>3225</v>
      </c>
      <c r="F60" s="4596">
        <v>16.829999999999998</v>
      </c>
      <c r="G60" s="4596">
        <v>5.2</v>
      </c>
      <c r="H60" s="4133">
        <f t="shared" si="0"/>
        <v>0.30897207367795609</v>
      </c>
      <c r="R60" s="4124">
        <v>59</v>
      </c>
      <c r="S60" s="4124">
        <v>5</v>
      </c>
      <c r="T60" s="4124" t="s">
        <v>3844</v>
      </c>
      <c r="U60" s="4124">
        <v>111</v>
      </c>
      <c r="V60" s="4124" t="s">
        <v>3225</v>
      </c>
      <c r="W60" s="4129">
        <v>56.51</v>
      </c>
      <c r="X60" s="4129">
        <v>17.47</v>
      </c>
      <c r="Z60" s="4124">
        <v>59</v>
      </c>
      <c r="AA60" s="4127" t="s">
        <v>3845</v>
      </c>
      <c r="AB60" s="4126" t="s">
        <v>3844</v>
      </c>
      <c r="AC60" s="4126">
        <v>-1177</v>
      </c>
      <c r="AD60" s="4127" t="s">
        <v>3846</v>
      </c>
      <c r="AE60" s="4130">
        <v>32.72</v>
      </c>
      <c r="AF60" s="4130">
        <v>10.119999999999999</v>
      </c>
    </row>
    <row r="61" spans="1:32" ht="15">
      <c r="A61" s="4595">
        <v>60</v>
      </c>
      <c r="B61" s="4595">
        <v>5</v>
      </c>
      <c r="C61" s="4595">
        <v>1</v>
      </c>
      <c r="D61" s="4595">
        <v>101</v>
      </c>
      <c r="E61" s="4595" t="s">
        <v>3276</v>
      </c>
      <c r="F61" s="4596">
        <v>218.02</v>
      </c>
      <c r="G61" s="4596">
        <v>67.41</v>
      </c>
      <c r="H61" s="4133">
        <f t="shared" si="0"/>
        <v>0.30919181726447109</v>
      </c>
      <c r="K61" s="4152"/>
      <c r="L61" s="4152" t="s">
        <v>3933</v>
      </c>
      <c r="M61" s="4152" t="s">
        <v>3935</v>
      </c>
      <c r="N61" s="4152"/>
      <c r="O61" s="4152"/>
      <c r="R61" s="4124">
        <v>60</v>
      </c>
      <c r="S61" s="4124">
        <v>5</v>
      </c>
      <c r="T61" s="4124" t="s">
        <v>3844</v>
      </c>
      <c r="U61" s="4124">
        <v>112</v>
      </c>
      <c r="V61" s="4124" t="s">
        <v>3225</v>
      </c>
      <c r="W61" s="4129">
        <v>56.89</v>
      </c>
      <c r="X61" s="4129">
        <v>17.59</v>
      </c>
      <c r="Z61" s="4124">
        <v>60</v>
      </c>
      <c r="AA61" s="4127" t="s">
        <v>3845</v>
      </c>
      <c r="AB61" s="4126" t="s">
        <v>3844</v>
      </c>
      <c r="AC61" s="4126">
        <v>-1179</v>
      </c>
      <c r="AD61" s="4127" t="s">
        <v>3846</v>
      </c>
      <c r="AE61" s="4130">
        <v>32.72</v>
      </c>
      <c r="AF61" s="4130">
        <v>10.119999999999999</v>
      </c>
    </row>
    <row r="62" spans="1:32" ht="15">
      <c r="A62" s="4595">
        <v>61</v>
      </c>
      <c r="B62" s="4595">
        <v>5</v>
      </c>
      <c r="C62" s="4595">
        <v>1</v>
      </c>
      <c r="D62" s="4595">
        <v>202</v>
      </c>
      <c r="E62" s="4595" t="s">
        <v>3276</v>
      </c>
      <c r="F62" s="4596">
        <v>267.07</v>
      </c>
      <c r="G62" s="4596">
        <v>82.58</v>
      </c>
      <c r="H62" s="4133">
        <f t="shared" si="0"/>
        <v>0.30920732392256711</v>
      </c>
      <c r="K62" s="4152" t="str">
        <f>N54</f>
        <v>住宅</v>
      </c>
      <c r="L62" s="4152">
        <f>O54</f>
        <v>10800.690000000002</v>
      </c>
      <c r="M62" s="4152" t="s">
        <v>3936</v>
      </c>
      <c r="N62" s="4153">
        <v>0.5</v>
      </c>
      <c r="O62" s="4152">
        <f>N62*L62</f>
        <v>5400.3450000000012</v>
      </c>
      <c r="R62" s="4124">
        <v>61</v>
      </c>
      <c r="S62" s="4124">
        <v>5</v>
      </c>
      <c r="T62" s="4124" t="s">
        <v>3844</v>
      </c>
      <c r="U62" s="4124">
        <v>113</v>
      </c>
      <c r="V62" s="4124" t="s">
        <v>3225</v>
      </c>
      <c r="W62" s="4129">
        <v>57.81</v>
      </c>
      <c r="X62" s="4129">
        <v>17.87</v>
      </c>
      <c r="Z62" s="4124">
        <v>61</v>
      </c>
      <c r="AA62" s="4127" t="s">
        <v>3845</v>
      </c>
      <c r="AB62" s="4126" t="s">
        <v>3844</v>
      </c>
      <c r="AC62" s="4126">
        <v>-1181</v>
      </c>
      <c r="AD62" s="4127" t="s">
        <v>3846</v>
      </c>
      <c r="AE62" s="4130">
        <v>32.72</v>
      </c>
      <c r="AF62" s="4130">
        <v>10.119999999999999</v>
      </c>
    </row>
    <row r="63" spans="1:32" ht="15">
      <c r="A63" s="4595">
        <v>62</v>
      </c>
      <c r="B63" s="4595">
        <v>5</v>
      </c>
      <c r="C63" s="4595">
        <v>1</v>
      </c>
      <c r="D63" s="4595">
        <v>302</v>
      </c>
      <c r="E63" s="4595" t="s">
        <v>3276</v>
      </c>
      <c r="F63" s="4596">
        <v>267.10000000000002</v>
      </c>
      <c r="G63" s="4596">
        <v>82.59</v>
      </c>
      <c r="H63" s="4133">
        <f t="shared" si="0"/>
        <v>0.30921003369524519</v>
      </c>
      <c r="K63" s="4152" t="str">
        <f t="shared" ref="K63:L63" si="1">N55</f>
        <v>地下仓储</v>
      </c>
      <c r="L63" s="4152">
        <f t="shared" si="1"/>
        <v>4951.4299999999994</v>
      </c>
      <c r="M63" s="4152" t="s">
        <v>3936</v>
      </c>
      <c r="N63" s="4153">
        <v>0.6</v>
      </c>
      <c r="O63" s="4152">
        <f t="shared" ref="O63:O64" si="2">N63*L63</f>
        <v>2970.8579999999997</v>
      </c>
      <c r="R63" s="4124">
        <v>62</v>
      </c>
      <c r="S63" s="4124">
        <v>5</v>
      </c>
      <c r="T63" s="4124" t="s">
        <v>3844</v>
      </c>
      <c r="U63" s="4124">
        <v>114</v>
      </c>
      <c r="V63" s="4124" t="s">
        <v>3225</v>
      </c>
      <c r="W63" s="4129">
        <v>61.63</v>
      </c>
      <c r="X63" s="4129">
        <v>19.059999999999999</v>
      </c>
      <c r="Z63" s="4124">
        <v>62</v>
      </c>
      <c r="AA63" s="4127" t="s">
        <v>3845</v>
      </c>
      <c r="AB63" s="4126" t="s">
        <v>3844</v>
      </c>
      <c r="AC63" s="4126">
        <v>-1182</v>
      </c>
      <c r="AD63" s="4127" t="s">
        <v>3846</v>
      </c>
      <c r="AE63" s="4130">
        <v>32.72</v>
      </c>
      <c r="AF63" s="4130">
        <v>10.119999999999999</v>
      </c>
    </row>
    <row r="64" spans="1:32" ht="15">
      <c r="A64" s="4595">
        <v>63</v>
      </c>
      <c r="B64" s="4595">
        <v>5</v>
      </c>
      <c r="C64" s="4595">
        <v>1</v>
      </c>
      <c r="D64" s="4595">
        <v>402</v>
      </c>
      <c r="E64" s="4595" t="s">
        <v>3276</v>
      </c>
      <c r="F64" s="4596">
        <v>267.10000000000002</v>
      </c>
      <c r="G64" s="4596">
        <v>82.59</v>
      </c>
      <c r="H64" s="4133">
        <f t="shared" si="0"/>
        <v>0.30921003369524519</v>
      </c>
      <c r="K64" s="4152" t="str">
        <f t="shared" ref="K64:L64" si="3">N56</f>
        <v>地下车库</v>
      </c>
      <c r="L64" s="4152">
        <f t="shared" si="3"/>
        <v>9216.07</v>
      </c>
      <c r="M64" s="4152" t="s">
        <v>3936</v>
      </c>
      <c r="N64" s="4153">
        <v>0.6</v>
      </c>
      <c r="O64" s="4152">
        <f t="shared" si="2"/>
        <v>5529.6419999999998</v>
      </c>
      <c r="R64" s="4124">
        <v>63</v>
      </c>
      <c r="S64" s="4124">
        <v>5</v>
      </c>
      <c r="T64" s="4124" t="s">
        <v>3844</v>
      </c>
      <c r="U64" s="4124">
        <v>115</v>
      </c>
      <c r="V64" s="4124" t="s">
        <v>3225</v>
      </c>
      <c r="W64" s="4129">
        <v>55.93</v>
      </c>
      <c r="X64" s="4129">
        <v>17.29</v>
      </c>
      <c r="Z64" s="4124">
        <v>63</v>
      </c>
      <c r="AA64" s="4127" t="s">
        <v>3845</v>
      </c>
      <c r="AB64" s="4126" t="s">
        <v>3844</v>
      </c>
      <c r="AC64" s="4126">
        <v>-1183</v>
      </c>
      <c r="AD64" s="4127" t="s">
        <v>3846</v>
      </c>
      <c r="AE64" s="4130">
        <v>32.72</v>
      </c>
      <c r="AF64" s="4130">
        <v>10.119999999999999</v>
      </c>
    </row>
    <row r="65" spans="1:32" ht="15">
      <c r="A65" s="4595">
        <v>64</v>
      </c>
      <c r="B65" s="4595">
        <v>5</v>
      </c>
      <c r="C65" s="4595">
        <v>1</v>
      </c>
      <c r="D65" s="4595">
        <v>502</v>
      </c>
      <c r="E65" s="4595" t="s">
        <v>3276</v>
      </c>
      <c r="F65" s="4596">
        <v>267.10000000000002</v>
      </c>
      <c r="G65" s="4596">
        <v>82.59</v>
      </c>
      <c r="H65" s="4133">
        <f t="shared" si="0"/>
        <v>0.30921003369524519</v>
      </c>
      <c r="K65" s="4152"/>
      <c r="L65" s="4152">
        <f>SUM(L62:L64)</f>
        <v>24968.190000000002</v>
      </c>
      <c r="M65" s="4152"/>
      <c r="N65" s="4154">
        <f>O65/L65</f>
        <v>0.55674219877371967</v>
      </c>
      <c r="O65" s="4152">
        <f>SUM(O62:O64)</f>
        <v>13900.845000000001</v>
      </c>
      <c r="R65" s="4124">
        <v>64</v>
      </c>
      <c r="S65" s="4124">
        <v>5</v>
      </c>
      <c r="T65" s="4124" t="s">
        <v>3844</v>
      </c>
      <c r="U65" s="4124">
        <v>116</v>
      </c>
      <c r="V65" s="4124" t="s">
        <v>3225</v>
      </c>
      <c r="W65" s="4129">
        <v>42.16</v>
      </c>
      <c r="X65" s="4129">
        <v>13.04</v>
      </c>
      <c r="Z65" s="4124">
        <v>64</v>
      </c>
      <c r="AA65" s="4127" t="s">
        <v>3845</v>
      </c>
      <c r="AB65" s="4126" t="s">
        <v>3844</v>
      </c>
      <c r="AC65" s="4126">
        <v>-1184</v>
      </c>
      <c r="AD65" s="4127" t="s">
        <v>3846</v>
      </c>
      <c r="AE65" s="4130">
        <v>32.72</v>
      </c>
      <c r="AF65" s="4130">
        <v>10.119999999999999</v>
      </c>
    </row>
    <row r="66" spans="1:32" ht="15">
      <c r="A66" s="4595">
        <v>65</v>
      </c>
      <c r="B66" s="4595">
        <v>5</v>
      </c>
      <c r="C66" s="4595">
        <v>1</v>
      </c>
      <c r="D66" s="4595">
        <v>602</v>
      </c>
      <c r="E66" s="4595" t="s">
        <v>3276</v>
      </c>
      <c r="F66" s="4596">
        <v>267.10000000000002</v>
      </c>
      <c r="G66" s="4596">
        <v>82.59</v>
      </c>
      <c r="H66" s="4133">
        <f t="shared" ref="H66:H129" si="4">G66/F66</f>
        <v>0.30921003369524519</v>
      </c>
      <c r="R66" s="4124">
        <v>65</v>
      </c>
      <c r="S66" s="4124">
        <v>5</v>
      </c>
      <c r="T66" s="4124" t="s">
        <v>3844</v>
      </c>
      <c r="U66" s="4124">
        <v>117</v>
      </c>
      <c r="V66" s="4124" t="s">
        <v>3225</v>
      </c>
      <c r="W66" s="4129">
        <v>37.89</v>
      </c>
      <c r="X66" s="4129">
        <v>11.72</v>
      </c>
      <c r="Z66" s="4124">
        <v>65</v>
      </c>
      <c r="AA66" s="4127" t="s">
        <v>3845</v>
      </c>
      <c r="AB66" s="4126" t="s">
        <v>3844</v>
      </c>
      <c r="AC66" s="4126">
        <v>-1186</v>
      </c>
      <c r="AD66" s="4127" t="s">
        <v>3846</v>
      </c>
      <c r="AE66" s="4130">
        <v>32.72</v>
      </c>
      <c r="AF66" s="4130">
        <v>10.119999999999999</v>
      </c>
    </row>
    <row r="67" spans="1:32" ht="15">
      <c r="A67" s="4595">
        <v>66</v>
      </c>
      <c r="B67" s="4595">
        <v>5</v>
      </c>
      <c r="C67" s="4595">
        <v>1</v>
      </c>
      <c r="D67" s="4595">
        <v>702</v>
      </c>
      <c r="E67" s="4595" t="s">
        <v>3276</v>
      </c>
      <c r="F67" s="4596">
        <v>267.10000000000002</v>
      </c>
      <c r="G67" s="4596">
        <v>82.59</v>
      </c>
      <c r="H67" s="4133">
        <f t="shared" si="4"/>
        <v>0.30921003369524519</v>
      </c>
      <c r="R67" s="4124">
        <v>66</v>
      </c>
      <c r="S67" s="4124">
        <v>5</v>
      </c>
      <c r="T67" s="4124" t="s">
        <v>3844</v>
      </c>
      <c r="U67" s="4124">
        <v>118</v>
      </c>
      <c r="V67" s="4124" t="s">
        <v>3225</v>
      </c>
      <c r="W67" s="4129">
        <v>86.37</v>
      </c>
      <c r="X67" s="4129">
        <v>26.71</v>
      </c>
      <c r="Z67" s="4124">
        <v>66</v>
      </c>
      <c r="AA67" s="4127" t="s">
        <v>3845</v>
      </c>
      <c r="AB67" s="4126" t="s">
        <v>3844</v>
      </c>
      <c r="AC67" s="4126">
        <v>-1188</v>
      </c>
      <c r="AD67" s="4127" t="s">
        <v>3846</v>
      </c>
      <c r="AE67" s="4130">
        <v>32.72</v>
      </c>
      <c r="AF67" s="4130">
        <v>10.119999999999999</v>
      </c>
    </row>
    <row r="68" spans="1:32" ht="15">
      <c r="A68" s="4595">
        <v>67</v>
      </c>
      <c r="B68" s="4595">
        <v>5</v>
      </c>
      <c r="C68" s="4595">
        <v>1</v>
      </c>
      <c r="D68" s="4595">
        <v>1001</v>
      </c>
      <c r="E68" s="4595" t="s">
        <v>3276</v>
      </c>
      <c r="F68" s="4596">
        <v>218.04</v>
      </c>
      <c r="G68" s="4596">
        <v>67.42</v>
      </c>
      <c r="H68" s="4133">
        <f t="shared" si="4"/>
        <v>0.30920931939093749</v>
      </c>
      <c r="R68" s="4124">
        <v>67</v>
      </c>
      <c r="S68" s="4124">
        <v>5</v>
      </c>
      <c r="T68" s="4124" t="s">
        <v>3844</v>
      </c>
      <c r="U68" s="4124">
        <v>119</v>
      </c>
      <c r="V68" s="4124" t="s">
        <v>3225</v>
      </c>
      <c r="W68" s="4129">
        <v>41.54</v>
      </c>
      <c r="X68" s="4129">
        <v>12.84</v>
      </c>
      <c r="Z68" s="4124">
        <v>67</v>
      </c>
      <c r="AA68" s="4127" t="s">
        <v>3845</v>
      </c>
      <c r="AB68" s="4126" t="s">
        <v>3844</v>
      </c>
      <c r="AC68" s="4126">
        <v>-1189</v>
      </c>
      <c r="AD68" s="4127" t="s">
        <v>3846</v>
      </c>
      <c r="AE68" s="4130">
        <v>32.72</v>
      </c>
      <c r="AF68" s="4130">
        <v>10.119999999999999</v>
      </c>
    </row>
    <row r="69" spans="1:32" ht="15">
      <c r="A69" s="4595">
        <v>68</v>
      </c>
      <c r="B69" s="4595">
        <v>5</v>
      </c>
      <c r="C69" s="4595">
        <v>1</v>
      </c>
      <c r="D69" s="4595">
        <v>1002</v>
      </c>
      <c r="E69" s="4595" t="s">
        <v>3276</v>
      </c>
      <c r="F69" s="4596">
        <v>267.10000000000002</v>
      </c>
      <c r="G69" s="4596">
        <v>82.59</v>
      </c>
      <c r="H69" s="4133">
        <f t="shared" si="4"/>
        <v>0.30921003369524519</v>
      </c>
      <c r="R69" s="4124">
        <v>68</v>
      </c>
      <c r="S69" s="4124">
        <v>5</v>
      </c>
      <c r="T69" s="4124" t="s">
        <v>3844</v>
      </c>
      <c r="U69" s="4124">
        <v>205</v>
      </c>
      <c r="V69" s="4124" t="s">
        <v>3225</v>
      </c>
      <c r="W69" s="4129">
        <v>9.0299999999999994</v>
      </c>
      <c r="X69" s="4129">
        <v>2.79</v>
      </c>
      <c r="Z69" s="4124">
        <v>68</v>
      </c>
      <c r="AA69" s="4127" t="s">
        <v>3845</v>
      </c>
      <c r="AB69" s="4126" t="s">
        <v>3844</v>
      </c>
      <c r="AC69" s="4126">
        <v>-1190</v>
      </c>
      <c r="AD69" s="4127" t="s">
        <v>3846</v>
      </c>
      <c r="AE69" s="4130">
        <v>32.72</v>
      </c>
      <c r="AF69" s="4130">
        <v>10.119999999999999</v>
      </c>
    </row>
    <row r="70" spans="1:32" ht="15">
      <c r="A70" s="4595">
        <v>69</v>
      </c>
      <c r="B70" s="4595">
        <v>5</v>
      </c>
      <c r="C70" s="4595">
        <v>2</v>
      </c>
      <c r="D70" s="4595">
        <v>101</v>
      </c>
      <c r="E70" s="4595" t="s">
        <v>3276</v>
      </c>
      <c r="F70" s="4596">
        <v>267.08</v>
      </c>
      <c r="G70" s="4596">
        <v>82.58</v>
      </c>
      <c r="H70" s="4133">
        <f t="shared" si="4"/>
        <v>0.30919574659278121</v>
      </c>
      <c r="R70" s="4124">
        <v>69</v>
      </c>
      <c r="S70" s="4124">
        <v>6</v>
      </c>
      <c r="T70" s="4124" t="s">
        <v>3844</v>
      </c>
      <c r="U70" s="4124">
        <v>201</v>
      </c>
      <c r="V70" s="4124" t="s">
        <v>3225</v>
      </c>
      <c r="W70" s="4129">
        <v>13.31</v>
      </c>
      <c r="X70" s="4129">
        <v>4.12</v>
      </c>
      <c r="Z70" s="4124">
        <v>69</v>
      </c>
      <c r="AA70" s="4127" t="s">
        <v>3845</v>
      </c>
      <c r="AB70" s="4126" t="s">
        <v>3844</v>
      </c>
      <c r="AC70" s="4126">
        <v>-1193</v>
      </c>
      <c r="AD70" s="4127" t="s">
        <v>3846</v>
      </c>
      <c r="AE70" s="4130">
        <v>32.72</v>
      </c>
      <c r="AF70" s="4130">
        <v>10.119999999999999</v>
      </c>
    </row>
    <row r="71" spans="1:32" ht="15">
      <c r="A71" s="4595">
        <v>70</v>
      </c>
      <c r="B71" s="4595">
        <v>5</v>
      </c>
      <c r="C71" s="4595">
        <v>2</v>
      </c>
      <c r="D71" s="4595">
        <v>102</v>
      </c>
      <c r="E71" s="4595" t="s">
        <v>3276</v>
      </c>
      <c r="F71" s="4596">
        <v>218.02</v>
      </c>
      <c r="G71" s="4596">
        <v>67.41</v>
      </c>
      <c r="H71" s="4133">
        <f t="shared" si="4"/>
        <v>0.30919181726447109</v>
      </c>
      <c r="R71" s="4124">
        <v>70</v>
      </c>
      <c r="S71" s="4124">
        <v>6</v>
      </c>
      <c r="T71" s="4124" t="s">
        <v>3844</v>
      </c>
      <c r="U71" s="4124">
        <v>203</v>
      </c>
      <c r="V71" s="4124" t="s">
        <v>3225</v>
      </c>
      <c r="W71" s="4129">
        <v>17.75</v>
      </c>
      <c r="X71" s="4129">
        <v>5.49</v>
      </c>
      <c r="Z71" s="4124">
        <v>70</v>
      </c>
      <c r="AA71" s="4127" t="s">
        <v>3845</v>
      </c>
      <c r="AB71" s="4126" t="s">
        <v>3844</v>
      </c>
      <c r="AC71" s="4126">
        <v>-1197</v>
      </c>
      <c r="AD71" s="4127" t="s">
        <v>3846</v>
      </c>
      <c r="AE71" s="4130">
        <v>32.72</v>
      </c>
      <c r="AF71" s="4130">
        <v>10.119999999999999</v>
      </c>
    </row>
    <row r="72" spans="1:32" ht="15">
      <c r="A72" s="4595">
        <v>71</v>
      </c>
      <c r="B72" s="4595">
        <v>5</v>
      </c>
      <c r="C72" s="4595">
        <v>2</v>
      </c>
      <c r="D72" s="4595">
        <v>201</v>
      </c>
      <c r="E72" s="4595" t="s">
        <v>3276</v>
      </c>
      <c r="F72" s="4596">
        <v>267.07</v>
      </c>
      <c r="G72" s="4596">
        <v>82.58</v>
      </c>
      <c r="H72" s="4133">
        <f t="shared" si="4"/>
        <v>0.30920732392256711</v>
      </c>
      <c r="M72">
        <v>90128.46</v>
      </c>
      <c r="R72" s="4124">
        <v>71</v>
      </c>
      <c r="S72" s="4124">
        <v>6</v>
      </c>
      <c r="T72" s="4124" t="s">
        <v>3844</v>
      </c>
      <c r="U72" s="4124">
        <v>204</v>
      </c>
      <c r="V72" s="4124" t="s">
        <v>3225</v>
      </c>
      <c r="W72" s="4129">
        <v>17.34</v>
      </c>
      <c r="X72" s="4129">
        <v>5.36</v>
      </c>
      <c r="Z72" s="4124">
        <v>71</v>
      </c>
      <c r="AA72" s="4127" t="s">
        <v>3845</v>
      </c>
      <c r="AB72" s="4126" t="s">
        <v>3844</v>
      </c>
      <c r="AC72" s="4126">
        <v>-1198</v>
      </c>
      <c r="AD72" s="4127" t="s">
        <v>3846</v>
      </c>
      <c r="AE72" s="4130">
        <v>32.72</v>
      </c>
      <c r="AF72" s="4130">
        <v>10.119999999999999</v>
      </c>
    </row>
    <row r="73" spans="1:32" ht="15">
      <c r="A73" s="4595">
        <v>72</v>
      </c>
      <c r="B73" s="4595">
        <v>5</v>
      </c>
      <c r="C73" s="4595">
        <v>2</v>
      </c>
      <c r="D73" s="4595">
        <v>202</v>
      </c>
      <c r="E73" s="4595" t="s">
        <v>3276</v>
      </c>
      <c r="F73" s="4596">
        <v>218.02</v>
      </c>
      <c r="G73" s="4596">
        <v>67.41</v>
      </c>
      <c r="H73" s="4133">
        <f t="shared" si="4"/>
        <v>0.30919181726447109</v>
      </c>
      <c r="M73">
        <v>8874.2999999999993</v>
      </c>
      <c r="R73" s="4124">
        <v>72</v>
      </c>
      <c r="S73" s="4124">
        <v>6</v>
      </c>
      <c r="T73" s="4124" t="s">
        <v>3844</v>
      </c>
      <c r="U73" s="4124">
        <v>205</v>
      </c>
      <c r="V73" s="4124" t="s">
        <v>3225</v>
      </c>
      <c r="W73" s="4129">
        <v>24.02</v>
      </c>
      <c r="X73" s="4129">
        <v>7.43</v>
      </c>
      <c r="Z73" s="4124">
        <v>72</v>
      </c>
      <c r="AA73" s="4127" t="s">
        <v>3845</v>
      </c>
      <c r="AB73" s="4126" t="s">
        <v>3844</v>
      </c>
      <c r="AC73" s="4126">
        <v>-1199</v>
      </c>
      <c r="AD73" s="4127" t="s">
        <v>3846</v>
      </c>
      <c r="AE73" s="4130">
        <v>32.72</v>
      </c>
      <c r="AF73" s="4130">
        <v>10.119999999999999</v>
      </c>
    </row>
    <row r="74" spans="1:32" ht="15">
      <c r="A74" s="4595">
        <v>73</v>
      </c>
      <c r="B74" s="4595">
        <v>5</v>
      </c>
      <c r="C74" s="4595">
        <v>2</v>
      </c>
      <c r="D74" s="4595">
        <v>301</v>
      </c>
      <c r="E74" s="4595" t="s">
        <v>3276</v>
      </c>
      <c r="F74" s="4596">
        <v>267.10000000000002</v>
      </c>
      <c r="G74" s="4596">
        <v>82.59</v>
      </c>
      <c r="H74" s="4133">
        <f t="shared" si="4"/>
        <v>0.30921003369524519</v>
      </c>
      <c r="M74">
        <f>M72+M73</f>
        <v>99002.760000000009</v>
      </c>
      <c r="R74" s="4124">
        <v>73</v>
      </c>
      <c r="S74" s="4124">
        <v>6</v>
      </c>
      <c r="T74" s="4124" t="s">
        <v>3844</v>
      </c>
      <c r="U74" s="4124">
        <v>207</v>
      </c>
      <c r="V74" s="4124" t="s">
        <v>3225</v>
      </c>
      <c r="W74" s="4129">
        <v>25.22</v>
      </c>
      <c r="X74" s="4129">
        <v>7.8</v>
      </c>
      <c r="Z74" s="4124">
        <v>73</v>
      </c>
      <c r="AA74" s="4127" t="s">
        <v>3845</v>
      </c>
      <c r="AB74" s="4126" t="s">
        <v>3844</v>
      </c>
      <c r="AC74" s="4126">
        <v>-1200</v>
      </c>
      <c r="AD74" s="4127" t="s">
        <v>3846</v>
      </c>
      <c r="AE74" s="4130">
        <v>32.72</v>
      </c>
      <c r="AF74" s="4130">
        <v>10.119999999999999</v>
      </c>
    </row>
    <row r="75" spans="1:32" ht="15">
      <c r="A75" s="4595">
        <v>74</v>
      </c>
      <c r="B75" s="4595">
        <v>5</v>
      </c>
      <c r="C75" s="4595">
        <v>2</v>
      </c>
      <c r="D75" s="4595">
        <v>401</v>
      </c>
      <c r="E75" s="4595" t="s">
        <v>3276</v>
      </c>
      <c r="F75" s="4596">
        <v>267.10000000000002</v>
      </c>
      <c r="G75" s="4596">
        <v>82.59</v>
      </c>
      <c r="H75" s="4133">
        <f t="shared" si="4"/>
        <v>0.30921003369524519</v>
      </c>
      <c r="R75" s="4124">
        <v>74</v>
      </c>
      <c r="S75" s="4124">
        <v>6</v>
      </c>
      <c r="T75" s="4124" t="s">
        <v>3844</v>
      </c>
      <c r="U75" s="4124">
        <v>209</v>
      </c>
      <c r="V75" s="4124" t="s">
        <v>3225</v>
      </c>
      <c r="W75" s="4129">
        <v>29.44</v>
      </c>
      <c r="X75" s="4129">
        <v>9.1</v>
      </c>
      <c r="Z75" s="4124">
        <v>74</v>
      </c>
      <c r="AA75" s="4127" t="s">
        <v>3845</v>
      </c>
      <c r="AB75" s="4126" t="s">
        <v>3844</v>
      </c>
      <c r="AC75" s="4126">
        <v>-1201</v>
      </c>
      <c r="AD75" s="4127" t="s">
        <v>3846</v>
      </c>
      <c r="AE75" s="4130">
        <v>32.72</v>
      </c>
      <c r="AF75" s="4130">
        <v>10.119999999999999</v>
      </c>
    </row>
    <row r="76" spans="1:32" ht="15">
      <c r="A76" s="4595">
        <v>75</v>
      </c>
      <c r="B76" s="4595">
        <v>5</v>
      </c>
      <c r="C76" s="4595">
        <v>2</v>
      </c>
      <c r="D76" s="4595">
        <v>701</v>
      </c>
      <c r="E76" s="4595" t="s">
        <v>3276</v>
      </c>
      <c r="F76" s="4596">
        <v>267.10000000000002</v>
      </c>
      <c r="G76" s="4596">
        <v>82.59</v>
      </c>
      <c r="H76" s="4133">
        <f t="shared" si="4"/>
        <v>0.30921003369524519</v>
      </c>
      <c r="R76" s="4124">
        <v>75</v>
      </c>
      <c r="S76" s="4124">
        <v>6</v>
      </c>
      <c r="T76" s="4124" t="s">
        <v>3844</v>
      </c>
      <c r="U76" s="4124">
        <v>211</v>
      </c>
      <c r="V76" s="4124" t="s">
        <v>3225</v>
      </c>
      <c r="W76" s="4129">
        <v>21.19</v>
      </c>
      <c r="X76" s="4129">
        <v>6.55</v>
      </c>
      <c r="Z76" s="4124">
        <v>75</v>
      </c>
      <c r="AA76" s="4127" t="s">
        <v>3845</v>
      </c>
      <c r="AB76" s="4126" t="s">
        <v>3844</v>
      </c>
      <c r="AC76" s="4126">
        <v>-1202</v>
      </c>
      <c r="AD76" s="4127" t="s">
        <v>3846</v>
      </c>
      <c r="AE76" s="4130">
        <v>32.72</v>
      </c>
      <c r="AF76" s="4130">
        <v>10.119999999999999</v>
      </c>
    </row>
    <row r="77" spans="1:32" ht="15">
      <c r="A77" s="4595">
        <v>76</v>
      </c>
      <c r="B77" s="4595">
        <v>5</v>
      </c>
      <c r="C77" s="4595">
        <v>2</v>
      </c>
      <c r="D77" s="4595">
        <v>801</v>
      </c>
      <c r="E77" s="4595" t="s">
        <v>3276</v>
      </c>
      <c r="F77" s="4596">
        <v>267.10000000000002</v>
      </c>
      <c r="G77" s="4596">
        <v>82.59</v>
      </c>
      <c r="H77" s="4133">
        <f t="shared" si="4"/>
        <v>0.30921003369524519</v>
      </c>
      <c r="R77" s="4124">
        <v>76</v>
      </c>
      <c r="S77" s="4124">
        <v>7</v>
      </c>
      <c r="T77" s="4124" t="s">
        <v>3844</v>
      </c>
      <c r="U77" s="4124">
        <v>101</v>
      </c>
      <c r="V77" s="4124" t="s">
        <v>3225</v>
      </c>
      <c r="W77" s="4129">
        <v>23.53</v>
      </c>
      <c r="X77" s="4129">
        <v>7.28</v>
      </c>
      <c r="Z77" s="4124">
        <v>76</v>
      </c>
      <c r="AA77" s="4127" t="s">
        <v>3845</v>
      </c>
      <c r="AB77" s="4126" t="s">
        <v>3844</v>
      </c>
      <c r="AC77" s="4126">
        <v>-1203</v>
      </c>
      <c r="AD77" s="4127" t="s">
        <v>3846</v>
      </c>
      <c r="AE77" s="4130">
        <v>32.72</v>
      </c>
      <c r="AF77" s="4130">
        <v>10.119999999999999</v>
      </c>
    </row>
    <row r="78" spans="1:32" ht="15">
      <c r="A78" s="4595">
        <v>77</v>
      </c>
      <c r="B78" s="4595">
        <v>5</v>
      </c>
      <c r="C78" s="4595">
        <v>2</v>
      </c>
      <c r="D78" s="4595">
        <v>1001</v>
      </c>
      <c r="E78" s="4595" t="s">
        <v>3276</v>
      </c>
      <c r="F78" s="4596">
        <v>267.10000000000002</v>
      </c>
      <c r="G78" s="4596">
        <v>82.59</v>
      </c>
      <c r="H78" s="4133">
        <f t="shared" si="4"/>
        <v>0.30921003369524519</v>
      </c>
      <c r="R78" s="4124">
        <v>77</v>
      </c>
      <c r="S78" s="4124">
        <v>7</v>
      </c>
      <c r="T78" s="4124" t="s">
        <v>3844</v>
      </c>
      <c r="U78" s="4124">
        <v>103</v>
      </c>
      <c r="V78" s="4124" t="s">
        <v>3225</v>
      </c>
      <c r="W78" s="4129">
        <v>51.49</v>
      </c>
      <c r="X78" s="4129">
        <v>15.92</v>
      </c>
      <c r="Z78" s="4124">
        <v>77</v>
      </c>
      <c r="AA78" s="4127" t="s">
        <v>3845</v>
      </c>
      <c r="AB78" s="4126" t="s">
        <v>3844</v>
      </c>
      <c r="AC78" s="4126">
        <v>-1204</v>
      </c>
      <c r="AD78" s="4127" t="s">
        <v>3846</v>
      </c>
      <c r="AE78" s="4130">
        <v>32.72</v>
      </c>
      <c r="AF78" s="4130">
        <v>10.119999999999999</v>
      </c>
    </row>
    <row r="79" spans="1:32" ht="15">
      <c r="A79" s="4595">
        <v>78</v>
      </c>
      <c r="B79" s="4595">
        <v>5</v>
      </c>
      <c r="C79" s="4595" t="s">
        <v>3844</v>
      </c>
      <c r="D79" s="4595">
        <v>120</v>
      </c>
      <c r="E79" s="4595" t="s">
        <v>3225</v>
      </c>
      <c r="F79" s="4596">
        <v>15.75</v>
      </c>
      <c r="G79" s="4596">
        <v>4.87</v>
      </c>
      <c r="H79" s="4133">
        <f t="shared" si="4"/>
        <v>0.30920634920634921</v>
      </c>
      <c r="R79" s="4124">
        <v>78</v>
      </c>
      <c r="S79" s="4124">
        <v>7</v>
      </c>
      <c r="T79" s="4124" t="s">
        <v>3844</v>
      </c>
      <c r="U79" s="4124">
        <v>104</v>
      </c>
      <c r="V79" s="4124" t="s">
        <v>3225</v>
      </c>
      <c r="W79" s="4129">
        <v>37.659999999999997</v>
      </c>
      <c r="X79" s="4129">
        <v>11.64</v>
      </c>
      <c r="Z79" s="4124">
        <v>78</v>
      </c>
      <c r="AA79" s="4127" t="s">
        <v>3845</v>
      </c>
      <c r="AB79" s="4126" t="s">
        <v>3844</v>
      </c>
      <c r="AC79" s="4126">
        <v>-1205</v>
      </c>
      <c r="AD79" s="4127" t="s">
        <v>3846</v>
      </c>
      <c r="AE79" s="4130">
        <v>32.72</v>
      </c>
      <c r="AF79" s="4130">
        <v>10.119999999999999</v>
      </c>
    </row>
    <row r="80" spans="1:32" ht="15">
      <c r="A80" s="4595">
        <v>79</v>
      </c>
      <c r="B80" s="4595">
        <v>5</v>
      </c>
      <c r="C80" s="4595" t="s">
        <v>3844</v>
      </c>
      <c r="D80" s="4595">
        <v>121</v>
      </c>
      <c r="E80" s="4595" t="s">
        <v>3225</v>
      </c>
      <c r="F80" s="4596">
        <v>11.31</v>
      </c>
      <c r="G80" s="4596">
        <v>3.5</v>
      </c>
      <c r="H80" s="4133">
        <f t="shared" si="4"/>
        <v>0.30946065428824049</v>
      </c>
      <c r="R80" s="4124">
        <v>79</v>
      </c>
      <c r="S80" s="4124">
        <v>7</v>
      </c>
      <c r="T80" s="4124" t="s">
        <v>3844</v>
      </c>
      <c r="U80" s="4124">
        <v>106</v>
      </c>
      <c r="V80" s="4124" t="s">
        <v>3225</v>
      </c>
      <c r="W80" s="4129">
        <v>41.14</v>
      </c>
      <c r="X80" s="4129">
        <v>12.72</v>
      </c>
      <c r="Z80" s="4124">
        <v>79</v>
      </c>
      <c r="AA80" s="4127" t="s">
        <v>3845</v>
      </c>
      <c r="AB80" s="4126" t="s">
        <v>3844</v>
      </c>
      <c r="AC80" s="4126">
        <v>-1206</v>
      </c>
      <c r="AD80" s="4127" t="s">
        <v>3846</v>
      </c>
      <c r="AE80" s="4130">
        <v>32.72</v>
      </c>
      <c r="AF80" s="4130">
        <v>10.119999999999999</v>
      </c>
    </row>
    <row r="81" spans="1:32" ht="15">
      <c r="A81" s="4595">
        <v>80</v>
      </c>
      <c r="B81" s="4595">
        <v>5</v>
      </c>
      <c r="C81" s="4595" t="s">
        <v>3844</v>
      </c>
      <c r="D81" s="4595">
        <v>101</v>
      </c>
      <c r="E81" s="4595" t="s">
        <v>3225</v>
      </c>
      <c r="F81" s="4596">
        <v>91.56</v>
      </c>
      <c r="G81" s="4596">
        <v>28.31</v>
      </c>
      <c r="H81" s="4133">
        <f t="shared" si="4"/>
        <v>0.30919615552643076</v>
      </c>
      <c r="R81" s="4124">
        <v>80</v>
      </c>
      <c r="S81" s="4124">
        <v>7</v>
      </c>
      <c r="T81" s="4124" t="s">
        <v>3844</v>
      </c>
      <c r="U81" s="4124">
        <v>107</v>
      </c>
      <c r="V81" s="4124" t="s">
        <v>3225</v>
      </c>
      <c r="W81" s="4129">
        <v>16.100000000000001</v>
      </c>
      <c r="X81" s="4129">
        <v>4.9800000000000004</v>
      </c>
      <c r="Z81" s="4124">
        <v>80</v>
      </c>
      <c r="AA81" s="4127" t="s">
        <v>3845</v>
      </c>
      <c r="AB81" s="4126" t="s">
        <v>3844</v>
      </c>
      <c r="AC81" s="4126">
        <v>-1209</v>
      </c>
      <c r="AD81" s="4127" t="s">
        <v>3846</v>
      </c>
      <c r="AE81" s="4130">
        <v>32.72</v>
      </c>
      <c r="AF81" s="4130">
        <v>10.119999999999999</v>
      </c>
    </row>
    <row r="82" spans="1:32" ht="15">
      <c r="A82" s="4595">
        <v>81</v>
      </c>
      <c r="B82" s="4595">
        <v>5</v>
      </c>
      <c r="C82" s="4595" t="s">
        <v>3844</v>
      </c>
      <c r="D82" s="4595">
        <v>102</v>
      </c>
      <c r="E82" s="4595" t="s">
        <v>3225</v>
      </c>
      <c r="F82" s="4596">
        <v>32.880000000000003</v>
      </c>
      <c r="G82" s="4596">
        <v>10.17</v>
      </c>
      <c r="H82" s="4133">
        <f t="shared" si="4"/>
        <v>0.30930656934306566</v>
      </c>
      <c r="R82" s="4124">
        <v>81</v>
      </c>
      <c r="S82" s="4124">
        <v>7</v>
      </c>
      <c r="T82" s="4124" t="s">
        <v>3844</v>
      </c>
      <c r="U82" s="4124">
        <v>108</v>
      </c>
      <c r="V82" s="4124" t="s">
        <v>3225</v>
      </c>
      <c r="W82" s="4129">
        <v>23.74</v>
      </c>
      <c r="X82" s="4129">
        <v>7.34</v>
      </c>
      <c r="Z82" s="4124">
        <v>81</v>
      </c>
      <c r="AA82" s="4127" t="s">
        <v>3845</v>
      </c>
      <c r="AB82" s="4126" t="s">
        <v>3844</v>
      </c>
      <c r="AC82" s="4126">
        <v>-1210</v>
      </c>
      <c r="AD82" s="4127" t="s">
        <v>3846</v>
      </c>
      <c r="AE82" s="4130">
        <v>32.72</v>
      </c>
      <c r="AF82" s="4130">
        <v>10.119999999999999</v>
      </c>
    </row>
    <row r="83" spans="1:32" ht="15">
      <c r="A83" s="4595">
        <v>82</v>
      </c>
      <c r="B83" s="4595">
        <v>5</v>
      </c>
      <c r="C83" s="4595" t="s">
        <v>3844</v>
      </c>
      <c r="D83" s="4595">
        <v>103</v>
      </c>
      <c r="E83" s="4595" t="s">
        <v>3225</v>
      </c>
      <c r="F83" s="4596">
        <v>42.16</v>
      </c>
      <c r="G83" s="4596">
        <v>13.04</v>
      </c>
      <c r="H83" s="4133">
        <f t="shared" si="4"/>
        <v>0.30929791271347251</v>
      </c>
      <c r="R83" s="4124">
        <v>82</v>
      </c>
      <c r="S83" s="4124">
        <v>7</v>
      </c>
      <c r="T83" s="4124" t="s">
        <v>3844</v>
      </c>
      <c r="U83" s="4124">
        <v>110</v>
      </c>
      <c r="V83" s="4124" t="s">
        <v>3225</v>
      </c>
      <c r="W83" s="4129">
        <v>32.33</v>
      </c>
      <c r="X83" s="4129">
        <v>10</v>
      </c>
      <c r="Z83" s="4124">
        <v>82</v>
      </c>
      <c r="AA83" s="4127" t="s">
        <v>3845</v>
      </c>
      <c r="AB83" s="4126" t="s">
        <v>3844</v>
      </c>
      <c r="AC83" s="4126">
        <v>-1211</v>
      </c>
      <c r="AD83" s="4127" t="s">
        <v>3846</v>
      </c>
      <c r="AE83" s="4130">
        <v>32.72</v>
      </c>
      <c r="AF83" s="4130">
        <v>10.119999999999999</v>
      </c>
    </row>
    <row r="84" spans="1:32" ht="15">
      <c r="A84" s="4595">
        <v>83</v>
      </c>
      <c r="B84" s="4595">
        <v>5</v>
      </c>
      <c r="C84" s="4595" t="s">
        <v>3844</v>
      </c>
      <c r="D84" s="4595">
        <v>104</v>
      </c>
      <c r="E84" s="4595" t="s">
        <v>3225</v>
      </c>
      <c r="F84" s="4596">
        <v>55.93</v>
      </c>
      <c r="G84" s="4596">
        <v>17.29</v>
      </c>
      <c r="H84" s="4133">
        <f t="shared" si="4"/>
        <v>0.30913642052565704</v>
      </c>
      <c r="R84" s="4124">
        <v>83</v>
      </c>
      <c r="S84" s="4124">
        <v>7</v>
      </c>
      <c r="T84" s="4124" t="s">
        <v>3844</v>
      </c>
      <c r="U84" s="4124">
        <v>111</v>
      </c>
      <c r="V84" s="4124" t="s">
        <v>3225</v>
      </c>
      <c r="W84" s="4129">
        <v>77.95</v>
      </c>
      <c r="X84" s="4129">
        <v>24.1</v>
      </c>
      <c r="Z84" s="4124">
        <v>83</v>
      </c>
      <c r="AA84" s="4127" t="s">
        <v>3845</v>
      </c>
      <c r="AB84" s="4126" t="s">
        <v>3844</v>
      </c>
      <c r="AC84" s="4126">
        <v>-1212</v>
      </c>
      <c r="AD84" s="4127" t="s">
        <v>3846</v>
      </c>
      <c r="AE84" s="4130">
        <v>32.72</v>
      </c>
      <c r="AF84" s="4130">
        <v>10.119999999999999</v>
      </c>
    </row>
    <row r="85" spans="1:32" ht="15">
      <c r="A85" s="4595">
        <v>84</v>
      </c>
      <c r="B85" s="4595">
        <v>5</v>
      </c>
      <c r="C85" s="4595" t="s">
        <v>3844</v>
      </c>
      <c r="D85" s="4595">
        <v>110</v>
      </c>
      <c r="E85" s="4595" t="s">
        <v>3225</v>
      </c>
      <c r="F85" s="4596">
        <v>79.92</v>
      </c>
      <c r="G85" s="4596">
        <v>24.71</v>
      </c>
      <c r="H85" s="4133">
        <f t="shared" si="4"/>
        <v>0.3091841841841842</v>
      </c>
      <c r="R85" s="4124">
        <v>84</v>
      </c>
      <c r="S85" s="4124">
        <v>7</v>
      </c>
      <c r="T85" s="4124" t="s">
        <v>3844</v>
      </c>
      <c r="U85" s="4124">
        <v>112</v>
      </c>
      <c r="V85" s="4124" t="s">
        <v>3225</v>
      </c>
      <c r="W85" s="4129">
        <v>13.54</v>
      </c>
      <c r="X85" s="4129">
        <v>4.1900000000000004</v>
      </c>
      <c r="Z85" s="4124">
        <v>84</v>
      </c>
      <c r="AA85" s="4127" t="s">
        <v>3845</v>
      </c>
      <c r="AB85" s="4126" t="s">
        <v>3844</v>
      </c>
      <c r="AC85" s="4126">
        <v>-1213</v>
      </c>
      <c r="AD85" s="4127" t="s">
        <v>3846</v>
      </c>
      <c r="AE85" s="4130">
        <v>32.72</v>
      </c>
      <c r="AF85" s="4130">
        <v>10.119999999999999</v>
      </c>
    </row>
    <row r="86" spans="1:32" ht="15">
      <c r="A86" s="4595">
        <v>85</v>
      </c>
      <c r="B86" s="4595">
        <v>5</v>
      </c>
      <c r="C86" s="4595" t="s">
        <v>3844</v>
      </c>
      <c r="D86" s="4595">
        <v>111</v>
      </c>
      <c r="E86" s="4595" t="s">
        <v>3225</v>
      </c>
      <c r="F86" s="4596">
        <v>56.51</v>
      </c>
      <c r="G86" s="4596">
        <v>17.47</v>
      </c>
      <c r="H86" s="4133">
        <f t="shared" si="4"/>
        <v>0.30914882321712972</v>
      </c>
      <c r="R86" s="4124">
        <v>85</v>
      </c>
      <c r="S86" s="4124">
        <v>7</v>
      </c>
      <c r="T86" s="4124" t="s">
        <v>3844</v>
      </c>
      <c r="U86" s="4124">
        <v>202</v>
      </c>
      <c r="V86" s="4124" t="s">
        <v>3225</v>
      </c>
      <c r="W86" s="4129">
        <v>38.5</v>
      </c>
      <c r="X86" s="4129">
        <v>11.9</v>
      </c>
      <c r="Z86" s="4124">
        <v>85</v>
      </c>
      <c r="AA86" s="4127" t="s">
        <v>3845</v>
      </c>
      <c r="AB86" s="4126" t="s">
        <v>3844</v>
      </c>
      <c r="AC86" s="4126">
        <v>-1214</v>
      </c>
      <c r="AD86" s="4127" t="s">
        <v>3846</v>
      </c>
      <c r="AE86" s="4130">
        <v>32.72</v>
      </c>
      <c r="AF86" s="4130">
        <v>10.119999999999999</v>
      </c>
    </row>
    <row r="87" spans="1:32" ht="15">
      <c r="A87" s="4595">
        <v>86</v>
      </c>
      <c r="B87" s="4595">
        <v>5</v>
      </c>
      <c r="C87" s="4595" t="s">
        <v>3844</v>
      </c>
      <c r="D87" s="4595">
        <v>112</v>
      </c>
      <c r="E87" s="4595" t="s">
        <v>3225</v>
      </c>
      <c r="F87" s="4596">
        <v>56.89</v>
      </c>
      <c r="G87" s="4596">
        <v>17.59</v>
      </c>
      <c r="H87" s="4133">
        <f t="shared" si="4"/>
        <v>0.3091931798207066</v>
      </c>
      <c r="R87" s="4124">
        <v>86</v>
      </c>
      <c r="S87" s="4124">
        <v>7</v>
      </c>
      <c r="T87" s="4124" t="s">
        <v>3844</v>
      </c>
      <c r="U87" s="4124">
        <v>203</v>
      </c>
      <c r="V87" s="4124" t="s">
        <v>3225</v>
      </c>
      <c r="W87" s="4129">
        <v>38.5</v>
      </c>
      <c r="X87" s="4129">
        <v>11.9</v>
      </c>
      <c r="Z87" s="4124">
        <v>86</v>
      </c>
      <c r="AA87" s="4127" t="s">
        <v>3845</v>
      </c>
      <c r="AB87" s="4126" t="s">
        <v>3844</v>
      </c>
      <c r="AC87" s="4126">
        <v>-1217</v>
      </c>
      <c r="AD87" s="4127" t="s">
        <v>3846</v>
      </c>
      <c r="AE87" s="4130">
        <v>32.72</v>
      </c>
      <c r="AF87" s="4130">
        <v>10.119999999999999</v>
      </c>
    </row>
    <row r="88" spans="1:32" ht="15">
      <c r="A88" s="4595">
        <v>87</v>
      </c>
      <c r="B88" s="4595">
        <v>5</v>
      </c>
      <c r="C88" s="4595" t="s">
        <v>3844</v>
      </c>
      <c r="D88" s="4595">
        <v>113</v>
      </c>
      <c r="E88" s="4595" t="s">
        <v>3225</v>
      </c>
      <c r="F88" s="4596">
        <v>57.81</v>
      </c>
      <c r="G88" s="4596">
        <v>17.87</v>
      </c>
      <c r="H88" s="4133">
        <f t="shared" si="4"/>
        <v>0.30911606988410312</v>
      </c>
      <c r="R88" s="4124">
        <v>87</v>
      </c>
      <c r="S88" s="4124">
        <v>7</v>
      </c>
      <c r="T88" s="4124" t="s">
        <v>3844</v>
      </c>
      <c r="U88" s="4124">
        <v>204</v>
      </c>
      <c r="V88" s="4124" t="s">
        <v>3225</v>
      </c>
      <c r="W88" s="4129">
        <v>45.07</v>
      </c>
      <c r="X88" s="4129">
        <v>13.94</v>
      </c>
      <c r="Z88" s="4124">
        <v>87</v>
      </c>
      <c r="AA88" s="4127" t="s">
        <v>3845</v>
      </c>
      <c r="AB88" s="4126" t="s">
        <v>3844</v>
      </c>
      <c r="AC88" s="4126">
        <v>-1218</v>
      </c>
      <c r="AD88" s="4127" t="s">
        <v>3846</v>
      </c>
      <c r="AE88" s="4130">
        <v>32.72</v>
      </c>
      <c r="AF88" s="4130">
        <v>10.119999999999999</v>
      </c>
    </row>
    <row r="89" spans="1:32" ht="15">
      <c r="A89" s="4595">
        <v>88</v>
      </c>
      <c r="B89" s="4595">
        <v>5</v>
      </c>
      <c r="C89" s="4595" t="s">
        <v>3844</v>
      </c>
      <c r="D89" s="4595">
        <v>114</v>
      </c>
      <c r="E89" s="4595" t="s">
        <v>3225</v>
      </c>
      <c r="F89" s="4596">
        <v>61.63</v>
      </c>
      <c r="G89" s="4596">
        <v>19.059999999999999</v>
      </c>
      <c r="H89" s="4133">
        <f t="shared" si="4"/>
        <v>0.30926496835956513</v>
      </c>
      <c r="R89" s="4124">
        <v>88</v>
      </c>
      <c r="S89" s="4124">
        <v>7</v>
      </c>
      <c r="T89" s="4124" t="s">
        <v>3844</v>
      </c>
      <c r="U89" s="4124">
        <v>205</v>
      </c>
      <c r="V89" s="4124" t="s">
        <v>3225</v>
      </c>
      <c r="W89" s="4129">
        <v>56.85</v>
      </c>
      <c r="X89" s="4129">
        <v>17.579999999999998</v>
      </c>
      <c r="Z89" s="4124">
        <v>88</v>
      </c>
      <c r="AA89" s="4127" t="s">
        <v>3845</v>
      </c>
      <c r="AB89" s="4126" t="s">
        <v>3844</v>
      </c>
      <c r="AC89" s="4126">
        <v>-1219</v>
      </c>
      <c r="AD89" s="4127" t="s">
        <v>3846</v>
      </c>
      <c r="AE89" s="4130">
        <v>32.72</v>
      </c>
      <c r="AF89" s="4130">
        <v>10.119999999999999</v>
      </c>
    </row>
    <row r="90" spans="1:32" ht="15">
      <c r="A90" s="4595">
        <v>89</v>
      </c>
      <c r="B90" s="4595">
        <v>5</v>
      </c>
      <c r="C90" s="4595" t="s">
        <v>3844</v>
      </c>
      <c r="D90" s="4595">
        <v>115</v>
      </c>
      <c r="E90" s="4595" t="s">
        <v>3225</v>
      </c>
      <c r="F90" s="4596">
        <v>55.93</v>
      </c>
      <c r="G90" s="4596">
        <v>17.29</v>
      </c>
      <c r="H90" s="4133">
        <f t="shared" si="4"/>
        <v>0.30913642052565704</v>
      </c>
      <c r="R90" s="4124">
        <v>89</v>
      </c>
      <c r="S90" s="4124">
        <v>7</v>
      </c>
      <c r="T90" s="4124" t="s">
        <v>3844</v>
      </c>
      <c r="U90" s="4124">
        <v>206</v>
      </c>
      <c r="V90" s="4124" t="s">
        <v>3225</v>
      </c>
      <c r="W90" s="4129">
        <v>69.22</v>
      </c>
      <c r="X90" s="4129">
        <v>21.4</v>
      </c>
      <c r="Z90" s="4124">
        <v>89</v>
      </c>
      <c r="AA90" s="4127" t="s">
        <v>3845</v>
      </c>
      <c r="AB90" s="4126" t="s">
        <v>3844</v>
      </c>
      <c r="AC90" s="4126">
        <v>-1222</v>
      </c>
      <c r="AD90" s="4127" t="s">
        <v>3846</v>
      </c>
      <c r="AE90" s="4130">
        <v>32.72</v>
      </c>
      <c r="AF90" s="4130">
        <v>10.119999999999999</v>
      </c>
    </row>
    <row r="91" spans="1:32" ht="15">
      <c r="A91" s="4595">
        <v>90</v>
      </c>
      <c r="B91" s="4595">
        <v>5</v>
      </c>
      <c r="C91" s="4595" t="s">
        <v>3844</v>
      </c>
      <c r="D91" s="4595">
        <v>116</v>
      </c>
      <c r="E91" s="4595" t="s">
        <v>3225</v>
      </c>
      <c r="F91" s="4596">
        <v>42.16</v>
      </c>
      <c r="G91" s="4596">
        <v>13.04</v>
      </c>
      <c r="H91" s="4133">
        <f t="shared" si="4"/>
        <v>0.30929791271347251</v>
      </c>
      <c r="R91" s="4124">
        <v>90</v>
      </c>
      <c r="S91" s="4124">
        <v>7</v>
      </c>
      <c r="T91" s="4124" t="s">
        <v>3844</v>
      </c>
      <c r="U91" s="4124">
        <v>207</v>
      </c>
      <c r="V91" s="4124" t="s">
        <v>3225</v>
      </c>
      <c r="W91" s="4129">
        <v>23.76</v>
      </c>
      <c r="X91" s="4129">
        <v>7.35</v>
      </c>
      <c r="Z91" s="4124">
        <v>90</v>
      </c>
      <c r="AA91" s="4127" t="s">
        <v>3845</v>
      </c>
      <c r="AB91" s="4126" t="s">
        <v>3844</v>
      </c>
      <c r="AC91" s="4126">
        <v>-1226</v>
      </c>
      <c r="AD91" s="4127" t="s">
        <v>3846</v>
      </c>
      <c r="AE91" s="4130">
        <v>32.72</v>
      </c>
      <c r="AF91" s="4130">
        <v>10.119999999999999</v>
      </c>
    </row>
    <row r="92" spans="1:32" ht="15">
      <c r="A92" s="4595">
        <v>91</v>
      </c>
      <c r="B92" s="4595">
        <v>5</v>
      </c>
      <c r="C92" s="4595" t="s">
        <v>3844</v>
      </c>
      <c r="D92" s="4595">
        <v>117</v>
      </c>
      <c r="E92" s="4595" t="s">
        <v>3225</v>
      </c>
      <c r="F92" s="4596">
        <v>37.89</v>
      </c>
      <c r="G92" s="4596">
        <v>11.72</v>
      </c>
      <c r="H92" s="4133">
        <f t="shared" si="4"/>
        <v>0.30931644233306943</v>
      </c>
      <c r="R92" s="4124">
        <v>91</v>
      </c>
      <c r="S92" s="4124">
        <v>7</v>
      </c>
      <c r="T92" s="4124" t="s">
        <v>3844</v>
      </c>
      <c r="U92" s="4124">
        <v>209</v>
      </c>
      <c r="V92" s="4124" t="s">
        <v>3225</v>
      </c>
      <c r="W92" s="4129">
        <v>16.850000000000001</v>
      </c>
      <c r="X92" s="4129">
        <v>5.21</v>
      </c>
      <c r="Z92" s="4124">
        <v>91</v>
      </c>
      <c r="AA92" s="4127" t="s">
        <v>3845</v>
      </c>
      <c r="AB92" s="4126" t="s">
        <v>3844</v>
      </c>
      <c r="AC92" s="4126">
        <v>-1227</v>
      </c>
      <c r="AD92" s="4127" t="s">
        <v>3846</v>
      </c>
      <c r="AE92" s="4130">
        <v>32.72</v>
      </c>
      <c r="AF92" s="4130">
        <v>10.119999999999999</v>
      </c>
    </row>
    <row r="93" spans="1:32" ht="15">
      <c r="A93" s="4595">
        <v>92</v>
      </c>
      <c r="B93" s="4595">
        <v>5</v>
      </c>
      <c r="C93" s="4595" t="s">
        <v>3844</v>
      </c>
      <c r="D93" s="4595">
        <v>118</v>
      </c>
      <c r="E93" s="4595" t="s">
        <v>3225</v>
      </c>
      <c r="F93" s="4596">
        <v>86.37</v>
      </c>
      <c r="G93" s="4596">
        <v>26.71</v>
      </c>
      <c r="H93" s="4133">
        <f t="shared" si="4"/>
        <v>0.30925089730230404</v>
      </c>
      <c r="R93" s="4124">
        <v>92</v>
      </c>
      <c r="S93" s="4124">
        <v>7</v>
      </c>
      <c r="T93" s="4124" t="s">
        <v>3844</v>
      </c>
      <c r="U93" s="4124">
        <v>210</v>
      </c>
      <c r="V93" s="4124" t="s">
        <v>3225</v>
      </c>
      <c r="W93" s="4129">
        <v>18.39</v>
      </c>
      <c r="X93" s="4129">
        <v>5.69</v>
      </c>
      <c r="Z93" s="4124">
        <v>92</v>
      </c>
      <c r="AA93" s="4127" t="s">
        <v>3845</v>
      </c>
      <c r="AB93" s="4126" t="s">
        <v>3844</v>
      </c>
      <c r="AC93" s="4126">
        <v>-1228</v>
      </c>
      <c r="AD93" s="4127" t="s">
        <v>3846</v>
      </c>
      <c r="AE93" s="4130">
        <v>32.72</v>
      </c>
      <c r="AF93" s="4130">
        <v>10.119999999999999</v>
      </c>
    </row>
    <row r="94" spans="1:32" ht="15">
      <c r="A94" s="4595">
        <v>93</v>
      </c>
      <c r="B94" s="4595">
        <v>5</v>
      </c>
      <c r="C94" s="4595" t="s">
        <v>3844</v>
      </c>
      <c r="D94" s="4595">
        <v>119</v>
      </c>
      <c r="E94" s="4595" t="s">
        <v>3225</v>
      </c>
      <c r="F94" s="4596">
        <v>41.54</v>
      </c>
      <c r="G94" s="4596">
        <v>12.84</v>
      </c>
      <c r="H94" s="4133">
        <f t="shared" si="4"/>
        <v>0.30909966297544533</v>
      </c>
      <c r="R94" s="4124">
        <v>93</v>
      </c>
      <c r="S94" s="4124">
        <v>7</v>
      </c>
      <c r="T94" s="4124" t="s">
        <v>3844</v>
      </c>
      <c r="U94" s="4124">
        <v>211</v>
      </c>
      <c r="V94" s="4124" t="s">
        <v>3225</v>
      </c>
      <c r="W94" s="4129">
        <v>15.38</v>
      </c>
      <c r="X94" s="4129">
        <v>4.76</v>
      </c>
      <c r="Z94" s="4124">
        <v>93</v>
      </c>
      <c r="AA94" s="4127" t="s">
        <v>3845</v>
      </c>
      <c r="AB94" s="4126" t="s">
        <v>3844</v>
      </c>
      <c r="AC94" s="4126">
        <v>-1232</v>
      </c>
      <c r="AD94" s="4127" t="s">
        <v>3846</v>
      </c>
      <c r="AE94" s="4130">
        <v>32.72</v>
      </c>
      <c r="AF94" s="4130">
        <v>10.119999999999999</v>
      </c>
    </row>
    <row r="95" spans="1:32" ht="15">
      <c r="A95" s="4595">
        <v>94</v>
      </c>
      <c r="B95" s="4595">
        <v>5</v>
      </c>
      <c r="C95" s="4595" t="s">
        <v>3844</v>
      </c>
      <c r="D95" s="4595">
        <v>205</v>
      </c>
      <c r="E95" s="4595" t="s">
        <v>3225</v>
      </c>
      <c r="F95" s="4596">
        <v>9.0299999999999994</v>
      </c>
      <c r="G95" s="4596">
        <v>2.79</v>
      </c>
      <c r="H95" s="4133">
        <f t="shared" si="4"/>
        <v>0.30897009966777411</v>
      </c>
      <c r="R95" s="4124">
        <v>94</v>
      </c>
      <c r="S95" s="4124">
        <v>7</v>
      </c>
      <c r="T95" s="4124" t="s">
        <v>3844</v>
      </c>
      <c r="U95" s="4124">
        <v>212</v>
      </c>
      <c r="V95" s="4124" t="s">
        <v>3225</v>
      </c>
      <c r="W95" s="4129">
        <v>17.34</v>
      </c>
      <c r="X95" s="4129">
        <v>5.36</v>
      </c>
      <c r="Z95" s="4124">
        <v>94</v>
      </c>
      <c r="AA95" s="4127" t="s">
        <v>3845</v>
      </c>
      <c r="AB95" s="4126" t="s">
        <v>3844</v>
      </c>
      <c r="AC95" s="4126">
        <v>-1235</v>
      </c>
      <c r="AD95" s="4127" t="s">
        <v>3846</v>
      </c>
      <c r="AE95" s="4130">
        <v>32.72</v>
      </c>
      <c r="AF95" s="4130">
        <v>10.119999999999999</v>
      </c>
    </row>
    <row r="96" spans="1:32" ht="15">
      <c r="A96" s="4595">
        <v>95</v>
      </c>
      <c r="B96" s="4595">
        <v>6</v>
      </c>
      <c r="C96" s="4595" t="s">
        <v>3844</v>
      </c>
      <c r="D96" s="4595">
        <v>201</v>
      </c>
      <c r="E96" s="4595" t="s">
        <v>3225</v>
      </c>
      <c r="F96" s="4596">
        <v>13.31</v>
      </c>
      <c r="G96" s="4596">
        <v>4.12</v>
      </c>
      <c r="H96" s="4133">
        <f t="shared" si="4"/>
        <v>0.30954169797145004</v>
      </c>
      <c r="R96" s="4124">
        <v>95</v>
      </c>
      <c r="S96" s="4124">
        <v>7</v>
      </c>
      <c r="T96" s="4124" t="s">
        <v>3844</v>
      </c>
      <c r="U96" s="4124">
        <v>213</v>
      </c>
      <c r="V96" s="4124" t="s">
        <v>3225</v>
      </c>
      <c r="W96" s="4129">
        <v>28.06</v>
      </c>
      <c r="X96" s="4129">
        <v>8.68</v>
      </c>
      <c r="Z96" s="4124">
        <v>95</v>
      </c>
      <c r="AA96" s="4127" t="s">
        <v>3845</v>
      </c>
      <c r="AB96" s="4126" t="s">
        <v>3844</v>
      </c>
      <c r="AC96" s="4126">
        <v>-1238</v>
      </c>
      <c r="AD96" s="4127" t="s">
        <v>3846</v>
      </c>
      <c r="AE96" s="4130">
        <v>32.72</v>
      </c>
      <c r="AF96" s="4130">
        <v>10.119999999999999</v>
      </c>
    </row>
    <row r="97" spans="1:32" ht="15">
      <c r="A97" s="4595">
        <v>96</v>
      </c>
      <c r="B97" s="4595">
        <v>6</v>
      </c>
      <c r="C97" s="4595" t="s">
        <v>3844</v>
      </c>
      <c r="D97" s="4595">
        <v>203</v>
      </c>
      <c r="E97" s="4595" t="s">
        <v>3225</v>
      </c>
      <c r="F97" s="4596">
        <v>17.75</v>
      </c>
      <c r="G97" s="4596">
        <v>5.49</v>
      </c>
      <c r="H97" s="4133">
        <f t="shared" si="4"/>
        <v>0.30929577464788732</v>
      </c>
      <c r="R97" s="4124">
        <v>96</v>
      </c>
      <c r="S97" s="4124">
        <v>7</v>
      </c>
      <c r="T97" s="4124" t="s">
        <v>3844</v>
      </c>
      <c r="U97" s="4124">
        <v>214</v>
      </c>
      <c r="V97" s="4124" t="s">
        <v>3225</v>
      </c>
      <c r="W97" s="4129">
        <v>28.06</v>
      </c>
      <c r="X97" s="4129">
        <v>8.68</v>
      </c>
      <c r="Z97" s="4124">
        <v>96</v>
      </c>
      <c r="AA97" s="4127" t="s">
        <v>3845</v>
      </c>
      <c r="AB97" s="4126" t="s">
        <v>3844</v>
      </c>
      <c r="AC97" s="4126">
        <v>-1240</v>
      </c>
      <c r="AD97" s="4127" t="s">
        <v>3846</v>
      </c>
      <c r="AE97" s="4130">
        <v>32.72</v>
      </c>
      <c r="AF97" s="4130">
        <v>10.119999999999999</v>
      </c>
    </row>
    <row r="98" spans="1:32" ht="15">
      <c r="A98" s="4595">
        <v>97</v>
      </c>
      <c r="B98" s="4595">
        <v>6</v>
      </c>
      <c r="C98" s="4595" t="s">
        <v>3844</v>
      </c>
      <c r="D98" s="4595">
        <v>204</v>
      </c>
      <c r="E98" s="4595" t="s">
        <v>3225</v>
      </c>
      <c r="F98" s="4596">
        <v>17.34</v>
      </c>
      <c r="G98" s="4596">
        <v>5.36</v>
      </c>
      <c r="H98" s="4133">
        <f t="shared" si="4"/>
        <v>0.3091118800461361</v>
      </c>
      <c r="R98" s="4124">
        <v>97</v>
      </c>
      <c r="S98" s="4124">
        <v>7</v>
      </c>
      <c r="T98" s="4124" t="s">
        <v>3844</v>
      </c>
      <c r="U98" s="4124">
        <v>215</v>
      </c>
      <c r="V98" s="4124" t="s">
        <v>3225</v>
      </c>
      <c r="W98" s="4129">
        <v>17.34</v>
      </c>
      <c r="X98" s="4129">
        <v>5.36</v>
      </c>
      <c r="Z98" s="4124">
        <v>97</v>
      </c>
      <c r="AA98" s="4127" t="s">
        <v>3845</v>
      </c>
      <c r="AB98" s="4126" t="s">
        <v>3844</v>
      </c>
      <c r="AC98" s="4126">
        <v>-1241</v>
      </c>
      <c r="AD98" s="4127" t="s">
        <v>3846</v>
      </c>
      <c r="AE98" s="4130">
        <v>32.72</v>
      </c>
      <c r="AF98" s="4130">
        <v>10.119999999999999</v>
      </c>
    </row>
    <row r="99" spans="1:32" ht="15">
      <c r="A99" s="4595">
        <v>98</v>
      </c>
      <c r="B99" s="4595">
        <v>6</v>
      </c>
      <c r="C99" s="4595" t="s">
        <v>3844</v>
      </c>
      <c r="D99" s="4595">
        <v>205</v>
      </c>
      <c r="E99" s="4595" t="s">
        <v>3225</v>
      </c>
      <c r="F99" s="4596">
        <v>24.02</v>
      </c>
      <c r="G99" s="4596">
        <v>7.43</v>
      </c>
      <c r="H99" s="4133">
        <f t="shared" si="4"/>
        <v>0.3093255620316403</v>
      </c>
      <c r="R99" s="4124">
        <v>98</v>
      </c>
      <c r="S99" s="4124">
        <v>7</v>
      </c>
      <c r="T99" s="4124" t="s">
        <v>3844</v>
      </c>
      <c r="U99" s="4124">
        <v>216</v>
      </c>
      <c r="V99" s="4124" t="s">
        <v>3225</v>
      </c>
      <c r="W99" s="4129">
        <v>17.239999999999998</v>
      </c>
      <c r="X99" s="4129">
        <v>5.33</v>
      </c>
      <c r="Z99" s="4124">
        <v>98</v>
      </c>
      <c r="AA99" s="4127" t="s">
        <v>3845</v>
      </c>
      <c r="AB99" s="4126" t="s">
        <v>3844</v>
      </c>
      <c r="AC99" s="4126">
        <v>-1242</v>
      </c>
      <c r="AD99" s="4127" t="s">
        <v>3846</v>
      </c>
      <c r="AE99" s="4130">
        <v>32.72</v>
      </c>
      <c r="AF99" s="4130">
        <v>10.119999999999999</v>
      </c>
    </row>
    <row r="100" spans="1:32" ht="15">
      <c r="A100" s="4595">
        <v>99</v>
      </c>
      <c r="B100" s="4595">
        <v>6</v>
      </c>
      <c r="C100" s="4595" t="s">
        <v>3844</v>
      </c>
      <c r="D100" s="4595">
        <v>207</v>
      </c>
      <c r="E100" s="4595" t="s">
        <v>3225</v>
      </c>
      <c r="F100" s="4596">
        <v>25.22</v>
      </c>
      <c r="G100" s="4596">
        <v>7.8</v>
      </c>
      <c r="H100" s="4133">
        <f t="shared" si="4"/>
        <v>0.30927835051546393</v>
      </c>
      <c r="R100" s="4124">
        <v>99</v>
      </c>
      <c r="S100" s="4124">
        <v>7</v>
      </c>
      <c r="T100" s="4124" t="s">
        <v>3844</v>
      </c>
      <c r="U100" s="4124">
        <v>217</v>
      </c>
      <c r="V100" s="4124" t="s">
        <v>3225</v>
      </c>
      <c r="W100" s="4129">
        <v>19.079999999999998</v>
      </c>
      <c r="X100" s="4129">
        <v>5.9</v>
      </c>
      <c r="Z100" s="4124">
        <v>99</v>
      </c>
      <c r="AA100" s="4127" t="s">
        <v>3845</v>
      </c>
      <c r="AB100" s="4126" t="s">
        <v>3844</v>
      </c>
      <c r="AC100" s="4126">
        <v>-1243</v>
      </c>
      <c r="AD100" s="4127" t="s">
        <v>3846</v>
      </c>
      <c r="AE100" s="4130">
        <v>32.72</v>
      </c>
      <c r="AF100" s="4130">
        <v>10.119999999999999</v>
      </c>
    </row>
    <row r="101" spans="1:32" ht="15">
      <c r="A101" s="4595">
        <v>100</v>
      </c>
      <c r="B101" s="4595">
        <v>6</v>
      </c>
      <c r="C101" s="4595" t="s">
        <v>3844</v>
      </c>
      <c r="D101" s="4595">
        <v>209</v>
      </c>
      <c r="E101" s="4595" t="s">
        <v>3225</v>
      </c>
      <c r="F101" s="4596">
        <v>29.44</v>
      </c>
      <c r="G101" s="4596">
        <v>9.1</v>
      </c>
      <c r="H101" s="4133">
        <f t="shared" si="4"/>
        <v>0.30910326086956519</v>
      </c>
      <c r="R101" s="4124">
        <v>100</v>
      </c>
      <c r="S101" s="4124">
        <v>7</v>
      </c>
      <c r="T101" s="4124" t="s">
        <v>3844</v>
      </c>
      <c r="U101" s="4124">
        <v>218</v>
      </c>
      <c r="V101" s="4124" t="s">
        <v>3225</v>
      </c>
      <c r="W101" s="4129">
        <v>16.16</v>
      </c>
      <c r="X101" s="4129">
        <v>5</v>
      </c>
      <c r="Z101" s="4124">
        <v>100</v>
      </c>
      <c r="AA101" s="4127" t="s">
        <v>3845</v>
      </c>
      <c r="AB101" s="4126" t="s">
        <v>3844</v>
      </c>
      <c r="AC101" s="4126">
        <v>-1244</v>
      </c>
      <c r="AD101" s="4127" t="s">
        <v>3846</v>
      </c>
      <c r="AE101" s="4130">
        <v>32.72</v>
      </c>
      <c r="AF101" s="4130">
        <v>10.119999999999999</v>
      </c>
    </row>
    <row r="102" spans="1:32" ht="15">
      <c r="A102" s="4595">
        <v>101</v>
      </c>
      <c r="B102" s="4595">
        <v>6</v>
      </c>
      <c r="C102" s="4595" t="s">
        <v>3844</v>
      </c>
      <c r="D102" s="4595">
        <v>211</v>
      </c>
      <c r="E102" s="4595" t="s">
        <v>3225</v>
      </c>
      <c r="F102" s="4596">
        <v>21.19</v>
      </c>
      <c r="G102" s="4596">
        <v>6.55</v>
      </c>
      <c r="H102" s="4133">
        <f t="shared" si="4"/>
        <v>0.30910806984426614</v>
      </c>
      <c r="R102" s="4124">
        <v>101</v>
      </c>
      <c r="S102" s="4124">
        <v>8</v>
      </c>
      <c r="T102" s="4124" t="s">
        <v>3844</v>
      </c>
      <c r="U102" s="4124">
        <v>114</v>
      </c>
      <c r="V102" s="4124" t="s">
        <v>3225</v>
      </c>
      <c r="W102" s="4129">
        <v>14.2</v>
      </c>
      <c r="X102" s="4129">
        <v>4.3899999999999997</v>
      </c>
      <c r="Z102" s="4124">
        <v>101</v>
      </c>
      <c r="AA102" s="4127" t="s">
        <v>3845</v>
      </c>
      <c r="AB102" s="4126" t="s">
        <v>3844</v>
      </c>
      <c r="AC102" s="4126">
        <v>-1248</v>
      </c>
      <c r="AD102" s="4127" t="s">
        <v>3846</v>
      </c>
      <c r="AE102" s="4130">
        <v>32.72</v>
      </c>
      <c r="AF102" s="4130">
        <v>10.119999999999999</v>
      </c>
    </row>
    <row r="103" spans="1:32" ht="15">
      <c r="A103" s="4595">
        <v>102</v>
      </c>
      <c r="B103" s="4595">
        <v>7</v>
      </c>
      <c r="C103" s="4595" t="s">
        <v>3844</v>
      </c>
      <c r="D103" s="4595">
        <v>101</v>
      </c>
      <c r="E103" s="4595" t="s">
        <v>3225</v>
      </c>
      <c r="F103" s="4596">
        <v>23.53</v>
      </c>
      <c r="G103" s="4596">
        <v>7.28</v>
      </c>
      <c r="H103" s="4133">
        <f t="shared" si="4"/>
        <v>0.30939226519337015</v>
      </c>
      <c r="R103" s="4124">
        <v>102</v>
      </c>
      <c r="S103" s="4124">
        <v>8</v>
      </c>
      <c r="T103" s="4124" t="s">
        <v>3844</v>
      </c>
      <c r="U103" s="4124">
        <v>203</v>
      </c>
      <c r="V103" s="4124" t="s">
        <v>3225</v>
      </c>
      <c r="W103" s="4129">
        <v>19.29</v>
      </c>
      <c r="X103" s="4129">
        <v>5.96</v>
      </c>
      <c r="Z103" s="4124">
        <v>102</v>
      </c>
      <c r="AA103" s="4127" t="s">
        <v>3845</v>
      </c>
      <c r="AB103" s="4126" t="s">
        <v>3844</v>
      </c>
      <c r="AC103" s="4126">
        <v>-1252</v>
      </c>
      <c r="AD103" s="4127" t="s">
        <v>3846</v>
      </c>
      <c r="AE103" s="4130">
        <v>32.72</v>
      </c>
      <c r="AF103" s="4130">
        <v>10.119999999999999</v>
      </c>
    </row>
    <row r="104" spans="1:32" ht="15">
      <c r="A104" s="4595">
        <v>103</v>
      </c>
      <c r="B104" s="4595">
        <v>7</v>
      </c>
      <c r="C104" s="4595" t="s">
        <v>3844</v>
      </c>
      <c r="D104" s="4595">
        <v>103</v>
      </c>
      <c r="E104" s="4595" t="s">
        <v>3225</v>
      </c>
      <c r="F104" s="4596">
        <v>51.49</v>
      </c>
      <c r="G104" s="4596">
        <v>15.92</v>
      </c>
      <c r="H104" s="4133">
        <f t="shared" si="4"/>
        <v>0.30918624975723441</v>
      </c>
      <c r="R104" s="4124">
        <v>103</v>
      </c>
      <c r="S104" s="4124">
        <v>8</v>
      </c>
      <c r="T104" s="4124" t="s">
        <v>3844</v>
      </c>
      <c r="U104" s="4124">
        <v>204</v>
      </c>
      <c r="V104" s="4124" t="s">
        <v>3225</v>
      </c>
      <c r="W104" s="4129">
        <v>19.29</v>
      </c>
      <c r="X104" s="4129">
        <v>5.96</v>
      </c>
      <c r="Z104" s="4124">
        <v>103</v>
      </c>
      <c r="AA104" s="4127" t="s">
        <v>3845</v>
      </c>
      <c r="AB104" s="4126" t="s">
        <v>3844</v>
      </c>
      <c r="AC104" s="4126">
        <v>-1253</v>
      </c>
      <c r="AD104" s="4127" t="s">
        <v>3846</v>
      </c>
      <c r="AE104" s="4130">
        <v>32.72</v>
      </c>
      <c r="AF104" s="4130">
        <v>10.119999999999999</v>
      </c>
    </row>
    <row r="105" spans="1:32" ht="15">
      <c r="A105" s="4595">
        <v>104</v>
      </c>
      <c r="B105" s="4595">
        <v>7</v>
      </c>
      <c r="C105" s="4595" t="s">
        <v>3844</v>
      </c>
      <c r="D105" s="4595">
        <v>104</v>
      </c>
      <c r="E105" s="4595" t="s">
        <v>3225</v>
      </c>
      <c r="F105" s="4596">
        <v>37.659999999999997</v>
      </c>
      <c r="G105" s="4596">
        <v>11.64</v>
      </c>
      <c r="H105" s="4133">
        <f t="shared" si="4"/>
        <v>0.30908125331917158</v>
      </c>
      <c r="R105" s="4124">
        <v>104</v>
      </c>
      <c r="S105" s="4124">
        <v>8</v>
      </c>
      <c r="T105" s="4124" t="s">
        <v>3844</v>
      </c>
      <c r="U105" s="4124">
        <v>205</v>
      </c>
      <c r="V105" s="4124" t="s">
        <v>3225</v>
      </c>
      <c r="W105" s="4129">
        <v>19.29</v>
      </c>
      <c r="X105" s="4129">
        <v>5.96</v>
      </c>
      <c r="Z105" s="4124">
        <v>104</v>
      </c>
      <c r="AA105" s="4127" t="s">
        <v>3845</v>
      </c>
      <c r="AB105" s="4126" t="s">
        <v>3844</v>
      </c>
      <c r="AC105" s="4126">
        <v>-1256</v>
      </c>
      <c r="AD105" s="4127" t="s">
        <v>3846</v>
      </c>
      <c r="AE105" s="4130">
        <v>32.72</v>
      </c>
      <c r="AF105" s="4130">
        <v>10.119999999999999</v>
      </c>
    </row>
    <row r="106" spans="1:32" ht="15">
      <c r="A106" s="4595">
        <v>105</v>
      </c>
      <c r="B106" s="4595">
        <v>7</v>
      </c>
      <c r="C106" s="4595" t="s">
        <v>3844</v>
      </c>
      <c r="D106" s="4595">
        <v>106</v>
      </c>
      <c r="E106" s="4595" t="s">
        <v>3225</v>
      </c>
      <c r="F106" s="4596">
        <v>41.14</v>
      </c>
      <c r="G106" s="4596">
        <v>12.72</v>
      </c>
      <c r="H106" s="4133">
        <f t="shared" si="4"/>
        <v>0.30918813806514345</v>
      </c>
      <c r="R106" s="4124">
        <v>105</v>
      </c>
      <c r="S106" s="4124">
        <v>8</v>
      </c>
      <c r="T106" s="4124" t="s">
        <v>3844</v>
      </c>
      <c r="U106" s="4124">
        <v>209</v>
      </c>
      <c r="V106" s="4124" t="s">
        <v>3225</v>
      </c>
      <c r="W106" s="4129">
        <v>20.14</v>
      </c>
      <c r="X106" s="4129">
        <v>6.23</v>
      </c>
      <c r="Z106" s="4124">
        <v>105</v>
      </c>
      <c r="AA106" s="4127" t="s">
        <v>3845</v>
      </c>
      <c r="AB106" s="4126" t="s">
        <v>3844</v>
      </c>
      <c r="AC106" s="4126">
        <v>-1257</v>
      </c>
      <c r="AD106" s="4127" t="s">
        <v>3846</v>
      </c>
      <c r="AE106" s="4130">
        <v>32.72</v>
      </c>
      <c r="AF106" s="4130">
        <v>10.119999999999999</v>
      </c>
    </row>
    <row r="107" spans="1:32" ht="15">
      <c r="A107" s="4595">
        <v>106</v>
      </c>
      <c r="B107" s="4595">
        <v>7</v>
      </c>
      <c r="C107" s="4595" t="s">
        <v>3844</v>
      </c>
      <c r="D107" s="4595">
        <v>107</v>
      </c>
      <c r="E107" s="4595" t="s">
        <v>3225</v>
      </c>
      <c r="F107" s="4596">
        <v>16.100000000000001</v>
      </c>
      <c r="G107" s="4596">
        <v>4.9800000000000004</v>
      </c>
      <c r="H107" s="4133">
        <f t="shared" si="4"/>
        <v>0.30931677018633541</v>
      </c>
      <c r="R107" s="4124">
        <v>106</v>
      </c>
      <c r="S107" s="4124">
        <v>8</v>
      </c>
      <c r="T107" s="4124" t="s">
        <v>3844</v>
      </c>
      <c r="U107" s="4124">
        <v>211</v>
      </c>
      <c r="V107" s="4124" t="s">
        <v>3225</v>
      </c>
      <c r="W107" s="4129">
        <v>10.68</v>
      </c>
      <c r="X107" s="4129">
        <v>3.3</v>
      </c>
      <c r="Z107" s="4124">
        <v>106</v>
      </c>
      <c r="AA107" s="4127" t="s">
        <v>3845</v>
      </c>
      <c r="AB107" s="4126" t="s">
        <v>3844</v>
      </c>
      <c r="AC107" s="4126">
        <v>-1258</v>
      </c>
      <c r="AD107" s="4127" t="s">
        <v>3846</v>
      </c>
      <c r="AE107" s="4130">
        <v>32.72</v>
      </c>
      <c r="AF107" s="4130">
        <v>10.119999999999999</v>
      </c>
    </row>
    <row r="108" spans="1:32" ht="15">
      <c r="A108" s="4595">
        <v>107</v>
      </c>
      <c r="B108" s="4595">
        <v>7</v>
      </c>
      <c r="C108" s="4595" t="s">
        <v>3844</v>
      </c>
      <c r="D108" s="4595">
        <v>108</v>
      </c>
      <c r="E108" s="4595" t="s">
        <v>3225</v>
      </c>
      <c r="F108" s="4596">
        <v>23.74</v>
      </c>
      <c r="G108" s="4596">
        <v>7.34</v>
      </c>
      <c r="H108" s="4133">
        <f t="shared" si="4"/>
        <v>0.30918281381634372</v>
      </c>
      <c r="R108" s="4124">
        <v>107</v>
      </c>
      <c r="S108" s="4124">
        <v>8</v>
      </c>
      <c r="T108" s="4124" t="s">
        <v>3844</v>
      </c>
      <c r="U108" s="4124">
        <v>213</v>
      </c>
      <c r="V108" s="4124" t="s">
        <v>3225</v>
      </c>
      <c r="W108" s="4129">
        <v>11.49</v>
      </c>
      <c r="X108" s="4129">
        <v>3.55</v>
      </c>
      <c r="Z108" s="4124">
        <v>107</v>
      </c>
      <c r="AA108" s="4127" t="s">
        <v>3845</v>
      </c>
      <c r="AB108" s="4126" t="s">
        <v>3844</v>
      </c>
      <c r="AC108" s="4126">
        <v>-1259</v>
      </c>
      <c r="AD108" s="4127" t="s">
        <v>3846</v>
      </c>
      <c r="AE108" s="4130">
        <v>32.72</v>
      </c>
      <c r="AF108" s="4130">
        <v>10.119999999999999</v>
      </c>
    </row>
    <row r="109" spans="1:32" ht="15">
      <c r="A109" s="4595">
        <v>108</v>
      </c>
      <c r="B109" s="4595">
        <v>7</v>
      </c>
      <c r="C109" s="4595" t="s">
        <v>3844</v>
      </c>
      <c r="D109" s="4595">
        <v>110</v>
      </c>
      <c r="E109" s="4595" t="s">
        <v>3225</v>
      </c>
      <c r="F109" s="4596">
        <v>32.33</v>
      </c>
      <c r="G109" s="4596">
        <v>10</v>
      </c>
      <c r="H109" s="4133">
        <f t="shared" si="4"/>
        <v>0.30931023816888342</v>
      </c>
      <c r="R109" s="4124">
        <v>108</v>
      </c>
      <c r="S109" s="4124">
        <v>8</v>
      </c>
      <c r="T109" s="4124" t="s">
        <v>3844</v>
      </c>
      <c r="U109" s="4124">
        <v>217</v>
      </c>
      <c r="V109" s="4124" t="s">
        <v>3225</v>
      </c>
      <c r="W109" s="4129">
        <v>13.01</v>
      </c>
      <c r="X109" s="4129">
        <v>4.0199999999999996</v>
      </c>
      <c r="Z109" s="4124">
        <v>108</v>
      </c>
      <c r="AA109" s="4127" t="s">
        <v>3845</v>
      </c>
      <c r="AB109" s="4126" t="s">
        <v>3844</v>
      </c>
      <c r="AC109" s="4126">
        <v>-1260</v>
      </c>
      <c r="AD109" s="4127" t="s">
        <v>3846</v>
      </c>
      <c r="AE109" s="4130">
        <v>32.72</v>
      </c>
      <c r="AF109" s="4130">
        <v>10.119999999999999</v>
      </c>
    </row>
    <row r="110" spans="1:32" ht="15">
      <c r="A110" s="4595">
        <v>109</v>
      </c>
      <c r="B110" s="4595">
        <v>7</v>
      </c>
      <c r="C110" s="4595" t="s">
        <v>3844</v>
      </c>
      <c r="D110" s="4595">
        <v>111</v>
      </c>
      <c r="E110" s="4595" t="s">
        <v>3225</v>
      </c>
      <c r="F110" s="4596">
        <v>77.95</v>
      </c>
      <c r="G110" s="4596">
        <v>24.1</v>
      </c>
      <c r="H110" s="4133">
        <f t="shared" si="4"/>
        <v>0.30917254650416937</v>
      </c>
      <c r="R110" s="4124">
        <v>109</v>
      </c>
      <c r="S110" s="4124">
        <v>8</v>
      </c>
      <c r="T110" s="4124" t="s">
        <v>3844</v>
      </c>
      <c r="U110" s="4124">
        <v>101</v>
      </c>
      <c r="V110" s="4124" t="s">
        <v>3225</v>
      </c>
      <c r="W110" s="4129">
        <v>91.37</v>
      </c>
      <c r="X110" s="4129">
        <v>28.25</v>
      </c>
      <c r="Z110" s="4124">
        <v>109</v>
      </c>
      <c r="AA110" s="4127" t="s">
        <v>3845</v>
      </c>
      <c r="AB110" s="4126" t="s">
        <v>3844</v>
      </c>
      <c r="AC110" s="4126">
        <v>-1261</v>
      </c>
      <c r="AD110" s="4127" t="s">
        <v>3846</v>
      </c>
      <c r="AE110" s="4130">
        <v>32.72</v>
      </c>
      <c r="AF110" s="4130">
        <v>10.119999999999999</v>
      </c>
    </row>
    <row r="111" spans="1:32" ht="15">
      <c r="A111" s="4595">
        <v>110</v>
      </c>
      <c r="B111" s="4595">
        <v>7</v>
      </c>
      <c r="C111" s="4595" t="s">
        <v>3844</v>
      </c>
      <c r="D111" s="4595">
        <v>112</v>
      </c>
      <c r="E111" s="4595" t="s">
        <v>3225</v>
      </c>
      <c r="F111" s="4596">
        <v>13.54</v>
      </c>
      <c r="G111" s="4596">
        <v>4.1900000000000004</v>
      </c>
      <c r="H111" s="4133">
        <f t="shared" si="4"/>
        <v>0.309453471196455</v>
      </c>
      <c r="R111" s="4124">
        <v>110</v>
      </c>
      <c r="S111" s="4124">
        <v>8</v>
      </c>
      <c r="T111" s="4124" t="s">
        <v>3844</v>
      </c>
      <c r="U111" s="4124">
        <v>102</v>
      </c>
      <c r="V111" s="4124" t="s">
        <v>3225</v>
      </c>
      <c r="W111" s="4129">
        <v>73.180000000000007</v>
      </c>
      <c r="X111" s="4129">
        <v>22.63</v>
      </c>
      <c r="Z111" s="4124">
        <v>110</v>
      </c>
      <c r="AA111" s="4127" t="s">
        <v>3845</v>
      </c>
      <c r="AB111" s="4126" t="s">
        <v>3844</v>
      </c>
      <c r="AC111" s="4126">
        <v>-1262</v>
      </c>
      <c r="AD111" s="4127" t="s">
        <v>3846</v>
      </c>
      <c r="AE111" s="4130">
        <v>32.72</v>
      </c>
      <c r="AF111" s="4130">
        <v>10.119999999999999</v>
      </c>
    </row>
    <row r="112" spans="1:32" ht="15">
      <c r="A112" s="4595">
        <v>111</v>
      </c>
      <c r="B112" s="4595">
        <v>7</v>
      </c>
      <c r="C112" s="4595" t="s">
        <v>3844</v>
      </c>
      <c r="D112" s="4595">
        <v>202</v>
      </c>
      <c r="E112" s="4595" t="s">
        <v>3225</v>
      </c>
      <c r="F112" s="4596">
        <v>38.5</v>
      </c>
      <c r="G112" s="4596">
        <v>11.9</v>
      </c>
      <c r="H112" s="4133">
        <f t="shared" si="4"/>
        <v>0.30909090909090908</v>
      </c>
      <c r="R112" s="4124">
        <v>111</v>
      </c>
      <c r="S112" s="4124">
        <v>8</v>
      </c>
      <c r="T112" s="4124" t="s">
        <v>3844</v>
      </c>
      <c r="U112" s="4124">
        <v>103</v>
      </c>
      <c r="V112" s="4124" t="s">
        <v>3225</v>
      </c>
      <c r="W112" s="4129">
        <v>64.069999999999993</v>
      </c>
      <c r="X112" s="4129">
        <v>19.809999999999999</v>
      </c>
      <c r="Z112" s="4124">
        <v>111</v>
      </c>
      <c r="AA112" s="4127" t="s">
        <v>3845</v>
      </c>
      <c r="AB112" s="4126" t="s">
        <v>3844</v>
      </c>
      <c r="AC112" s="4126">
        <v>-1263</v>
      </c>
      <c r="AD112" s="4127" t="s">
        <v>3846</v>
      </c>
      <c r="AE112" s="4130">
        <v>32.72</v>
      </c>
      <c r="AF112" s="4130">
        <v>10.119999999999999</v>
      </c>
    </row>
    <row r="113" spans="1:32" ht="15">
      <c r="A113" s="4595">
        <v>112</v>
      </c>
      <c r="B113" s="4595">
        <v>7</v>
      </c>
      <c r="C113" s="4595" t="s">
        <v>3844</v>
      </c>
      <c r="D113" s="4595">
        <v>203</v>
      </c>
      <c r="E113" s="4595" t="s">
        <v>3225</v>
      </c>
      <c r="F113" s="4596">
        <v>38.5</v>
      </c>
      <c r="G113" s="4596">
        <v>11.9</v>
      </c>
      <c r="H113" s="4133">
        <f t="shared" si="4"/>
        <v>0.30909090909090908</v>
      </c>
      <c r="R113" s="4124">
        <v>112</v>
      </c>
      <c r="S113" s="4124">
        <v>8</v>
      </c>
      <c r="T113" s="4124" t="s">
        <v>3844</v>
      </c>
      <c r="U113" s="4124">
        <v>104</v>
      </c>
      <c r="V113" s="4124" t="s">
        <v>3225</v>
      </c>
      <c r="W113" s="4129">
        <v>63.05</v>
      </c>
      <c r="X113" s="4129">
        <v>19.5</v>
      </c>
      <c r="Z113" s="4124">
        <v>112</v>
      </c>
      <c r="AA113" s="4127" t="s">
        <v>3845</v>
      </c>
      <c r="AB113" s="4126" t="s">
        <v>3844</v>
      </c>
      <c r="AC113" s="4126">
        <v>-1264</v>
      </c>
      <c r="AD113" s="4127" t="s">
        <v>3846</v>
      </c>
      <c r="AE113" s="4130">
        <v>32.72</v>
      </c>
      <c r="AF113" s="4130">
        <v>10.119999999999999</v>
      </c>
    </row>
    <row r="114" spans="1:32" ht="15">
      <c r="A114" s="4595">
        <v>113</v>
      </c>
      <c r="B114" s="4595">
        <v>7</v>
      </c>
      <c r="C114" s="4595" t="s">
        <v>3844</v>
      </c>
      <c r="D114" s="4595">
        <v>204</v>
      </c>
      <c r="E114" s="4595" t="s">
        <v>3225</v>
      </c>
      <c r="F114" s="4596">
        <v>45.07</v>
      </c>
      <c r="G114" s="4596">
        <v>13.94</v>
      </c>
      <c r="H114" s="4133">
        <f t="shared" si="4"/>
        <v>0.30929664965609049</v>
      </c>
      <c r="R114" s="4124">
        <v>113</v>
      </c>
      <c r="S114" s="4124">
        <v>8</v>
      </c>
      <c r="T114" s="4124" t="s">
        <v>3844</v>
      </c>
      <c r="U114" s="4124">
        <v>105</v>
      </c>
      <c r="V114" s="4124" t="s">
        <v>3225</v>
      </c>
      <c r="W114" s="4129">
        <v>62.68</v>
      </c>
      <c r="X114" s="4129">
        <v>19.38</v>
      </c>
      <c r="Z114" s="4124">
        <v>113</v>
      </c>
      <c r="AA114" s="4127" t="s">
        <v>3845</v>
      </c>
      <c r="AB114" s="4126" t="s">
        <v>3844</v>
      </c>
      <c r="AC114" s="4126">
        <v>-1267</v>
      </c>
      <c r="AD114" s="4127" t="s">
        <v>3846</v>
      </c>
      <c r="AE114" s="4130">
        <v>32.72</v>
      </c>
      <c r="AF114" s="4130">
        <v>10.119999999999999</v>
      </c>
    </row>
    <row r="115" spans="1:32" ht="15">
      <c r="A115" s="4595">
        <v>114</v>
      </c>
      <c r="B115" s="4595">
        <v>7</v>
      </c>
      <c r="C115" s="4595" t="s">
        <v>3844</v>
      </c>
      <c r="D115" s="4595">
        <v>205</v>
      </c>
      <c r="E115" s="4595" t="s">
        <v>3225</v>
      </c>
      <c r="F115" s="4596">
        <v>56.85</v>
      </c>
      <c r="G115" s="4596">
        <v>17.579999999999998</v>
      </c>
      <c r="H115" s="4133">
        <f t="shared" si="4"/>
        <v>0.30923482849604217</v>
      </c>
      <c r="R115" s="4124">
        <v>114</v>
      </c>
      <c r="S115" s="4124">
        <v>8</v>
      </c>
      <c r="T115" s="4124" t="s">
        <v>3844</v>
      </c>
      <c r="U115" s="4124">
        <v>106</v>
      </c>
      <c r="V115" s="4124" t="s">
        <v>3225</v>
      </c>
      <c r="W115" s="4129">
        <v>88.51</v>
      </c>
      <c r="X115" s="4129">
        <v>27.37</v>
      </c>
      <c r="Z115" s="4124">
        <v>114</v>
      </c>
      <c r="AA115" s="4127" t="s">
        <v>3845</v>
      </c>
      <c r="AB115" s="4126" t="s">
        <v>3844</v>
      </c>
      <c r="AC115" s="4126">
        <v>-1271</v>
      </c>
      <c r="AD115" s="4127" t="s">
        <v>3846</v>
      </c>
      <c r="AE115" s="4130">
        <v>32.72</v>
      </c>
      <c r="AF115" s="4130">
        <v>10.119999999999999</v>
      </c>
    </row>
    <row r="116" spans="1:32" ht="15">
      <c r="A116" s="4595">
        <v>115</v>
      </c>
      <c r="B116" s="4595">
        <v>7</v>
      </c>
      <c r="C116" s="4595" t="s">
        <v>3844</v>
      </c>
      <c r="D116" s="4595">
        <v>206</v>
      </c>
      <c r="E116" s="4595" t="s">
        <v>3225</v>
      </c>
      <c r="F116" s="4596">
        <v>69.22</v>
      </c>
      <c r="G116" s="4596">
        <v>21.4</v>
      </c>
      <c r="H116" s="4133">
        <f t="shared" si="4"/>
        <v>0.30915920254261775</v>
      </c>
      <c r="R116" s="4124">
        <v>115</v>
      </c>
      <c r="S116" s="4124">
        <v>8</v>
      </c>
      <c r="T116" s="4124" t="s">
        <v>3844</v>
      </c>
      <c r="U116" s="4124">
        <v>107</v>
      </c>
      <c r="V116" s="4124" t="s">
        <v>3225</v>
      </c>
      <c r="W116" s="4129">
        <v>88.51</v>
      </c>
      <c r="X116" s="4129">
        <v>27.37</v>
      </c>
      <c r="Z116" s="4124">
        <v>115</v>
      </c>
      <c r="AA116" s="4127" t="s">
        <v>3845</v>
      </c>
      <c r="AB116" s="4126" t="s">
        <v>3844</v>
      </c>
      <c r="AC116" s="4126">
        <v>-1272</v>
      </c>
      <c r="AD116" s="4127" t="s">
        <v>3846</v>
      </c>
      <c r="AE116" s="4130">
        <v>32.72</v>
      </c>
      <c r="AF116" s="4130">
        <v>10.119999999999999</v>
      </c>
    </row>
    <row r="117" spans="1:32" ht="15">
      <c r="A117" s="4595">
        <v>116</v>
      </c>
      <c r="B117" s="4595">
        <v>7</v>
      </c>
      <c r="C117" s="4595" t="s">
        <v>3844</v>
      </c>
      <c r="D117" s="4595">
        <v>207</v>
      </c>
      <c r="E117" s="4595" t="s">
        <v>3225</v>
      </c>
      <c r="F117" s="4596">
        <v>23.76</v>
      </c>
      <c r="G117" s="4596">
        <v>7.35</v>
      </c>
      <c r="H117" s="4133">
        <f t="shared" si="4"/>
        <v>0.30934343434343431</v>
      </c>
      <c r="R117" s="4124">
        <v>116</v>
      </c>
      <c r="S117" s="4124">
        <v>8</v>
      </c>
      <c r="T117" s="4124" t="s">
        <v>3844</v>
      </c>
      <c r="U117" s="4124">
        <v>108</v>
      </c>
      <c r="V117" s="4124" t="s">
        <v>3225</v>
      </c>
      <c r="W117" s="4129">
        <v>62.68</v>
      </c>
      <c r="X117" s="4129">
        <v>19.38</v>
      </c>
      <c r="Z117" s="4124">
        <v>116</v>
      </c>
      <c r="AA117" s="4127" t="s">
        <v>3845</v>
      </c>
      <c r="AB117" s="4126" t="s">
        <v>3844</v>
      </c>
      <c r="AC117" s="4126">
        <v>-1276</v>
      </c>
      <c r="AD117" s="4127" t="s">
        <v>3846</v>
      </c>
      <c r="AE117" s="4130">
        <v>32.72</v>
      </c>
      <c r="AF117" s="4130">
        <v>10.119999999999999</v>
      </c>
    </row>
    <row r="118" spans="1:32" ht="15">
      <c r="A118" s="4595">
        <v>117</v>
      </c>
      <c r="B118" s="4595">
        <v>7</v>
      </c>
      <c r="C118" s="4595" t="s">
        <v>3844</v>
      </c>
      <c r="D118" s="4595">
        <v>209</v>
      </c>
      <c r="E118" s="4595" t="s">
        <v>3225</v>
      </c>
      <c r="F118" s="4596">
        <v>16.850000000000001</v>
      </c>
      <c r="G118" s="4596">
        <v>5.21</v>
      </c>
      <c r="H118" s="4133">
        <f t="shared" si="4"/>
        <v>0.30919881305637981</v>
      </c>
      <c r="R118" s="4124">
        <v>117</v>
      </c>
      <c r="S118" s="4124">
        <v>8</v>
      </c>
      <c r="T118" s="4124" t="s">
        <v>3844</v>
      </c>
      <c r="U118" s="4124">
        <v>109</v>
      </c>
      <c r="V118" s="4124" t="s">
        <v>3225</v>
      </c>
      <c r="W118" s="4129">
        <v>63.05</v>
      </c>
      <c r="X118" s="4129">
        <v>19.5</v>
      </c>
      <c r="Z118" s="4124">
        <v>117</v>
      </c>
      <c r="AA118" s="4127" t="s">
        <v>3845</v>
      </c>
      <c r="AB118" s="4126" t="s">
        <v>3844</v>
      </c>
      <c r="AC118" s="4126">
        <v>-1277</v>
      </c>
      <c r="AD118" s="4127" t="s">
        <v>3846</v>
      </c>
      <c r="AE118" s="4130">
        <v>32.72</v>
      </c>
      <c r="AF118" s="4130">
        <v>10.119999999999999</v>
      </c>
    </row>
    <row r="119" spans="1:32" ht="15">
      <c r="A119" s="4595">
        <v>118</v>
      </c>
      <c r="B119" s="4595">
        <v>7</v>
      </c>
      <c r="C119" s="4595" t="s">
        <v>3844</v>
      </c>
      <c r="D119" s="4595">
        <v>210</v>
      </c>
      <c r="E119" s="4595" t="s">
        <v>3225</v>
      </c>
      <c r="F119" s="4596">
        <v>18.39</v>
      </c>
      <c r="G119" s="4596">
        <v>5.69</v>
      </c>
      <c r="H119" s="4133">
        <f t="shared" si="4"/>
        <v>0.30940728656878741</v>
      </c>
      <c r="R119" s="4124">
        <v>118</v>
      </c>
      <c r="S119" s="4124">
        <v>8</v>
      </c>
      <c r="T119" s="4124" t="s">
        <v>3844</v>
      </c>
      <c r="U119" s="4124">
        <v>110</v>
      </c>
      <c r="V119" s="4124" t="s">
        <v>3225</v>
      </c>
      <c r="W119" s="4129">
        <v>64.069999999999993</v>
      </c>
      <c r="X119" s="4129">
        <v>19.809999999999999</v>
      </c>
      <c r="Z119" s="4124">
        <v>118</v>
      </c>
      <c r="AA119" s="4127" t="s">
        <v>3845</v>
      </c>
      <c r="AB119" s="4126" t="s">
        <v>3844</v>
      </c>
      <c r="AC119" s="4126">
        <v>-1278</v>
      </c>
      <c r="AD119" s="4127" t="s">
        <v>3846</v>
      </c>
      <c r="AE119" s="4130">
        <v>32.72</v>
      </c>
      <c r="AF119" s="4130">
        <v>10.119999999999999</v>
      </c>
    </row>
    <row r="120" spans="1:32" ht="15">
      <c r="A120" s="4595">
        <v>119</v>
      </c>
      <c r="B120" s="4595">
        <v>7</v>
      </c>
      <c r="C120" s="4595" t="s">
        <v>3844</v>
      </c>
      <c r="D120" s="4595">
        <v>211</v>
      </c>
      <c r="E120" s="4595" t="s">
        <v>3225</v>
      </c>
      <c r="F120" s="4596">
        <v>15.38</v>
      </c>
      <c r="G120" s="4596">
        <v>4.76</v>
      </c>
      <c r="H120" s="4133">
        <f t="shared" si="4"/>
        <v>0.30949284785435627</v>
      </c>
      <c r="R120" s="4124">
        <v>119</v>
      </c>
      <c r="S120" s="4124">
        <v>8</v>
      </c>
      <c r="T120" s="4124" t="s">
        <v>3844</v>
      </c>
      <c r="U120" s="4124">
        <v>111</v>
      </c>
      <c r="V120" s="4124" t="s">
        <v>3225</v>
      </c>
      <c r="W120" s="4129">
        <v>45.08</v>
      </c>
      <c r="X120" s="4129">
        <v>13.94</v>
      </c>
      <c r="Z120" s="4124">
        <v>119</v>
      </c>
      <c r="AA120" s="4127" t="s">
        <v>3845</v>
      </c>
      <c r="AB120" s="4126" t="s">
        <v>3844</v>
      </c>
      <c r="AC120" s="4126">
        <v>-1279</v>
      </c>
      <c r="AD120" s="4127" t="s">
        <v>3846</v>
      </c>
      <c r="AE120" s="4130">
        <v>32.72</v>
      </c>
      <c r="AF120" s="4130">
        <v>10.119999999999999</v>
      </c>
    </row>
    <row r="121" spans="1:32" ht="15">
      <c r="A121" s="4595">
        <v>120</v>
      </c>
      <c r="B121" s="4595">
        <v>7</v>
      </c>
      <c r="C121" s="4595" t="s">
        <v>3844</v>
      </c>
      <c r="D121" s="4595">
        <v>212</v>
      </c>
      <c r="E121" s="4595" t="s">
        <v>3225</v>
      </c>
      <c r="F121" s="4596">
        <v>17.34</v>
      </c>
      <c r="G121" s="4596">
        <v>5.36</v>
      </c>
      <c r="H121" s="4133">
        <f t="shared" si="4"/>
        <v>0.3091118800461361</v>
      </c>
      <c r="R121" s="4124">
        <v>120</v>
      </c>
      <c r="S121" s="4124">
        <v>8</v>
      </c>
      <c r="T121" s="4124" t="s">
        <v>3844</v>
      </c>
      <c r="U121" s="4124">
        <v>112</v>
      </c>
      <c r="V121" s="4124" t="s">
        <v>3225</v>
      </c>
      <c r="W121" s="4129">
        <v>43.68</v>
      </c>
      <c r="X121" s="4129">
        <v>13.51</v>
      </c>
      <c r="Z121" s="4124">
        <v>120</v>
      </c>
      <c r="AA121" s="4127" t="s">
        <v>3845</v>
      </c>
      <c r="AB121" s="4126" t="s">
        <v>3844</v>
      </c>
      <c r="AC121" s="4126">
        <v>-1280</v>
      </c>
      <c r="AD121" s="4127" t="s">
        <v>3846</v>
      </c>
      <c r="AE121" s="4130">
        <v>32.72</v>
      </c>
      <c r="AF121" s="4130">
        <v>10.119999999999999</v>
      </c>
    </row>
    <row r="122" spans="1:32" ht="15">
      <c r="A122" s="4595">
        <v>121</v>
      </c>
      <c r="B122" s="4595">
        <v>7</v>
      </c>
      <c r="C122" s="4595" t="s">
        <v>3844</v>
      </c>
      <c r="D122" s="4595">
        <v>213</v>
      </c>
      <c r="E122" s="4595" t="s">
        <v>3225</v>
      </c>
      <c r="F122" s="4596">
        <v>28.06</v>
      </c>
      <c r="G122" s="4596">
        <v>8.68</v>
      </c>
      <c r="H122" s="4133">
        <f t="shared" si="4"/>
        <v>0.30933713471133284</v>
      </c>
      <c r="R122" s="4124">
        <v>121</v>
      </c>
      <c r="S122" s="4124">
        <v>8</v>
      </c>
      <c r="T122" s="4124" t="s">
        <v>3844</v>
      </c>
      <c r="U122" s="4124">
        <v>113</v>
      </c>
      <c r="V122" s="4124" t="s">
        <v>3225</v>
      </c>
      <c r="W122" s="4129">
        <v>95.72</v>
      </c>
      <c r="X122" s="4129">
        <v>29.6</v>
      </c>
      <c r="Z122" s="4124">
        <v>121</v>
      </c>
      <c r="AA122" s="4127" t="s">
        <v>3845</v>
      </c>
      <c r="AB122" s="4126" t="s">
        <v>3844</v>
      </c>
      <c r="AC122" s="4126">
        <v>-1281</v>
      </c>
      <c r="AD122" s="4127" t="s">
        <v>3846</v>
      </c>
      <c r="AE122" s="4130">
        <v>32.72</v>
      </c>
      <c r="AF122" s="4130">
        <v>10.119999999999999</v>
      </c>
    </row>
    <row r="123" spans="1:32" ht="15">
      <c r="A123" s="4595">
        <v>122</v>
      </c>
      <c r="B123" s="4595">
        <v>7</v>
      </c>
      <c r="C123" s="4595" t="s">
        <v>3844</v>
      </c>
      <c r="D123" s="4595">
        <v>214</v>
      </c>
      <c r="E123" s="4595" t="s">
        <v>3225</v>
      </c>
      <c r="F123" s="4596">
        <v>28.06</v>
      </c>
      <c r="G123" s="4596">
        <v>8.68</v>
      </c>
      <c r="H123" s="4133">
        <f t="shared" si="4"/>
        <v>0.30933713471133284</v>
      </c>
      <c r="R123" s="4124">
        <v>122</v>
      </c>
      <c r="S123" s="4124">
        <v>8</v>
      </c>
      <c r="T123" s="4124" t="s">
        <v>3844</v>
      </c>
      <c r="U123" s="4124">
        <v>118</v>
      </c>
      <c r="V123" s="4124" t="s">
        <v>3225</v>
      </c>
      <c r="W123" s="4129">
        <v>39.049999999999997</v>
      </c>
      <c r="X123" s="4129">
        <v>12.07</v>
      </c>
      <c r="Z123" s="4124">
        <v>122</v>
      </c>
      <c r="AA123" s="4127" t="s">
        <v>3845</v>
      </c>
      <c r="AB123" s="4126" t="s">
        <v>3844</v>
      </c>
      <c r="AC123" s="4126">
        <v>-1283</v>
      </c>
      <c r="AD123" s="4127" t="s">
        <v>3846</v>
      </c>
      <c r="AE123" s="4130">
        <v>47.11</v>
      </c>
      <c r="AF123" s="4130">
        <v>14.57</v>
      </c>
    </row>
    <row r="124" spans="1:32" ht="15">
      <c r="A124" s="4595">
        <v>123</v>
      </c>
      <c r="B124" s="4595">
        <v>7</v>
      </c>
      <c r="C124" s="4595" t="s">
        <v>3844</v>
      </c>
      <c r="D124" s="4595">
        <v>215</v>
      </c>
      <c r="E124" s="4595" t="s">
        <v>3225</v>
      </c>
      <c r="F124" s="4596">
        <v>17.34</v>
      </c>
      <c r="G124" s="4596">
        <v>5.36</v>
      </c>
      <c r="H124" s="4133">
        <f t="shared" si="4"/>
        <v>0.3091118800461361</v>
      </c>
      <c r="R124" s="4124">
        <v>123</v>
      </c>
      <c r="S124" s="4124">
        <v>8</v>
      </c>
      <c r="T124" s="4124" t="s">
        <v>3844</v>
      </c>
      <c r="U124" s="4124">
        <v>119</v>
      </c>
      <c r="V124" s="4124" t="s">
        <v>3225</v>
      </c>
      <c r="W124" s="4129">
        <v>80.73</v>
      </c>
      <c r="X124" s="4129">
        <v>24.96</v>
      </c>
      <c r="Z124" s="4124">
        <v>123</v>
      </c>
      <c r="AA124" s="4127" t="s">
        <v>3845</v>
      </c>
      <c r="AB124" s="4126" t="s">
        <v>3844</v>
      </c>
      <c r="AC124" s="4126">
        <v>-1284</v>
      </c>
      <c r="AD124" s="4127" t="s">
        <v>3846</v>
      </c>
      <c r="AE124" s="4130">
        <v>32.72</v>
      </c>
      <c r="AF124" s="4130">
        <v>10.119999999999999</v>
      </c>
    </row>
    <row r="125" spans="1:32" ht="15">
      <c r="A125" s="4595">
        <v>124</v>
      </c>
      <c r="B125" s="4595">
        <v>7</v>
      </c>
      <c r="C125" s="4595" t="s">
        <v>3844</v>
      </c>
      <c r="D125" s="4595">
        <v>216</v>
      </c>
      <c r="E125" s="4595" t="s">
        <v>3225</v>
      </c>
      <c r="F125" s="4596">
        <v>17.239999999999998</v>
      </c>
      <c r="G125" s="4596">
        <v>5.33</v>
      </c>
      <c r="H125" s="4133">
        <f t="shared" si="4"/>
        <v>0.30916473317865434</v>
      </c>
      <c r="R125" s="4124">
        <v>124</v>
      </c>
      <c r="S125" s="4124">
        <v>9</v>
      </c>
      <c r="T125" s="4124" t="s">
        <v>3844</v>
      </c>
      <c r="U125" s="4124">
        <v>201</v>
      </c>
      <c r="V125" s="4124" t="s">
        <v>3225</v>
      </c>
      <c r="W125" s="4129">
        <v>50.6</v>
      </c>
      <c r="X125" s="4129">
        <v>15.65</v>
      </c>
      <c r="Z125" s="4124">
        <v>124</v>
      </c>
      <c r="AA125" s="4127" t="s">
        <v>3845</v>
      </c>
      <c r="AB125" s="4126" t="s">
        <v>3844</v>
      </c>
      <c r="AC125" s="4126">
        <v>-1289</v>
      </c>
      <c r="AD125" s="4127" t="s">
        <v>3846</v>
      </c>
      <c r="AE125" s="4130">
        <v>32.72</v>
      </c>
      <c r="AF125" s="4130">
        <v>10.119999999999999</v>
      </c>
    </row>
    <row r="126" spans="1:32" ht="15">
      <c r="A126" s="4595">
        <v>125</v>
      </c>
      <c r="B126" s="4595">
        <v>7</v>
      </c>
      <c r="C126" s="4595" t="s">
        <v>3844</v>
      </c>
      <c r="D126" s="4595">
        <v>217</v>
      </c>
      <c r="E126" s="4595" t="s">
        <v>3225</v>
      </c>
      <c r="F126" s="4596">
        <v>19.079999999999998</v>
      </c>
      <c r="G126" s="4596">
        <v>5.9</v>
      </c>
      <c r="H126" s="4133">
        <f t="shared" si="4"/>
        <v>0.30922431865828098</v>
      </c>
      <c r="R126" s="4124">
        <v>125</v>
      </c>
      <c r="S126" s="4124">
        <v>9</v>
      </c>
      <c r="T126" s="4124" t="s">
        <v>3844</v>
      </c>
      <c r="U126" s="4124">
        <v>202</v>
      </c>
      <c r="V126" s="4124" t="s">
        <v>3225</v>
      </c>
      <c r="W126" s="4129">
        <v>22.26</v>
      </c>
      <c r="X126" s="4129">
        <v>6.88</v>
      </c>
      <c r="Z126" s="4124">
        <v>125</v>
      </c>
      <c r="AA126" s="4127" t="s">
        <v>3845</v>
      </c>
      <c r="AB126" s="4126" t="s">
        <v>3844</v>
      </c>
      <c r="AC126" s="4126">
        <v>-1290</v>
      </c>
      <c r="AD126" s="4127" t="s">
        <v>3846</v>
      </c>
      <c r="AE126" s="4130">
        <v>32.72</v>
      </c>
      <c r="AF126" s="4130">
        <v>10.119999999999999</v>
      </c>
    </row>
    <row r="127" spans="1:32" ht="15">
      <c r="A127" s="4595">
        <v>126</v>
      </c>
      <c r="B127" s="4595">
        <v>7</v>
      </c>
      <c r="C127" s="4595" t="s">
        <v>3844</v>
      </c>
      <c r="D127" s="4595">
        <v>218</v>
      </c>
      <c r="E127" s="4595" t="s">
        <v>3225</v>
      </c>
      <c r="F127" s="4596">
        <v>16.16</v>
      </c>
      <c r="G127" s="4596">
        <v>5</v>
      </c>
      <c r="H127" s="4133">
        <f t="shared" si="4"/>
        <v>0.3094059405940594</v>
      </c>
      <c r="R127" s="4124">
        <v>126</v>
      </c>
      <c r="S127" s="4124">
        <v>9</v>
      </c>
      <c r="T127" s="4124" t="s">
        <v>3844</v>
      </c>
      <c r="U127" s="4124">
        <v>203</v>
      </c>
      <c r="V127" s="4124" t="s">
        <v>3225</v>
      </c>
      <c r="W127" s="4129">
        <v>16.97</v>
      </c>
      <c r="X127" s="4129">
        <v>5.25</v>
      </c>
      <c r="Z127" s="4124">
        <v>126</v>
      </c>
      <c r="AA127" s="4127" t="s">
        <v>3845</v>
      </c>
      <c r="AB127" s="4126" t="s">
        <v>3844</v>
      </c>
      <c r="AC127" s="4126">
        <v>-1292</v>
      </c>
      <c r="AD127" s="4127" t="s">
        <v>3846</v>
      </c>
      <c r="AE127" s="4130">
        <v>32.72</v>
      </c>
      <c r="AF127" s="4130">
        <v>10.119999999999999</v>
      </c>
    </row>
    <row r="128" spans="1:32" ht="15">
      <c r="A128" s="4595">
        <v>127</v>
      </c>
      <c r="B128" s="4595">
        <v>8</v>
      </c>
      <c r="C128" s="4595">
        <v>1</v>
      </c>
      <c r="D128" s="4595">
        <v>101</v>
      </c>
      <c r="E128" s="4595" t="s">
        <v>3276</v>
      </c>
      <c r="F128" s="4596">
        <v>218.14</v>
      </c>
      <c r="G128" s="4596">
        <v>67.45</v>
      </c>
      <c r="H128" s="4133">
        <f t="shared" si="4"/>
        <v>0.30920509764371507</v>
      </c>
      <c r="R128" s="4124">
        <v>127</v>
      </c>
      <c r="S128" s="4124">
        <v>9</v>
      </c>
      <c r="T128" s="4124" t="s">
        <v>3844</v>
      </c>
      <c r="U128" s="4124">
        <v>204</v>
      </c>
      <c r="V128" s="4124" t="s">
        <v>3225</v>
      </c>
      <c r="W128" s="4129">
        <v>16.579999999999998</v>
      </c>
      <c r="X128" s="4129">
        <v>5.13</v>
      </c>
      <c r="Z128" s="4124">
        <v>127</v>
      </c>
      <c r="AA128" s="4127" t="s">
        <v>3845</v>
      </c>
      <c r="AB128" s="4126" t="s">
        <v>3844</v>
      </c>
      <c r="AC128" s="4126">
        <v>-1294</v>
      </c>
      <c r="AD128" s="4127" t="s">
        <v>3846</v>
      </c>
      <c r="AE128" s="4130">
        <v>32.72</v>
      </c>
      <c r="AF128" s="4130">
        <v>10.119999999999999</v>
      </c>
    </row>
    <row r="129" spans="1:32" ht="15">
      <c r="A129" s="4595">
        <v>128</v>
      </c>
      <c r="B129" s="4595">
        <v>8</v>
      </c>
      <c r="C129" s="4595">
        <v>1</v>
      </c>
      <c r="D129" s="4595">
        <v>102</v>
      </c>
      <c r="E129" s="4595" t="s">
        <v>3276</v>
      </c>
      <c r="F129" s="4596">
        <v>267.22000000000003</v>
      </c>
      <c r="G129" s="4596">
        <v>82.62</v>
      </c>
      <c r="H129" s="4133">
        <f t="shared" si="4"/>
        <v>0.30918344435296757</v>
      </c>
      <c r="R129" s="4124">
        <v>128</v>
      </c>
      <c r="S129" s="4124">
        <v>9</v>
      </c>
      <c r="T129" s="4124" t="s">
        <v>3844</v>
      </c>
      <c r="U129" s="4124">
        <v>205</v>
      </c>
      <c r="V129" s="4124" t="s">
        <v>3225</v>
      </c>
      <c r="W129" s="4129">
        <v>22.97</v>
      </c>
      <c r="X129" s="4129">
        <v>7.1</v>
      </c>
      <c r="Z129" s="4124">
        <v>128</v>
      </c>
      <c r="AA129" s="4127" t="s">
        <v>3845</v>
      </c>
      <c r="AB129" s="4126" t="s">
        <v>3844</v>
      </c>
      <c r="AC129" s="4126">
        <v>-1295</v>
      </c>
      <c r="AD129" s="4127" t="s">
        <v>3846</v>
      </c>
      <c r="AE129" s="4130">
        <v>32.72</v>
      </c>
      <c r="AF129" s="4130">
        <v>10.119999999999999</v>
      </c>
    </row>
    <row r="130" spans="1:32" ht="15">
      <c r="A130" s="4595">
        <v>129</v>
      </c>
      <c r="B130" s="4595">
        <v>8</v>
      </c>
      <c r="C130" s="4595">
        <v>1</v>
      </c>
      <c r="D130" s="4595">
        <v>202</v>
      </c>
      <c r="E130" s="4595" t="s">
        <v>3276</v>
      </c>
      <c r="F130" s="4596">
        <v>267.20999999999998</v>
      </c>
      <c r="G130" s="4596">
        <v>82.62</v>
      </c>
      <c r="H130" s="4133">
        <f t="shared" ref="H130:H193" si="5">G130/F130</f>
        <v>0.30919501515661846</v>
      </c>
      <c r="R130" s="4124">
        <v>129</v>
      </c>
      <c r="S130" s="4124">
        <v>9</v>
      </c>
      <c r="T130" s="4124" t="s">
        <v>3844</v>
      </c>
      <c r="U130" s="4124">
        <v>206</v>
      </c>
      <c r="V130" s="4124" t="s">
        <v>3225</v>
      </c>
      <c r="W130" s="4129">
        <v>59.26</v>
      </c>
      <c r="X130" s="4129">
        <v>18.32</v>
      </c>
      <c r="Z130" s="4124">
        <v>129</v>
      </c>
      <c r="AA130" s="4127" t="s">
        <v>3845</v>
      </c>
      <c r="AB130" s="4126" t="s">
        <v>3844</v>
      </c>
      <c r="AC130" s="4126">
        <v>-1297</v>
      </c>
      <c r="AD130" s="4127" t="s">
        <v>3846</v>
      </c>
      <c r="AE130" s="4130">
        <v>32.72</v>
      </c>
      <c r="AF130" s="4130">
        <v>10.119999999999999</v>
      </c>
    </row>
    <row r="131" spans="1:32" ht="15">
      <c r="A131" s="4595">
        <v>130</v>
      </c>
      <c r="B131" s="4595">
        <v>8</v>
      </c>
      <c r="C131" s="4595">
        <v>1</v>
      </c>
      <c r="D131" s="4595">
        <v>302</v>
      </c>
      <c r="E131" s="4595" t="s">
        <v>3276</v>
      </c>
      <c r="F131" s="4596">
        <v>267.25</v>
      </c>
      <c r="G131" s="4596">
        <v>82.63</v>
      </c>
      <c r="H131" s="4133">
        <f t="shared" si="5"/>
        <v>0.30918615528531335</v>
      </c>
      <c r="R131" s="4124">
        <v>130</v>
      </c>
      <c r="S131" s="4124">
        <v>9</v>
      </c>
      <c r="T131" s="4124" t="s">
        <v>3844</v>
      </c>
      <c r="U131" s="4124">
        <v>208</v>
      </c>
      <c r="V131" s="4124" t="s">
        <v>3225</v>
      </c>
      <c r="W131" s="4129">
        <v>15.4</v>
      </c>
      <c r="X131" s="4129">
        <v>4.76</v>
      </c>
      <c r="Z131" s="4124">
        <v>130</v>
      </c>
      <c r="AA131" s="4127" t="s">
        <v>3845</v>
      </c>
      <c r="AB131" s="4126" t="s">
        <v>3844</v>
      </c>
      <c r="AC131" s="4126">
        <v>-1298</v>
      </c>
      <c r="AD131" s="4127" t="s">
        <v>3846</v>
      </c>
      <c r="AE131" s="4130">
        <v>32.72</v>
      </c>
      <c r="AF131" s="4130">
        <v>10.119999999999999</v>
      </c>
    </row>
    <row r="132" spans="1:32" ht="15">
      <c r="A132" s="4595">
        <v>131</v>
      </c>
      <c r="B132" s="4595">
        <v>8</v>
      </c>
      <c r="C132" s="4595">
        <v>1</v>
      </c>
      <c r="D132" s="4595">
        <v>402</v>
      </c>
      <c r="E132" s="4595" t="s">
        <v>3276</v>
      </c>
      <c r="F132" s="4596">
        <v>267.25</v>
      </c>
      <c r="G132" s="4596">
        <v>82.63</v>
      </c>
      <c r="H132" s="4133">
        <f t="shared" si="5"/>
        <v>0.30918615528531335</v>
      </c>
      <c r="R132" s="4124">
        <v>131</v>
      </c>
      <c r="S132" s="4124">
        <v>9</v>
      </c>
      <c r="T132" s="4124" t="s">
        <v>3844</v>
      </c>
      <c r="U132" s="4124">
        <v>101</v>
      </c>
      <c r="V132" s="4124" t="s">
        <v>3225</v>
      </c>
      <c r="W132" s="4129">
        <v>60.88</v>
      </c>
      <c r="X132" s="4129">
        <v>18.82</v>
      </c>
      <c r="Z132" s="4124">
        <v>131</v>
      </c>
      <c r="AA132" s="4127" t="s">
        <v>3845</v>
      </c>
      <c r="AB132" s="4126" t="s">
        <v>3844</v>
      </c>
      <c r="AC132" s="4126">
        <v>-1299</v>
      </c>
      <c r="AD132" s="4127" t="s">
        <v>3846</v>
      </c>
      <c r="AE132" s="4130">
        <v>32.72</v>
      </c>
      <c r="AF132" s="4130">
        <v>10.119999999999999</v>
      </c>
    </row>
    <row r="133" spans="1:32" ht="15">
      <c r="A133" s="4595">
        <v>132</v>
      </c>
      <c r="B133" s="4595">
        <v>8</v>
      </c>
      <c r="C133" s="4595">
        <v>1</v>
      </c>
      <c r="D133" s="4595">
        <v>502</v>
      </c>
      <c r="E133" s="4595" t="s">
        <v>3276</v>
      </c>
      <c r="F133" s="4596">
        <v>267.25</v>
      </c>
      <c r="G133" s="4596">
        <v>82.63</v>
      </c>
      <c r="H133" s="4133">
        <f t="shared" si="5"/>
        <v>0.30918615528531335</v>
      </c>
      <c r="R133" s="4124">
        <v>132</v>
      </c>
      <c r="S133" s="4124">
        <v>9</v>
      </c>
      <c r="T133" s="4124" t="s">
        <v>3844</v>
      </c>
      <c r="U133" s="4124">
        <v>102</v>
      </c>
      <c r="V133" s="4124" t="s">
        <v>3225</v>
      </c>
      <c r="W133" s="4129">
        <v>47.5</v>
      </c>
      <c r="X133" s="4129">
        <v>14.69</v>
      </c>
      <c r="Z133" s="4124">
        <v>132</v>
      </c>
      <c r="AA133" s="4127" t="s">
        <v>3845</v>
      </c>
      <c r="AB133" s="4126" t="s">
        <v>3844</v>
      </c>
      <c r="AC133" s="4126">
        <v>-1303</v>
      </c>
      <c r="AD133" s="4127" t="s">
        <v>3846</v>
      </c>
      <c r="AE133" s="4130">
        <v>32.72</v>
      </c>
      <c r="AF133" s="4130">
        <v>10.119999999999999</v>
      </c>
    </row>
    <row r="134" spans="1:32" ht="15">
      <c r="A134" s="4595">
        <v>133</v>
      </c>
      <c r="B134" s="4595">
        <v>8</v>
      </c>
      <c r="C134" s="4595">
        <v>1</v>
      </c>
      <c r="D134" s="4595">
        <v>1002</v>
      </c>
      <c r="E134" s="4595" t="s">
        <v>3276</v>
      </c>
      <c r="F134" s="4596">
        <v>267.25</v>
      </c>
      <c r="G134" s="4596">
        <v>82.63</v>
      </c>
      <c r="H134" s="4133">
        <f t="shared" si="5"/>
        <v>0.30918615528531335</v>
      </c>
      <c r="R134" s="4124">
        <v>133</v>
      </c>
      <c r="S134" s="4124">
        <v>9</v>
      </c>
      <c r="T134" s="4124" t="s">
        <v>3844</v>
      </c>
      <c r="U134" s="4124">
        <v>103</v>
      </c>
      <c r="V134" s="4124" t="s">
        <v>3225</v>
      </c>
      <c r="W134" s="4129">
        <v>56.95</v>
      </c>
      <c r="X134" s="4129">
        <v>17.61</v>
      </c>
      <c r="Z134" s="4124">
        <v>133</v>
      </c>
      <c r="AA134" s="4127" t="s">
        <v>3845</v>
      </c>
      <c r="AB134" s="4126" t="s">
        <v>3844</v>
      </c>
      <c r="AC134" s="4126">
        <v>-1304</v>
      </c>
      <c r="AD134" s="4127" t="s">
        <v>3846</v>
      </c>
      <c r="AE134" s="4130">
        <v>32.72</v>
      </c>
      <c r="AF134" s="4130">
        <v>10.119999999999999</v>
      </c>
    </row>
    <row r="135" spans="1:32" ht="15">
      <c r="A135" s="4595">
        <v>134</v>
      </c>
      <c r="B135" s="4595">
        <v>8</v>
      </c>
      <c r="C135" s="4595">
        <v>2</v>
      </c>
      <c r="D135" s="4595">
        <v>101</v>
      </c>
      <c r="E135" s="4595" t="s">
        <v>3276</v>
      </c>
      <c r="F135" s="4596">
        <v>267.22000000000003</v>
      </c>
      <c r="G135" s="4596">
        <v>82.62</v>
      </c>
      <c r="H135" s="4133">
        <f t="shared" si="5"/>
        <v>0.30918344435296757</v>
      </c>
      <c r="R135" s="4124">
        <v>134</v>
      </c>
      <c r="S135" s="4124">
        <v>13</v>
      </c>
      <c r="T135" s="4124" t="s">
        <v>3844</v>
      </c>
      <c r="U135" s="4124">
        <v>101</v>
      </c>
      <c r="V135" s="4124" t="s">
        <v>3225</v>
      </c>
      <c r="W135" s="4129">
        <v>50.87</v>
      </c>
      <c r="X135" s="4129">
        <v>15.73</v>
      </c>
      <c r="Z135" s="4124">
        <v>134</v>
      </c>
      <c r="AA135" s="4127" t="s">
        <v>3845</v>
      </c>
      <c r="AB135" s="4126" t="s">
        <v>3844</v>
      </c>
      <c r="AC135" s="4126">
        <v>-1305</v>
      </c>
      <c r="AD135" s="4127" t="s">
        <v>3846</v>
      </c>
      <c r="AE135" s="4130">
        <v>32.72</v>
      </c>
      <c r="AF135" s="4130">
        <v>10.119999999999999</v>
      </c>
    </row>
    <row r="136" spans="1:32" ht="15">
      <c r="A136" s="4595">
        <v>135</v>
      </c>
      <c r="B136" s="4595">
        <v>8</v>
      </c>
      <c r="C136" s="4595">
        <v>2</v>
      </c>
      <c r="D136" s="4595">
        <v>102</v>
      </c>
      <c r="E136" s="4595" t="s">
        <v>3276</v>
      </c>
      <c r="F136" s="4596">
        <v>218.14</v>
      </c>
      <c r="G136" s="4596">
        <v>67.45</v>
      </c>
      <c r="H136" s="4133">
        <f t="shared" si="5"/>
        <v>0.30920509764371507</v>
      </c>
      <c r="R136" s="4124">
        <v>135</v>
      </c>
      <c r="S136" s="4124">
        <v>13</v>
      </c>
      <c r="T136" s="4124" t="s">
        <v>3844</v>
      </c>
      <c r="U136" s="4124">
        <v>102</v>
      </c>
      <c r="V136" s="4124" t="s">
        <v>3225</v>
      </c>
      <c r="W136" s="4129">
        <v>40.58</v>
      </c>
      <c r="X136" s="4129">
        <v>12.55</v>
      </c>
      <c r="Z136" s="4124">
        <v>135</v>
      </c>
      <c r="AA136" s="4127" t="s">
        <v>3845</v>
      </c>
      <c r="AB136" s="4126" t="s">
        <v>3844</v>
      </c>
      <c r="AC136" s="4126">
        <v>-1306</v>
      </c>
      <c r="AD136" s="4127" t="s">
        <v>3846</v>
      </c>
      <c r="AE136" s="4130">
        <v>32.72</v>
      </c>
      <c r="AF136" s="4130">
        <v>10.119999999999999</v>
      </c>
    </row>
    <row r="137" spans="1:32" ht="15">
      <c r="A137" s="4595">
        <v>136</v>
      </c>
      <c r="B137" s="4595">
        <v>8</v>
      </c>
      <c r="C137" s="4595">
        <v>2</v>
      </c>
      <c r="D137" s="4595">
        <v>201</v>
      </c>
      <c r="E137" s="4595" t="s">
        <v>3276</v>
      </c>
      <c r="F137" s="4596">
        <v>267.20999999999998</v>
      </c>
      <c r="G137" s="4596">
        <v>82.62</v>
      </c>
      <c r="H137" s="4133">
        <f t="shared" si="5"/>
        <v>0.30919501515661846</v>
      </c>
      <c r="R137" s="4124">
        <v>136</v>
      </c>
      <c r="S137" s="4124">
        <v>13</v>
      </c>
      <c r="T137" s="4124" t="s">
        <v>3844</v>
      </c>
      <c r="U137" s="4124">
        <v>103</v>
      </c>
      <c r="V137" s="4124" t="s">
        <v>3225</v>
      </c>
      <c r="W137" s="4129">
        <v>38.409999999999997</v>
      </c>
      <c r="X137" s="4129">
        <v>11.88</v>
      </c>
      <c r="Z137" s="4124">
        <v>136</v>
      </c>
      <c r="AA137" s="4127" t="s">
        <v>3845</v>
      </c>
      <c r="AB137" s="4126" t="s">
        <v>3844</v>
      </c>
      <c r="AC137" s="4126">
        <v>-1309</v>
      </c>
      <c r="AD137" s="4127" t="s">
        <v>3846</v>
      </c>
      <c r="AE137" s="4130">
        <v>32.72</v>
      </c>
      <c r="AF137" s="4130">
        <v>10.119999999999999</v>
      </c>
    </row>
    <row r="138" spans="1:32" ht="15">
      <c r="A138" s="4595">
        <v>137</v>
      </c>
      <c r="B138" s="4595">
        <v>8</v>
      </c>
      <c r="C138" s="4595">
        <v>2</v>
      </c>
      <c r="D138" s="4595">
        <v>202</v>
      </c>
      <c r="E138" s="4595" t="s">
        <v>3276</v>
      </c>
      <c r="F138" s="4596">
        <v>218.14</v>
      </c>
      <c r="G138" s="4596">
        <v>67.45</v>
      </c>
      <c r="H138" s="4133">
        <f t="shared" si="5"/>
        <v>0.30920509764371507</v>
      </c>
      <c r="W138" s="4137">
        <f>SUM(W2:W137)</f>
        <v>4951.4299999999994</v>
      </c>
      <c r="X138" s="4137">
        <f>SUM(X2:X137)</f>
        <v>1531</v>
      </c>
      <c r="Z138" s="4124">
        <v>137</v>
      </c>
      <c r="AA138" s="4127" t="s">
        <v>3845</v>
      </c>
      <c r="AB138" s="4126" t="s">
        <v>3844</v>
      </c>
      <c r="AC138" s="4126">
        <v>-1311</v>
      </c>
      <c r="AD138" s="4127" t="s">
        <v>3846</v>
      </c>
      <c r="AE138" s="4130">
        <v>32.72</v>
      </c>
      <c r="AF138" s="4130">
        <v>10.119999999999999</v>
      </c>
    </row>
    <row r="139" spans="1:32" ht="15">
      <c r="A139" s="4595">
        <v>138</v>
      </c>
      <c r="B139" s="4595">
        <v>8</v>
      </c>
      <c r="C139" s="4595">
        <v>2</v>
      </c>
      <c r="D139" s="4595">
        <v>301</v>
      </c>
      <c r="E139" s="4595" t="s">
        <v>3276</v>
      </c>
      <c r="F139" s="4596">
        <v>267.25</v>
      </c>
      <c r="G139" s="4596">
        <v>82.63</v>
      </c>
      <c r="H139" s="4133">
        <f t="shared" si="5"/>
        <v>0.30918615528531335</v>
      </c>
      <c r="Z139" s="4124">
        <v>138</v>
      </c>
      <c r="AA139" s="4127" t="s">
        <v>3845</v>
      </c>
      <c r="AB139" s="4126" t="s">
        <v>3844</v>
      </c>
      <c r="AC139" s="4126">
        <v>-1314</v>
      </c>
      <c r="AD139" s="4127" t="s">
        <v>3846</v>
      </c>
      <c r="AE139" s="4130">
        <v>32.72</v>
      </c>
      <c r="AF139" s="4130">
        <v>10.119999999999999</v>
      </c>
    </row>
    <row r="140" spans="1:32" ht="15">
      <c r="A140" s="4595">
        <v>139</v>
      </c>
      <c r="B140" s="4595">
        <v>8</v>
      </c>
      <c r="C140" s="4595">
        <v>2</v>
      </c>
      <c r="D140" s="4595">
        <v>401</v>
      </c>
      <c r="E140" s="4595" t="s">
        <v>3276</v>
      </c>
      <c r="F140" s="4596">
        <v>267.25</v>
      </c>
      <c r="G140" s="4596">
        <v>82.63</v>
      </c>
      <c r="H140" s="4133">
        <f t="shared" si="5"/>
        <v>0.30918615528531335</v>
      </c>
      <c r="Z140" s="4124">
        <v>139</v>
      </c>
      <c r="AA140" s="4127" t="s">
        <v>3845</v>
      </c>
      <c r="AB140" s="4126" t="s">
        <v>3844</v>
      </c>
      <c r="AC140" s="4126">
        <v>-1318</v>
      </c>
      <c r="AD140" s="4127" t="s">
        <v>3846</v>
      </c>
      <c r="AE140" s="4130">
        <v>32.72</v>
      </c>
      <c r="AF140" s="4130">
        <v>10.119999999999999</v>
      </c>
    </row>
    <row r="141" spans="1:32" ht="15">
      <c r="A141" s="4595">
        <v>140</v>
      </c>
      <c r="B141" s="4595">
        <v>8</v>
      </c>
      <c r="C141" s="4595">
        <v>2</v>
      </c>
      <c r="D141" s="4595">
        <v>501</v>
      </c>
      <c r="E141" s="4595" t="s">
        <v>3276</v>
      </c>
      <c r="F141" s="4596">
        <v>267.25</v>
      </c>
      <c r="G141" s="4596">
        <v>82.63</v>
      </c>
      <c r="H141" s="4133">
        <f t="shared" si="5"/>
        <v>0.30918615528531335</v>
      </c>
      <c r="Z141" s="4124">
        <v>140</v>
      </c>
      <c r="AA141" s="4127" t="s">
        <v>3845</v>
      </c>
      <c r="AB141" s="4126" t="s">
        <v>3844</v>
      </c>
      <c r="AC141" s="4126">
        <v>-1319</v>
      </c>
      <c r="AD141" s="4127" t="s">
        <v>3846</v>
      </c>
      <c r="AE141" s="4130">
        <v>32.72</v>
      </c>
      <c r="AF141" s="4130">
        <v>10.119999999999999</v>
      </c>
    </row>
    <row r="142" spans="1:32" ht="15">
      <c r="A142" s="4595">
        <v>141</v>
      </c>
      <c r="B142" s="4595">
        <v>8</v>
      </c>
      <c r="C142" s="4595">
        <v>2</v>
      </c>
      <c r="D142" s="4595">
        <v>801</v>
      </c>
      <c r="E142" s="4595" t="s">
        <v>3276</v>
      </c>
      <c r="F142" s="4596">
        <v>267.25</v>
      </c>
      <c r="G142" s="4596">
        <v>82.63</v>
      </c>
      <c r="H142" s="4133">
        <f t="shared" si="5"/>
        <v>0.30918615528531335</v>
      </c>
      <c r="Z142" s="4124">
        <v>141</v>
      </c>
      <c r="AA142" s="4127" t="s">
        <v>3845</v>
      </c>
      <c r="AB142" s="4126" t="s">
        <v>3844</v>
      </c>
      <c r="AC142" s="4126">
        <v>-1320</v>
      </c>
      <c r="AD142" s="4127" t="s">
        <v>3846</v>
      </c>
      <c r="AE142" s="4130">
        <v>32.72</v>
      </c>
      <c r="AF142" s="4130">
        <v>10.119999999999999</v>
      </c>
    </row>
    <row r="143" spans="1:32" ht="15">
      <c r="A143" s="4595">
        <v>142</v>
      </c>
      <c r="B143" s="4595">
        <v>8</v>
      </c>
      <c r="C143" s="4595">
        <v>2</v>
      </c>
      <c r="D143" s="4595">
        <v>1001</v>
      </c>
      <c r="E143" s="4595" t="s">
        <v>3276</v>
      </c>
      <c r="F143" s="4596">
        <v>267.25</v>
      </c>
      <c r="G143" s="4596">
        <v>82.63</v>
      </c>
      <c r="H143" s="4133">
        <f t="shared" si="5"/>
        <v>0.30918615528531335</v>
      </c>
      <c r="Z143" s="4124">
        <v>142</v>
      </c>
      <c r="AA143" s="4127" t="s">
        <v>3845</v>
      </c>
      <c r="AB143" s="4126" t="s">
        <v>3844</v>
      </c>
      <c r="AC143" s="4126">
        <v>-1321</v>
      </c>
      <c r="AD143" s="4127" t="s">
        <v>3846</v>
      </c>
      <c r="AE143" s="4130">
        <v>32.72</v>
      </c>
      <c r="AF143" s="4130">
        <v>10.119999999999999</v>
      </c>
    </row>
    <row r="144" spans="1:32" ht="15">
      <c r="A144" s="4595">
        <v>143</v>
      </c>
      <c r="B144" s="4595">
        <v>8</v>
      </c>
      <c r="C144" s="4595">
        <v>2</v>
      </c>
      <c r="D144" s="4595">
        <v>1002</v>
      </c>
      <c r="E144" s="4595" t="s">
        <v>3276</v>
      </c>
      <c r="F144" s="4596">
        <v>218.16</v>
      </c>
      <c r="G144" s="4596">
        <v>67.45</v>
      </c>
      <c r="H144" s="4133">
        <f t="shared" si="5"/>
        <v>0.30917675100843417</v>
      </c>
      <c r="Z144" s="4124">
        <v>143</v>
      </c>
      <c r="AA144" s="4127" t="s">
        <v>3845</v>
      </c>
      <c r="AB144" s="4126" t="s">
        <v>3844</v>
      </c>
      <c r="AC144" s="4126">
        <v>-1322</v>
      </c>
      <c r="AD144" s="4127" t="s">
        <v>3846</v>
      </c>
      <c r="AE144" s="4130">
        <v>32.72</v>
      </c>
      <c r="AF144" s="4130">
        <v>10.119999999999999</v>
      </c>
    </row>
    <row r="145" spans="1:32" ht="15">
      <c r="A145" s="4595">
        <v>144</v>
      </c>
      <c r="B145" s="4595">
        <v>8</v>
      </c>
      <c r="C145" s="4595" t="s">
        <v>3844</v>
      </c>
      <c r="D145" s="4595">
        <v>114</v>
      </c>
      <c r="E145" s="4595" t="s">
        <v>3225</v>
      </c>
      <c r="F145" s="4596">
        <v>14.2</v>
      </c>
      <c r="G145" s="4596">
        <v>4.3899999999999997</v>
      </c>
      <c r="H145" s="4133">
        <f t="shared" si="5"/>
        <v>0.30915492957746477</v>
      </c>
      <c r="Z145" s="4124">
        <v>144</v>
      </c>
      <c r="AA145" s="4127" t="s">
        <v>3845</v>
      </c>
      <c r="AB145" s="4126" t="s">
        <v>3844</v>
      </c>
      <c r="AC145" s="4126">
        <v>-1323</v>
      </c>
      <c r="AD145" s="4127" t="s">
        <v>3846</v>
      </c>
      <c r="AE145" s="4130">
        <v>32.72</v>
      </c>
      <c r="AF145" s="4130">
        <v>10.119999999999999</v>
      </c>
    </row>
    <row r="146" spans="1:32" ht="15">
      <c r="A146" s="4595">
        <v>145</v>
      </c>
      <c r="B146" s="4595">
        <v>8</v>
      </c>
      <c r="C146" s="4595" t="s">
        <v>3844</v>
      </c>
      <c r="D146" s="4595">
        <v>203</v>
      </c>
      <c r="E146" s="4595" t="s">
        <v>3225</v>
      </c>
      <c r="F146" s="4596">
        <v>19.29</v>
      </c>
      <c r="G146" s="4596">
        <v>5.96</v>
      </c>
      <c r="H146" s="4133">
        <f t="shared" si="5"/>
        <v>0.30896837739761535</v>
      </c>
      <c r="Z146" s="4124">
        <v>145</v>
      </c>
      <c r="AA146" s="4127" t="s">
        <v>3845</v>
      </c>
      <c r="AB146" s="4126" t="s">
        <v>3844</v>
      </c>
      <c r="AC146" s="4126">
        <v>-1324</v>
      </c>
      <c r="AD146" s="4127" t="s">
        <v>3846</v>
      </c>
      <c r="AE146" s="4130">
        <v>32.72</v>
      </c>
      <c r="AF146" s="4130">
        <v>10.119999999999999</v>
      </c>
    </row>
    <row r="147" spans="1:32" ht="15">
      <c r="A147" s="4595">
        <v>146</v>
      </c>
      <c r="B147" s="4595">
        <v>8</v>
      </c>
      <c r="C147" s="4595" t="s">
        <v>3844</v>
      </c>
      <c r="D147" s="4595">
        <v>204</v>
      </c>
      <c r="E147" s="4595" t="s">
        <v>3225</v>
      </c>
      <c r="F147" s="4596">
        <v>19.29</v>
      </c>
      <c r="G147" s="4596">
        <v>5.96</v>
      </c>
      <c r="H147" s="4133">
        <f t="shared" si="5"/>
        <v>0.30896837739761535</v>
      </c>
      <c r="Z147" s="4124">
        <v>146</v>
      </c>
      <c r="AA147" s="4127" t="s">
        <v>3845</v>
      </c>
      <c r="AB147" s="4126" t="s">
        <v>3844</v>
      </c>
      <c r="AC147" s="4126">
        <v>-1325</v>
      </c>
      <c r="AD147" s="4127" t="s">
        <v>3846</v>
      </c>
      <c r="AE147" s="4130">
        <v>32.72</v>
      </c>
      <c r="AF147" s="4130">
        <v>10.119999999999999</v>
      </c>
    </row>
    <row r="148" spans="1:32" ht="15">
      <c r="A148" s="4595">
        <v>147</v>
      </c>
      <c r="B148" s="4595">
        <v>8</v>
      </c>
      <c r="C148" s="4595" t="s">
        <v>3844</v>
      </c>
      <c r="D148" s="4595">
        <v>205</v>
      </c>
      <c r="E148" s="4595" t="s">
        <v>3225</v>
      </c>
      <c r="F148" s="4596">
        <v>19.29</v>
      </c>
      <c r="G148" s="4596">
        <v>5.96</v>
      </c>
      <c r="H148" s="4133">
        <f t="shared" si="5"/>
        <v>0.30896837739761535</v>
      </c>
      <c r="Z148" s="4124">
        <v>147</v>
      </c>
      <c r="AA148" s="4127" t="s">
        <v>3845</v>
      </c>
      <c r="AB148" s="4126" t="s">
        <v>3844</v>
      </c>
      <c r="AC148" s="4126">
        <v>-1326</v>
      </c>
      <c r="AD148" s="4127" t="s">
        <v>3846</v>
      </c>
      <c r="AE148" s="4130">
        <v>32.72</v>
      </c>
      <c r="AF148" s="4130">
        <v>10.119999999999999</v>
      </c>
    </row>
    <row r="149" spans="1:32" ht="15">
      <c r="A149" s="4595">
        <v>148</v>
      </c>
      <c r="B149" s="4595">
        <v>8</v>
      </c>
      <c r="C149" s="4595" t="s">
        <v>3844</v>
      </c>
      <c r="D149" s="4595">
        <v>209</v>
      </c>
      <c r="E149" s="4595" t="s">
        <v>3225</v>
      </c>
      <c r="F149" s="4596">
        <v>20.14</v>
      </c>
      <c r="G149" s="4596">
        <v>6.23</v>
      </c>
      <c r="H149" s="4133">
        <f t="shared" si="5"/>
        <v>0.30933465739821253</v>
      </c>
      <c r="Z149" s="4124">
        <v>148</v>
      </c>
      <c r="AA149" s="4127" t="s">
        <v>3845</v>
      </c>
      <c r="AB149" s="4126" t="s">
        <v>3844</v>
      </c>
      <c r="AC149" s="4126">
        <v>-1327</v>
      </c>
      <c r="AD149" s="4127" t="s">
        <v>3846</v>
      </c>
      <c r="AE149" s="4130">
        <v>32.72</v>
      </c>
      <c r="AF149" s="4130">
        <v>10.119999999999999</v>
      </c>
    </row>
    <row r="150" spans="1:32" ht="15">
      <c r="A150" s="4595">
        <v>149</v>
      </c>
      <c r="B150" s="4595">
        <v>8</v>
      </c>
      <c r="C150" s="4595" t="s">
        <v>3844</v>
      </c>
      <c r="D150" s="4595">
        <v>211</v>
      </c>
      <c r="E150" s="4595" t="s">
        <v>3225</v>
      </c>
      <c r="F150" s="4596">
        <v>10.68</v>
      </c>
      <c r="G150" s="4596">
        <v>3.3</v>
      </c>
      <c r="H150" s="4133">
        <f t="shared" si="5"/>
        <v>0.3089887640449438</v>
      </c>
      <c r="Z150" s="4124">
        <v>149</v>
      </c>
      <c r="AA150" s="4127" t="s">
        <v>3845</v>
      </c>
      <c r="AB150" s="4126" t="s">
        <v>3844</v>
      </c>
      <c r="AC150" s="4126">
        <v>-1337</v>
      </c>
      <c r="AD150" s="4127" t="s">
        <v>3846</v>
      </c>
      <c r="AE150" s="4130">
        <v>32.72</v>
      </c>
      <c r="AF150" s="4130">
        <v>10.119999999999999</v>
      </c>
    </row>
    <row r="151" spans="1:32" ht="15">
      <c r="A151" s="4595">
        <v>150</v>
      </c>
      <c r="B151" s="4595">
        <v>8</v>
      </c>
      <c r="C151" s="4595" t="s">
        <v>3844</v>
      </c>
      <c r="D151" s="4595">
        <v>213</v>
      </c>
      <c r="E151" s="4595" t="s">
        <v>3225</v>
      </c>
      <c r="F151" s="4596">
        <v>11.49</v>
      </c>
      <c r="G151" s="4596">
        <v>3.55</v>
      </c>
      <c r="H151" s="4133">
        <f t="shared" si="5"/>
        <v>0.30896431679721492</v>
      </c>
      <c r="Z151" s="4124">
        <v>150</v>
      </c>
      <c r="AA151" s="4127" t="s">
        <v>3845</v>
      </c>
      <c r="AB151" s="4126" t="s">
        <v>3844</v>
      </c>
      <c r="AC151" s="4126">
        <v>-1338</v>
      </c>
      <c r="AD151" s="4127" t="s">
        <v>3846</v>
      </c>
      <c r="AE151" s="4130">
        <v>32.72</v>
      </c>
      <c r="AF151" s="4130">
        <v>10.119999999999999</v>
      </c>
    </row>
    <row r="152" spans="1:32" ht="15">
      <c r="A152" s="4595">
        <v>151</v>
      </c>
      <c r="B152" s="4595">
        <v>8</v>
      </c>
      <c r="C152" s="4595" t="s">
        <v>3844</v>
      </c>
      <c r="D152" s="4595">
        <v>217</v>
      </c>
      <c r="E152" s="4595" t="s">
        <v>3225</v>
      </c>
      <c r="F152" s="4596">
        <v>13.01</v>
      </c>
      <c r="G152" s="4596">
        <v>4.0199999999999996</v>
      </c>
      <c r="H152" s="4133">
        <f t="shared" si="5"/>
        <v>0.30899308224442734</v>
      </c>
      <c r="Z152" s="4124">
        <v>151</v>
      </c>
      <c r="AA152" s="4127" t="s">
        <v>3845</v>
      </c>
      <c r="AB152" s="4126" t="s">
        <v>3844</v>
      </c>
      <c r="AC152" s="4126">
        <v>-1340</v>
      </c>
      <c r="AD152" s="4127" t="s">
        <v>3846</v>
      </c>
      <c r="AE152" s="4130">
        <v>32.72</v>
      </c>
      <c r="AF152" s="4130">
        <v>10.119999999999999</v>
      </c>
    </row>
    <row r="153" spans="1:32" ht="15">
      <c r="A153" s="4595">
        <v>152</v>
      </c>
      <c r="B153" s="4595">
        <v>8</v>
      </c>
      <c r="C153" s="4595" t="s">
        <v>3844</v>
      </c>
      <c r="D153" s="4595">
        <v>101</v>
      </c>
      <c r="E153" s="4595" t="s">
        <v>3225</v>
      </c>
      <c r="F153" s="4596">
        <v>91.37</v>
      </c>
      <c r="G153" s="4596">
        <v>28.25</v>
      </c>
      <c r="H153" s="4133">
        <f t="shared" si="5"/>
        <v>0.30918244500383057</v>
      </c>
      <c r="Z153" s="4124">
        <v>152</v>
      </c>
      <c r="AA153" s="4127" t="s">
        <v>3845</v>
      </c>
      <c r="AB153" s="4126" t="s">
        <v>3844</v>
      </c>
      <c r="AC153" s="4126">
        <v>-1341</v>
      </c>
      <c r="AD153" s="4127" t="s">
        <v>3846</v>
      </c>
      <c r="AE153" s="4130">
        <v>32.72</v>
      </c>
      <c r="AF153" s="4130">
        <v>10.119999999999999</v>
      </c>
    </row>
    <row r="154" spans="1:32" ht="15">
      <c r="A154" s="4595">
        <v>153</v>
      </c>
      <c r="B154" s="4595">
        <v>8</v>
      </c>
      <c r="C154" s="4595" t="s">
        <v>3844</v>
      </c>
      <c r="D154" s="4595">
        <v>102</v>
      </c>
      <c r="E154" s="4595" t="s">
        <v>3225</v>
      </c>
      <c r="F154" s="4596">
        <v>73.180000000000007</v>
      </c>
      <c r="G154" s="4596">
        <v>22.63</v>
      </c>
      <c r="H154" s="4133">
        <f t="shared" si="5"/>
        <v>0.30923749658376604</v>
      </c>
      <c r="Z154" s="4124">
        <v>153</v>
      </c>
      <c r="AA154" s="4127" t="s">
        <v>3845</v>
      </c>
      <c r="AB154" s="4126" t="s">
        <v>3844</v>
      </c>
      <c r="AC154" s="4126">
        <v>-1342</v>
      </c>
      <c r="AD154" s="4127" t="s">
        <v>3846</v>
      </c>
      <c r="AE154" s="4130">
        <v>32.72</v>
      </c>
      <c r="AF154" s="4130">
        <v>10.119999999999999</v>
      </c>
    </row>
    <row r="155" spans="1:32" ht="15">
      <c r="A155" s="4595">
        <v>154</v>
      </c>
      <c r="B155" s="4595">
        <v>8</v>
      </c>
      <c r="C155" s="4595" t="s">
        <v>3844</v>
      </c>
      <c r="D155" s="4595">
        <v>103</v>
      </c>
      <c r="E155" s="4595" t="s">
        <v>3225</v>
      </c>
      <c r="F155" s="4596">
        <v>64.069999999999993</v>
      </c>
      <c r="G155" s="4596">
        <v>19.809999999999999</v>
      </c>
      <c r="H155" s="4133">
        <f t="shared" si="5"/>
        <v>0.30919307007960045</v>
      </c>
      <c r="Z155" s="4124">
        <v>154</v>
      </c>
      <c r="AA155" s="4127" t="s">
        <v>3845</v>
      </c>
      <c r="AB155" s="4126" t="s">
        <v>3844</v>
      </c>
      <c r="AC155" s="4126">
        <v>-1343</v>
      </c>
      <c r="AD155" s="4127" t="s">
        <v>3846</v>
      </c>
      <c r="AE155" s="4130">
        <v>32.72</v>
      </c>
      <c r="AF155" s="4130">
        <v>10.119999999999999</v>
      </c>
    </row>
    <row r="156" spans="1:32" ht="15">
      <c r="A156" s="4595">
        <v>155</v>
      </c>
      <c r="B156" s="4595">
        <v>8</v>
      </c>
      <c r="C156" s="4595" t="s">
        <v>3844</v>
      </c>
      <c r="D156" s="4595">
        <v>104</v>
      </c>
      <c r="E156" s="4595" t="s">
        <v>3225</v>
      </c>
      <c r="F156" s="4596">
        <v>63.05</v>
      </c>
      <c r="G156" s="4596">
        <v>19.5</v>
      </c>
      <c r="H156" s="4133">
        <f t="shared" si="5"/>
        <v>0.30927835051546393</v>
      </c>
      <c r="Z156" s="4124">
        <v>155</v>
      </c>
      <c r="AA156" s="4127" t="s">
        <v>3845</v>
      </c>
      <c r="AB156" s="4126" t="s">
        <v>3844</v>
      </c>
      <c r="AC156" s="4126">
        <v>-1344</v>
      </c>
      <c r="AD156" s="4127" t="s">
        <v>3846</v>
      </c>
      <c r="AE156" s="4130">
        <v>32.72</v>
      </c>
      <c r="AF156" s="4130">
        <v>10.119999999999999</v>
      </c>
    </row>
    <row r="157" spans="1:32" ht="15">
      <c r="A157" s="4595">
        <v>156</v>
      </c>
      <c r="B157" s="4595">
        <v>8</v>
      </c>
      <c r="C157" s="4595" t="s">
        <v>3844</v>
      </c>
      <c r="D157" s="4595">
        <v>105</v>
      </c>
      <c r="E157" s="4595" t="s">
        <v>3225</v>
      </c>
      <c r="F157" s="4596">
        <v>62.68</v>
      </c>
      <c r="G157" s="4596">
        <v>19.38</v>
      </c>
      <c r="H157" s="4133">
        <f t="shared" si="5"/>
        <v>0.309189534141672</v>
      </c>
      <c r="Z157" s="4124">
        <v>156</v>
      </c>
      <c r="AA157" s="4127" t="s">
        <v>3845</v>
      </c>
      <c r="AB157" s="4126" t="s">
        <v>3844</v>
      </c>
      <c r="AC157" s="4126">
        <v>-2001</v>
      </c>
      <c r="AD157" s="4127" t="s">
        <v>3846</v>
      </c>
      <c r="AE157" s="4130">
        <v>32.72</v>
      </c>
      <c r="AF157" s="4130">
        <v>10.119999999999999</v>
      </c>
    </row>
    <row r="158" spans="1:32" ht="15">
      <c r="A158" s="4595">
        <v>157</v>
      </c>
      <c r="B158" s="4595">
        <v>8</v>
      </c>
      <c r="C158" s="4595" t="s">
        <v>3844</v>
      </c>
      <c r="D158" s="4595">
        <v>106</v>
      </c>
      <c r="E158" s="4595" t="s">
        <v>3225</v>
      </c>
      <c r="F158" s="4596">
        <v>88.51</v>
      </c>
      <c r="G158" s="4596">
        <v>27.37</v>
      </c>
      <c r="H158" s="4133">
        <f t="shared" si="5"/>
        <v>0.30923059541294767</v>
      </c>
      <c r="Z158" s="4124">
        <v>157</v>
      </c>
      <c r="AA158" s="4127" t="s">
        <v>3845</v>
      </c>
      <c r="AB158" s="4126" t="s">
        <v>3844</v>
      </c>
      <c r="AC158" s="4126">
        <v>-2002</v>
      </c>
      <c r="AD158" s="4127" t="s">
        <v>3846</v>
      </c>
      <c r="AE158" s="4130">
        <v>32.72</v>
      </c>
      <c r="AF158" s="4130">
        <v>10.119999999999999</v>
      </c>
    </row>
    <row r="159" spans="1:32" ht="15">
      <c r="A159" s="4595">
        <v>158</v>
      </c>
      <c r="B159" s="4595">
        <v>8</v>
      </c>
      <c r="C159" s="4595" t="s">
        <v>3844</v>
      </c>
      <c r="D159" s="4595">
        <v>107</v>
      </c>
      <c r="E159" s="4595" t="s">
        <v>3225</v>
      </c>
      <c r="F159" s="4596">
        <v>88.51</v>
      </c>
      <c r="G159" s="4596">
        <v>27.37</v>
      </c>
      <c r="H159" s="4133">
        <f t="shared" si="5"/>
        <v>0.30923059541294767</v>
      </c>
      <c r="Z159" s="4124">
        <v>158</v>
      </c>
      <c r="AA159" s="4127" t="s">
        <v>3845</v>
      </c>
      <c r="AB159" s="4126" t="s">
        <v>3844</v>
      </c>
      <c r="AC159" s="4126">
        <v>-2003</v>
      </c>
      <c r="AD159" s="4127" t="s">
        <v>3846</v>
      </c>
      <c r="AE159" s="4130">
        <v>32.72</v>
      </c>
      <c r="AF159" s="4130">
        <v>10.119999999999999</v>
      </c>
    </row>
    <row r="160" spans="1:32" ht="15">
      <c r="A160" s="4595">
        <v>159</v>
      </c>
      <c r="B160" s="4595">
        <v>8</v>
      </c>
      <c r="C160" s="4595" t="s">
        <v>3844</v>
      </c>
      <c r="D160" s="4595">
        <v>108</v>
      </c>
      <c r="E160" s="4595" t="s">
        <v>3225</v>
      </c>
      <c r="F160" s="4596">
        <v>62.68</v>
      </c>
      <c r="G160" s="4596">
        <v>19.38</v>
      </c>
      <c r="H160" s="4133">
        <f t="shared" si="5"/>
        <v>0.309189534141672</v>
      </c>
      <c r="Z160" s="4124">
        <v>159</v>
      </c>
      <c r="AA160" s="4127" t="s">
        <v>3845</v>
      </c>
      <c r="AB160" s="4126" t="s">
        <v>3844</v>
      </c>
      <c r="AC160" s="4126">
        <v>-2004</v>
      </c>
      <c r="AD160" s="4127" t="s">
        <v>3846</v>
      </c>
      <c r="AE160" s="4130">
        <v>32.72</v>
      </c>
      <c r="AF160" s="4130">
        <v>10.119999999999999</v>
      </c>
    </row>
    <row r="161" spans="1:32" ht="15">
      <c r="A161" s="4595">
        <v>160</v>
      </c>
      <c r="B161" s="4595">
        <v>8</v>
      </c>
      <c r="C161" s="4595" t="s">
        <v>3844</v>
      </c>
      <c r="D161" s="4595">
        <v>109</v>
      </c>
      <c r="E161" s="4595" t="s">
        <v>3225</v>
      </c>
      <c r="F161" s="4596">
        <v>63.05</v>
      </c>
      <c r="G161" s="4596">
        <v>19.5</v>
      </c>
      <c r="H161" s="4133">
        <f t="shared" si="5"/>
        <v>0.30927835051546393</v>
      </c>
      <c r="Z161" s="4124">
        <v>160</v>
      </c>
      <c r="AA161" s="4127" t="s">
        <v>3845</v>
      </c>
      <c r="AB161" s="4126" t="s">
        <v>3844</v>
      </c>
      <c r="AC161" s="4126">
        <v>-2006</v>
      </c>
      <c r="AD161" s="4127" t="s">
        <v>3846</v>
      </c>
      <c r="AE161" s="4130">
        <v>32.72</v>
      </c>
      <c r="AF161" s="4130">
        <v>10.119999999999999</v>
      </c>
    </row>
    <row r="162" spans="1:32" ht="15">
      <c r="A162" s="4595">
        <v>161</v>
      </c>
      <c r="B162" s="4595">
        <v>8</v>
      </c>
      <c r="C162" s="4595" t="s">
        <v>3844</v>
      </c>
      <c r="D162" s="4595">
        <v>110</v>
      </c>
      <c r="E162" s="4595" t="s">
        <v>3225</v>
      </c>
      <c r="F162" s="4596">
        <v>64.069999999999993</v>
      </c>
      <c r="G162" s="4596">
        <v>19.809999999999999</v>
      </c>
      <c r="H162" s="4133">
        <f t="shared" si="5"/>
        <v>0.30919307007960045</v>
      </c>
      <c r="Z162" s="4124">
        <v>161</v>
      </c>
      <c r="AA162" s="4127" t="s">
        <v>3845</v>
      </c>
      <c r="AB162" s="4126" t="s">
        <v>3844</v>
      </c>
      <c r="AC162" s="4126">
        <v>-2007</v>
      </c>
      <c r="AD162" s="4127" t="s">
        <v>3846</v>
      </c>
      <c r="AE162" s="4130">
        <v>32.72</v>
      </c>
      <c r="AF162" s="4130">
        <v>10.119999999999999</v>
      </c>
    </row>
    <row r="163" spans="1:32" ht="15">
      <c r="A163" s="4595">
        <v>162</v>
      </c>
      <c r="B163" s="4595">
        <v>8</v>
      </c>
      <c r="C163" s="4595" t="s">
        <v>3844</v>
      </c>
      <c r="D163" s="4595">
        <v>111</v>
      </c>
      <c r="E163" s="4595" t="s">
        <v>3225</v>
      </c>
      <c r="F163" s="4596">
        <v>45.08</v>
      </c>
      <c r="G163" s="4596">
        <v>13.94</v>
      </c>
      <c r="H163" s="4133">
        <f t="shared" si="5"/>
        <v>0.30922803904170365</v>
      </c>
      <c r="Z163" s="4124">
        <v>162</v>
      </c>
      <c r="AA163" s="4127" t="s">
        <v>3845</v>
      </c>
      <c r="AB163" s="4126" t="s">
        <v>3844</v>
      </c>
      <c r="AC163" s="4126">
        <v>-2008</v>
      </c>
      <c r="AD163" s="4127" t="s">
        <v>3846</v>
      </c>
      <c r="AE163" s="4130">
        <v>32.72</v>
      </c>
      <c r="AF163" s="4130">
        <v>10.119999999999999</v>
      </c>
    </row>
    <row r="164" spans="1:32" ht="15">
      <c r="A164" s="4595">
        <v>163</v>
      </c>
      <c r="B164" s="4595">
        <v>8</v>
      </c>
      <c r="C164" s="4595" t="s">
        <v>3844</v>
      </c>
      <c r="D164" s="4595">
        <v>112</v>
      </c>
      <c r="E164" s="4595" t="s">
        <v>3225</v>
      </c>
      <c r="F164" s="4596">
        <v>43.68</v>
      </c>
      <c r="G164" s="4596">
        <v>13.51</v>
      </c>
      <c r="H164" s="4133">
        <f t="shared" si="5"/>
        <v>0.30929487179487181</v>
      </c>
      <c r="Z164" s="4124">
        <v>163</v>
      </c>
      <c r="AA164" s="4127" t="s">
        <v>3845</v>
      </c>
      <c r="AB164" s="4126" t="s">
        <v>3844</v>
      </c>
      <c r="AC164" s="4126">
        <v>-2009</v>
      </c>
      <c r="AD164" s="4127" t="s">
        <v>3846</v>
      </c>
      <c r="AE164" s="4130">
        <v>32.72</v>
      </c>
      <c r="AF164" s="4130">
        <v>10.119999999999999</v>
      </c>
    </row>
    <row r="165" spans="1:32" ht="15">
      <c r="A165" s="4595">
        <v>164</v>
      </c>
      <c r="B165" s="4595">
        <v>8</v>
      </c>
      <c r="C165" s="4595" t="s">
        <v>3844</v>
      </c>
      <c r="D165" s="4595">
        <v>113</v>
      </c>
      <c r="E165" s="4595" t="s">
        <v>3225</v>
      </c>
      <c r="F165" s="4596">
        <v>95.72</v>
      </c>
      <c r="G165" s="4596">
        <v>29.6</v>
      </c>
      <c r="H165" s="4133">
        <f t="shared" si="5"/>
        <v>0.30923526953614711</v>
      </c>
      <c r="Z165" s="4124">
        <v>164</v>
      </c>
      <c r="AA165" s="4127" t="s">
        <v>3845</v>
      </c>
      <c r="AB165" s="4126" t="s">
        <v>3844</v>
      </c>
      <c r="AC165" s="4126">
        <v>-2010</v>
      </c>
      <c r="AD165" s="4127" t="s">
        <v>3846</v>
      </c>
      <c r="AE165" s="4130">
        <v>32.72</v>
      </c>
      <c r="AF165" s="4130">
        <v>10.119999999999999</v>
      </c>
    </row>
    <row r="166" spans="1:32" ht="15">
      <c r="A166" s="4595">
        <v>165</v>
      </c>
      <c r="B166" s="4595">
        <v>8</v>
      </c>
      <c r="C166" s="4595" t="s">
        <v>3844</v>
      </c>
      <c r="D166" s="4595">
        <v>118</v>
      </c>
      <c r="E166" s="4595" t="s">
        <v>3225</v>
      </c>
      <c r="F166" s="4596">
        <v>39.049999999999997</v>
      </c>
      <c r="G166" s="4596">
        <v>12.07</v>
      </c>
      <c r="H166" s="4133">
        <f t="shared" si="5"/>
        <v>0.30909090909090914</v>
      </c>
      <c r="Z166" s="4124">
        <v>165</v>
      </c>
      <c r="AA166" s="4127" t="s">
        <v>3845</v>
      </c>
      <c r="AB166" s="4126" t="s">
        <v>3844</v>
      </c>
      <c r="AC166" s="4126">
        <v>-2011</v>
      </c>
      <c r="AD166" s="4127" t="s">
        <v>3846</v>
      </c>
      <c r="AE166" s="4130">
        <v>32.72</v>
      </c>
      <c r="AF166" s="4130">
        <v>10.119999999999999</v>
      </c>
    </row>
    <row r="167" spans="1:32" ht="15">
      <c r="A167" s="4595">
        <v>166</v>
      </c>
      <c r="B167" s="4595">
        <v>8</v>
      </c>
      <c r="C167" s="4595" t="s">
        <v>3844</v>
      </c>
      <c r="D167" s="4595">
        <v>119</v>
      </c>
      <c r="E167" s="4595" t="s">
        <v>3225</v>
      </c>
      <c r="F167" s="4596">
        <v>80.73</v>
      </c>
      <c r="G167" s="4596">
        <v>24.96</v>
      </c>
      <c r="H167" s="4133">
        <f t="shared" si="5"/>
        <v>0.30917874396135264</v>
      </c>
      <c r="Z167" s="4124">
        <v>166</v>
      </c>
      <c r="AA167" s="4127" t="s">
        <v>3845</v>
      </c>
      <c r="AB167" s="4126" t="s">
        <v>3844</v>
      </c>
      <c r="AC167" s="4126">
        <v>-2012</v>
      </c>
      <c r="AD167" s="4127" t="s">
        <v>3846</v>
      </c>
      <c r="AE167" s="4130">
        <v>32.72</v>
      </c>
      <c r="AF167" s="4130">
        <v>10.119999999999999</v>
      </c>
    </row>
    <row r="168" spans="1:32" ht="15">
      <c r="A168" s="4595">
        <v>167</v>
      </c>
      <c r="B168" s="4595">
        <v>9</v>
      </c>
      <c r="C168" s="4595" t="s">
        <v>3844</v>
      </c>
      <c r="D168" s="4595">
        <v>101</v>
      </c>
      <c r="E168" s="4595" t="s">
        <v>3276</v>
      </c>
      <c r="F168" s="4596">
        <v>176.15</v>
      </c>
      <c r="G168" s="4596">
        <v>54.47</v>
      </c>
      <c r="H168" s="4133">
        <f t="shared" si="5"/>
        <v>0.30922509225092248</v>
      </c>
      <c r="Z168" s="4124">
        <v>167</v>
      </c>
      <c r="AA168" s="4127" t="s">
        <v>3845</v>
      </c>
      <c r="AB168" s="4126" t="s">
        <v>3844</v>
      </c>
      <c r="AC168" s="4126">
        <v>-2013</v>
      </c>
      <c r="AD168" s="4127" t="s">
        <v>3846</v>
      </c>
      <c r="AE168" s="4130">
        <v>32.72</v>
      </c>
      <c r="AF168" s="4130">
        <v>10.119999999999999</v>
      </c>
    </row>
    <row r="169" spans="1:32" ht="15">
      <c r="A169" s="4595">
        <v>168</v>
      </c>
      <c r="B169" s="4595">
        <v>9</v>
      </c>
      <c r="C169" s="4595" t="s">
        <v>3844</v>
      </c>
      <c r="D169" s="4595">
        <v>602</v>
      </c>
      <c r="E169" s="4595" t="s">
        <v>3276</v>
      </c>
      <c r="F169" s="4596">
        <v>178.43</v>
      </c>
      <c r="G169" s="4596">
        <v>55.17</v>
      </c>
      <c r="H169" s="4133">
        <f t="shared" si="5"/>
        <v>0.30919688393207417</v>
      </c>
      <c r="Z169" s="4124">
        <v>168</v>
      </c>
      <c r="AA169" s="4127" t="s">
        <v>3845</v>
      </c>
      <c r="AB169" s="4126" t="s">
        <v>3844</v>
      </c>
      <c r="AC169" s="4126">
        <v>-2014</v>
      </c>
      <c r="AD169" s="4127" t="s">
        <v>3846</v>
      </c>
      <c r="AE169" s="4130">
        <v>32.72</v>
      </c>
      <c r="AF169" s="4130">
        <v>10.119999999999999</v>
      </c>
    </row>
    <row r="170" spans="1:32" ht="15">
      <c r="A170" s="4595">
        <v>169</v>
      </c>
      <c r="B170" s="4595">
        <v>9</v>
      </c>
      <c r="C170" s="4595" t="s">
        <v>3844</v>
      </c>
      <c r="D170" s="4595">
        <v>201</v>
      </c>
      <c r="E170" s="4595" t="s">
        <v>3225</v>
      </c>
      <c r="F170" s="4596">
        <v>50.6</v>
      </c>
      <c r="G170" s="4596">
        <v>15.65</v>
      </c>
      <c r="H170" s="4133">
        <f t="shared" si="5"/>
        <v>0.30928853754940711</v>
      </c>
      <c r="Z170" s="4124">
        <v>169</v>
      </c>
      <c r="AA170" s="4127" t="s">
        <v>3845</v>
      </c>
      <c r="AB170" s="4126" t="s">
        <v>3844</v>
      </c>
      <c r="AC170" s="4126">
        <v>-2015</v>
      </c>
      <c r="AD170" s="4127" t="s">
        <v>3846</v>
      </c>
      <c r="AE170" s="4130">
        <v>32.72</v>
      </c>
      <c r="AF170" s="4130">
        <v>10.119999999999999</v>
      </c>
    </row>
    <row r="171" spans="1:32" ht="15">
      <c r="A171" s="4595">
        <v>170</v>
      </c>
      <c r="B171" s="4595">
        <v>9</v>
      </c>
      <c r="C171" s="4595" t="s">
        <v>3844</v>
      </c>
      <c r="D171" s="4595">
        <v>202</v>
      </c>
      <c r="E171" s="4595" t="s">
        <v>3225</v>
      </c>
      <c r="F171" s="4596">
        <v>22.26</v>
      </c>
      <c r="G171" s="4596">
        <v>6.88</v>
      </c>
      <c r="H171" s="4133">
        <f t="shared" si="5"/>
        <v>0.30907457322551657</v>
      </c>
      <c r="Z171" s="4124">
        <v>170</v>
      </c>
      <c r="AA171" s="4127" t="s">
        <v>3845</v>
      </c>
      <c r="AB171" s="4126" t="s">
        <v>3844</v>
      </c>
      <c r="AC171" s="4126">
        <v>-2016</v>
      </c>
      <c r="AD171" s="4127" t="s">
        <v>3846</v>
      </c>
      <c r="AE171" s="4130">
        <v>32.72</v>
      </c>
      <c r="AF171" s="4130">
        <v>10.119999999999999</v>
      </c>
    </row>
    <row r="172" spans="1:32" ht="15">
      <c r="A172" s="4595">
        <v>171</v>
      </c>
      <c r="B172" s="4595">
        <v>9</v>
      </c>
      <c r="C172" s="4595" t="s">
        <v>3844</v>
      </c>
      <c r="D172" s="4595">
        <v>203</v>
      </c>
      <c r="E172" s="4595" t="s">
        <v>3225</v>
      </c>
      <c r="F172" s="4596">
        <v>16.97</v>
      </c>
      <c r="G172" s="4596">
        <v>5.25</v>
      </c>
      <c r="H172" s="4133">
        <f t="shared" si="5"/>
        <v>0.3093694755450796</v>
      </c>
      <c r="Z172" s="4124">
        <v>171</v>
      </c>
      <c r="AA172" s="4127" t="s">
        <v>3845</v>
      </c>
      <c r="AB172" s="4126" t="s">
        <v>3844</v>
      </c>
      <c r="AC172" s="4126">
        <v>-2017</v>
      </c>
      <c r="AD172" s="4127" t="s">
        <v>3846</v>
      </c>
      <c r="AE172" s="4130">
        <v>32.72</v>
      </c>
      <c r="AF172" s="4130">
        <v>10.119999999999999</v>
      </c>
    </row>
    <row r="173" spans="1:32" ht="15">
      <c r="A173" s="4595">
        <v>172</v>
      </c>
      <c r="B173" s="4595">
        <v>9</v>
      </c>
      <c r="C173" s="4595" t="s">
        <v>3844</v>
      </c>
      <c r="D173" s="4595">
        <v>204</v>
      </c>
      <c r="E173" s="4595" t="s">
        <v>3225</v>
      </c>
      <c r="F173" s="4596">
        <v>16.579999999999998</v>
      </c>
      <c r="G173" s="4596">
        <v>5.13</v>
      </c>
      <c r="H173" s="4133">
        <f t="shared" si="5"/>
        <v>0.30940892641737033</v>
      </c>
      <c r="Z173" s="4124">
        <v>172</v>
      </c>
      <c r="AA173" s="4127" t="s">
        <v>3845</v>
      </c>
      <c r="AB173" s="4126" t="s">
        <v>3844</v>
      </c>
      <c r="AC173" s="4126">
        <v>-2018</v>
      </c>
      <c r="AD173" s="4127" t="s">
        <v>3846</v>
      </c>
      <c r="AE173" s="4130">
        <v>32.72</v>
      </c>
      <c r="AF173" s="4130">
        <v>10.119999999999999</v>
      </c>
    </row>
    <row r="174" spans="1:32" ht="15">
      <c r="A174" s="4595">
        <v>173</v>
      </c>
      <c r="B174" s="4595">
        <v>9</v>
      </c>
      <c r="C174" s="4595" t="s">
        <v>3844</v>
      </c>
      <c r="D174" s="4595">
        <v>205</v>
      </c>
      <c r="E174" s="4595" t="s">
        <v>3225</v>
      </c>
      <c r="F174" s="4596">
        <v>22.97</v>
      </c>
      <c r="G174" s="4596">
        <v>7.1</v>
      </c>
      <c r="H174" s="4133">
        <f t="shared" si="5"/>
        <v>0.30909882455376581</v>
      </c>
      <c r="Z174" s="4124">
        <v>173</v>
      </c>
      <c r="AA174" s="4127" t="s">
        <v>3845</v>
      </c>
      <c r="AB174" s="4126" t="s">
        <v>3844</v>
      </c>
      <c r="AC174" s="4126">
        <v>-2019</v>
      </c>
      <c r="AD174" s="4127" t="s">
        <v>3846</v>
      </c>
      <c r="AE174" s="4130">
        <v>32.72</v>
      </c>
      <c r="AF174" s="4130">
        <v>10.119999999999999</v>
      </c>
    </row>
    <row r="175" spans="1:32" ht="15">
      <c r="A175" s="4595">
        <v>174</v>
      </c>
      <c r="B175" s="4595">
        <v>9</v>
      </c>
      <c r="C175" s="4595" t="s">
        <v>3844</v>
      </c>
      <c r="D175" s="4595">
        <v>206</v>
      </c>
      <c r="E175" s="4595" t="s">
        <v>3225</v>
      </c>
      <c r="F175" s="4596">
        <v>59.26</v>
      </c>
      <c r="G175" s="4596">
        <v>18.32</v>
      </c>
      <c r="H175" s="4133">
        <f t="shared" si="5"/>
        <v>0.30914613567330412</v>
      </c>
      <c r="Z175" s="4124">
        <v>174</v>
      </c>
      <c r="AA175" s="4127" t="s">
        <v>3845</v>
      </c>
      <c r="AB175" s="4126" t="s">
        <v>3844</v>
      </c>
      <c r="AC175" s="4126">
        <v>-2022</v>
      </c>
      <c r="AD175" s="4127" t="s">
        <v>3846</v>
      </c>
      <c r="AE175" s="4130">
        <v>32.72</v>
      </c>
      <c r="AF175" s="4130">
        <v>10.119999999999999</v>
      </c>
    </row>
    <row r="176" spans="1:32" ht="15">
      <c r="A176" s="4595">
        <v>175</v>
      </c>
      <c r="B176" s="4595">
        <v>9</v>
      </c>
      <c r="C176" s="4595" t="s">
        <v>3844</v>
      </c>
      <c r="D176" s="4595">
        <v>208</v>
      </c>
      <c r="E176" s="4595" t="s">
        <v>3225</v>
      </c>
      <c r="F176" s="4596">
        <v>15.4</v>
      </c>
      <c r="G176" s="4596">
        <v>4.76</v>
      </c>
      <c r="H176" s="4133">
        <f t="shared" si="5"/>
        <v>0.30909090909090908</v>
      </c>
      <c r="Z176" s="4124">
        <v>175</v>
      </c>
      <c r="AA176" s="4127" t="s">
        <v>3845</v>
      </c>
      <c r="AB176" s="4126" t="s">
        <v>3844</v>
      </c>
      <c r="AC176" s="4126">
        <v>-2023</v>
      </c>
      <c r="AD176" s="4127" t="s">
        <v>3846</v>
      </c>
      <c r="AE176" s="4130">
        <v>32.72</v>
      </c>
      <c r="AF176" s="4130">
        <v>10.119999999999999</v>
      </c>
    </row>
    <row r="177" spans="1:32" ht="15">
      <c r="A177" s="4595">
        <v>176</v>
      </c>
      <c r="B177" s="4595">
        <v>9</v>
      </c>
      <c r="C177" s="4595" t="s">
        <v>3844</v>
      </c>
      <c r="D177" s="4595">
        <v>101</v>
      </c>
      <c r="E177" s="4595" t="s">
        <v>3225</v>
      </c>
      <c r="F177" s="4596">
        <v>60.88</v>
      </c>
      <c r="G177" s="4596">
        <v>18.82</v>
      </c>
      <c r="H177" s="4133">
        <f t="shared" si="5"/>
        <v>0.30913272010512483</v>
      </c>
      <c r="Z177" s="4124">
        <v>176</v>
      </c>
      <c r="AA177" s="4127" t="s">
        <v>3845</v>
      </c>
      <c r="AB177" s="4126" t="s">
        <v>3844</v>
      </c>
      <c r="AC177" s="4126">
        <v>-2024</v>
      </c>
      <c r="AD177" s="4127" t="s">
        <v>3846</v>
      </c>
      <c r="AE177" s="4130">
        <v>32.72</v>
      </c>
      <c r="AF177" s="4130">
        <v>10.119999999999999</v>
      </c>
    </row>
    <row r="178" spans="1:32" ht="15">
      <c r="A178" s="4595">
        <v>177</v>
      </c>
      <c r="B178" s="4595">
        <v>9</v>
      </c>
      <c r="C178" s="4595" t="s">
        <v>3844</v>
      </c>
      <c r="D178" s="4595">
        <v>102</v>
      </c>
      <c r="E178" s="4595" t="s">
        <v>3225</v>
      </c>
      <c r="F178" s="4596">
        <v>47.5</v>
      </c>
      <c r="G178" s="4596">
        <v>14.69</v>
      </c>
      <c r="H178" s="4133">
        <f t="shared" si="5"/>
        <v>0.30926315789473685</v>
      </c>
      <c r="Z178" s="4124">
        <v>177</v>
      </c>
      <c r="AA178" s="4127" t="s">
        <v>3845</v>
      </c>
      <c r="AB178" s="4126" t="s">
        <v>3844</v>
      </c>
      <c r="AC178" s="4126">
        <v>-2025</v>
      </c>
      <c r="AD178" s="4127" t="s">
        <v>3846</v>
      </c>
      <c r="AE178" s="4130">
        <v>32.72</v>
      </c>
      <c r="AF178" s="4130">
        <v>10.119999999999999</v>
      </c>
    </row>
    <row r="179" spans="1:32" ht="15">
      <c r="A179" s="4595">
        <v>178</v>
      </c>
      <c r="B179" s="4595">
        <v>9</v>
      </c>
      <c r="C179" s="4595" t="s">
        <v>3844</v>
      </c>
      <c r="D179" s="4595">
        <v>103</v>
      </c>
      <c r="E179" s="4595" t="s">
        <v>3225</v>
      </c>
      <c r="F179" s="4596">
        <v>56.95</v>
      </c>
      <c r="G179" s="4596">
        <v>17.61</v>
      </c>
      <c r="H179" s="4133">
        <f t="shared" si="5"/>
        <v>0.30921861281826163</v>
      </c>
      <c r="Z179" s="4124">
        <v>178</v>
      </c>
      <c r="AA179" s="4127" t="s">
        <v>3845</v>
      </c>
      <c r="AB179" s="4126" t="s">
        <v>3844</v>
      </c>
      <c r="AC179" s="4126">
        <v>-2026</v>
      </c>
      <c r="AD179" s="4127" t="s">
        <v>3846</v>
      </c>
      <c r="AE179" s="4130">
        <v>32.72</v>
      </c>
      <c r="AF179" s="4130">
        <v>10.119999999999999</v>
      </c>
    </row>
    <row r="180" spans="1:32" ht="15">
      <c r="A180" s="4595">
        <v>179</v>
      </c>
      <c r="B180" s="4595">
        <v>12</v>
      </c>
      <c r="C180" s="4595">
        <v>2</v>
      </c>
      <c r="D180" s="4595">
        <v>701</v>
      </c>
      <c r="E180" s="4595" t="s">
        <v>3276</v>
      </c>
      <c r="F180" s="4596">
        <v>138.69999999999999</v>
      </c>
      <c r="G180" s="4596">
        <v>42.89</v>
      </c>
      <c r="H180" s="4133">
        <f t="shared" si="5"/>
        <v>0.30922855082912765</v>
      </c>
      <c r="Z180" s="4124">
        <v>179</v>
      </c>
      <c r="AA180" s="4127" t="s">
        <v>3845</v>
      </c>
      <c r="AB180" s="4126" t="s">
        <v>3844</v>
      </c>
      <c r="AC180" s="4126">
        <v>-2027</v>
      </c>
      <c r="AD180" s="4127" t="s">
        <v>3846</v>
      </c>
      <c r="AE180" s="4130">
        <v>32.72</v>
      </c>
      <c r="AF180" s="4130">
        <v>10.119999999999999</v>
      </c>
    </row>
    <row r="181" spans="1:32" ht="15">
      <c r="A181" s="4595">
        <v>180</v>
      </c>
      <c r="B181" s="4595">
        <v>13</v>
      </c>
      <c r="C181" s="4595">
        <v>1</v>
      </c>
      <c r="D181" s="4595">
        <v>101</v>
      </c>
      <c r="E181" s="4595" t="s">
        <v>3276</v>
      </c>
      <c r="F181" s="4596">
        <v>131.16999999999999</v>
      </c>
      <c r="G181" s="4596">
        <v>40.56</v>
      </c>
      <c r="H181" s="4133">
        <f t="shared" si="5"/>
        <v>0.30921704658077309</v>
      </c>
      <c r="Z181" s="4124">
        <v>180</v>
      </c>
      <c r="AA181" s="4127" t="s">
        <v>3845</v>
      </c>
      <c r="AB181" s="4126" t="s">
        <v>3844</v>
      </c>
      <c r="AC181" s="4126">
        <v>-2028</v>
      </c>
      <c r="AD181" s="4127" t="s">
        <v>3846</v>
      </c>
      <c r="AE181" s="4130">
        <v>32.72</v>
      </c>
      <c r="AF181" s="4130">
        <v>10.119999999999999</v>
      </c>
    </row>
    <row r="182" spans="1:32" ht="15">
      <c r="A182" s="4595">
        <v>181</v>
      </c>
      <c r="B182" s="4595">
        <v>13</v>
      </c>
      <c r="C182" s="4595" t="s">
        <v>3844</v>
      </c>
      <c r="D182" s="4595">
        <v>101</v>
      </c>
      <c r="E182" s="4595" t="s">
        <v>3225</v>
      </c>
      <c r="F182" s="4596">
        <v>50.87</v>
      </c>
      <c r="G182" s="4596">
        <v>15.73</v>
      </c>
      <c r="H182" s="4133">
        <f t="shared" si="5"/>
        <v>0.3092195793198349</v>
      </c>
      <c r="Z182" s="4124">
        <v>181</v>
      </c>
      <c r="AA182" s="4127" t="s">
        <v>3845</v>
      </c>
      <c r="AB182" s="4126" t="s">
        <v>3844</v>
      </c>
      <c r="AC182" s="4126">
        <v>-2029</v>
      </c>
      <c r="AD182" s="4127" t="s">
        <v>3846</v>
      </c>
      <c r="AE182" s="4130">
        <v>32.72</v>
      </c>
      <c r="AF182" s="4130">
        <v>10.119999999999999</v>
      </c>
    </row>
    <row r="183" spans="1:32" ht="15">
      <c r="A183" s="4595">
        <v>182</v>
      </c>
      <c r="B183" s="4595">
        <v>13</v>
      </c>
      <c r="C183" s="4595" t="s">
        <v>3844</v>
      </c>
      <c r="D183" s="4595">
        <v>102</v>
      </c>
      <c r="E183" s="4595" t="s">
        <v>3225</v>
      </c>
      <c r="F183" s="4596">
        <v>40.58</v>
      </c>
      <c r="G183" s="4596">
        <v>12.55</v>
      </c>
      <c r="H183" s="4133">
        <f t="shared" si="5"/>
        <v>0.30926564810251356</v>
      </c>
      <c r="Z183" s="4124">
        <v>182</v>
      </c>
      <c r="AA183" s="4127" t="s">
        <v>3845</v>
      </c>
      <c r="AB183" s="4126" t="s">
        <v>3844</v>
      </c>
      <c r="AC183" s="4126">
        <v>-2030</v>
      </c>
      <c r="AD183" s="4127" t="s">
        <v>3846</v>
      </c>
      <c r="AE183" s="4130">
        <v>32.72</v>
      </c>
      <c r="AF183" s="4130">
        <v>10.119999999999999</v>
      </c>
    </row>
    <row r="184" spans="1:32" ht="15">
      <c r="A184" s="4595">
        <v>183</v>
      </c>
      <c r="B184" s="4595">
        <v>13</v>
      </c>
      <c r="C184" s="4595" t="s">
        <v>3844</v>
      </c>
      <c r="D184" s="4595">
        <v>103</v>
      </c>
      <c r="E184" s="4595" t="s">
        <v>3225</v>
      </c>
      <c r="F184" s="4596">
        <v>38.409999999999997</v>
      </c>
      <c r="G184" s="4596">
        <v>11.88</v>
      </c>
      <c r="H184" s="4133">
        <f t="shared" si="5"/>
        <v>0.30929445456912269</v>
      </c>
      <c r="Z184" s="4124">
        <v>183</v>
      </c>
      <c r="AA184" s="4127" t="s">
        <v>3845</v>
      </c>
      <c r="AB184" s="4126" t="s">
        <v>3844</v>
      </c>
      <c r="AC184" s="4126">
        <v>-2031</v>
      </c>
      <c r="AD184" s="4127" t="s">
        <v>3846</v>
      </c>
      <c r="AE184" s="4130">
        <v>32.72</v>
      </c>
      <c r="AF184" s="4130">
        <v>10.119999999999999</v>
      </c>
    </row>
    <row r="185" spans="1:32" ht="15">
      <c r="A185" s="4595">
        <v>184</v>
      </c>
      <c r="B185" s="4597" t="s">
        <v>3845</v>
      </c>
      <c r="C185" s="4595" t="s">
        <v>3844</v>
      </c>
      <c r="D185" s="4595">
        <v>-1005</v>
      </c>
      <c r="E185" s="4597" t="s">
        <v>3846</v>
      </c>
      <c r="F185" s="4596">
        <v>32.72</v>
      </c>
      <c r="G185" s="4596">
        <v>10.119999999999999</v>
      </c>
      <c r="H185" s="4133">
        <f t="shared" si="5"/>
        <v>0.30929095354523228</v>
      </c>
      <c r="Z185" s="4124">
        <v>184</v>
      </c>
      <c r="AA185" s="4127" t="s">
        <v>3845</v>
      </c>
      <c r="AB185" s="4126" t="s">
        <v>3844</v>
      </c>
      <c r="AC185" s="4126">
        <v>-2033</v>
      </c>
      <c r="AD185" s="4127" t="s">
        <v>3846</v>
      </c>
      <c r="AE185" s="4130">
        <v>32.72</v>
      </c>
      <c r="AF185" s="4130">
        <v>10.119999999999999</v>
      </c>
    </row>
    <row r="186" spans="1:32" ht="15">
      <c r="A186" s="4595">
        <v>185</v>
      </c>
      <c r="B186" s="4597" t="s">
        <v>3845</v>
      </c>
      <c r="C186" s="4595" t="s">
        <v>3844</v>
      </c>
      <c r="D186" s="4595">
        <v>-1009</v>
      </c>
      <c r="E186" s="4597" t="s">
        <v>3846</v>
      </c>
      <c r="F186" s="4596">
        <v>32.72</v>
      </c>
      <c r="G186" s="4596">
        <v>10.119999999999999</v>
      </c>
      <c r="H186" s="4133">
        <f t="shared" si="5"/>
        <v>0.30929095354523228</v>
      </c>
      <c r="Z186" s="4124">
        <v>185</v>
      </c>
      <c r="AA186" s="4127" t="s">
        <v>3845</v>
      </c>
      <c r="AB186" s="4126" t="s">
        <v>3844</v>
      </c>
      <c r="AC186" s="4126">
        <v>-2034</v>
      </c>
      <c r="AD186" s="4127" t="s">
        <v>3846</v>
      </c>
      <c r="AE186" s="4130">
        <v>32.72</v>
      </c>
      <c r="AF186" s="4130">
        <v>10.119999999999999</v>
      </c>
    </row>
    <row r="187" spans="1:32" ht="15">
      <c r="A187" s="4595">
        <v>186</v>
      </c>
      <c r="B187" s="4597" t="s">
        <v>3845</v>
      </c>
      <c r="C187" s="4595" t="s">
        <v>3844</v>
      </c>
      <c r="D187" s="4595">
        <v>-1010</v>
      </c>
      <c r="E187" s="4597" t="s">
        <v>3846</v>
      </c>
      <c r="F187" s="4596">
        <v>32.72</v>
      </c>
      <c r="G187" s="4596">
        <v>10.119999999999999</v>
      </c>
      <c r="H187" s="4133">
        <f t="shared" si="5"/>
        <v>0.30929095354523228</v>
      </c>
      <c r="Z187" s="4124">
        <v>186</v>
      </c>
      <c r="AA187" s="4127" t="s">
        <v>3845</v>
      </c>
      <c r="AB187" s="4126" t="s">
        <v>3844</v>
      </c>
      <c r="AC187" s="4126">
        <v>-2035</v>
      </c>
      <c r="AD187" s="4127" t="s">
        <v>3846</v>
      </c>
      <c r="AE187" s="4130">
        <v>32.72</v>
      </c>
      <c r="AF187" s="4130">
        <v>10.119999999999999</v>
      </c>
    </row>
    <row r="188" spans="1:32" ht="15">
      <c r="A188" s="4595">
        <v>187</v>
      </c>
      <c r="B188" s="4597" t="s">
        <v>3845</v>
      </c>
      <c r="C188" s="4595" t="s">
        <v>3844</v>
      </c>
      <c r="D188" s="4595">
        <v>-1011</v>
      </c>
      <c r="E188" s="4597" t="s">
        <v>3846</v>
      </c>
      <c r="F188" s="4596">
        <v>32.72</v>
      </c>
      <c r="G188" s="4596">
        <v>10.119999999999999</v>
      </c>
      <c r="H188" s="4133">
        <f t="shared" si="5"/>
        <v>0.30929095354523228</v>
      </c>
      <c r="Z188" s="4124">
        <v>187</v>
      </c>
      <c r="AA188" s="4127" t="s">
        <v>3845</v>
      </c>
      <c r="AB188" s="4126" t="s">
        <v>3844</v>
      </c>
      <c r="AC188" s="4126">
        <v>-2036</v>
      </c>
      <c r="AD188" s="4127" t="s">
        <v>3846</v>
      </c>
      <c r="AE188" s="4130">
        <v>32.72</v>
      </c>
      <c r="AF188" s="4130">
        <v>10.119999999999999</v>
      </c>
    </row>
    <row r="189" spans="1:32" ht="15">
      <c r="A189" s="4595">
        <v>188</v>
      </c>
      <c r="B189" s="4597" t="s">
        <v>3845</v>
      </c>
      <c r="C189" s="4595" t="s">
        <v>3844</v>
      </c>
      <c r="D189" s="4595">
        <v>-1014</v>
      </c>
      <c r="E189" s="4597" t="s">
        <v>3846</v>
      </c>
      <c r="F189" s="4596">
        <v>32.72</v>
      </c>
      <c r="G189" s="4596">
        <v>10.119999999999999</v>
      </c>
      <c r="H189" s="4133">
        <f t="shared" si="5"/>
        <v>0.30929095354523228</v>
      </c>
      <c r="Z189" s="4124">
        <v>188</v>
      </c>
      <c r="AA189" s="4127" t="s">
        <v>3845</v>
      </c>
      <c r="AB189" s="4126" t="s">
        <v>3844</v>
      </c>
      <c r="AC189" s="4126">
        <v>-2037</v>
      </c>
      <c r="AD189" s="4127" t="s">
        <v>3846</v>
      </c>
      <c r="AE189" s="4130">
        <v>32.72</v>
      </c>
      <c r="AF189" s="4130">
        <v>10.119999999999999</v>
      </c>
    </row>
    <row r="190" spans="1:32" ht="15">
      <c r="A190" s="4595">
        <v>189</v>
      </c>
      <c r="B190" s="4597" t="s">
        <v>3845</v>
      </c>
      <c r="C190" s="4595" t="s">
        <v>3844</v>
      </c>
      <c r="D190" s="4595">
        <v>-1016</v>
      </c>
      <c r="E190" s="4597" t="s">
        <v>3846</v>
      </c>
      <c r="F190" s="4596">
        <v>32.72</v>
      </c>
      <c r="G190" s="4596">
        <v>10.119999999999999</v>
      </c>
      <c r="H190" s="4133">
        <f t="shared" si="5"/>
        <v>0.30929095354523228</v>
      </c>
      <c r="Z190" s="4124">
        <v>189</v>
      </c>
      <c r="AA190" s="4127" t="s">
        <v>3845</v>
      </c>
      <c r="AB190" s="4126" t="s">
        <v>3844</v>
      </c>
      <c r="AC190" s="4126">
        <v>-2038</v>
      </c>
      <c r="AD190" s="4127" t="s">
        <v>3846</v>
      </c>
      <c r="AE190" s="4130">
        <v>32.72</v>
      </c>
      <c r="AF190" s="4130">
        <v>10.119999999999999</v>
      </c>
    </row>
    <row r="191" spans="1:32" ht="15">
      <c r="A191" s="4595">
        <v>190</v>
      </c>
      <c r="B191" s="4597" t="s">
        <v>3845</v>
      </c>
      <c r="C191" s="4595" t="s">
        <v>3844</v>
      </c>
      <c r="D191" s="4595">
        <v>-1017</v>
      </c>
      <c r="E191" s="4597" t="s">
        <v>3846</v>
      </c>
      <c r="F191" s="4596">
        <v>32.72</v>
      </c>
      <c r="G191" s="4596">
        <v>10.119999999999999</v>
      </c>
      <c r="H191" s="4133">
        <f t="shared" si="5"/>
        <v>0.30929095354523228</v>
      </c>
      <c r="Z191" s="4124">
        <v>190</v>
      </c>
      <c r="AA191" s="4127" t="s">
        <v>3845</v>
      </c>
      <c r="AB191" s="4126" t="s">
        <v>3844</v>
      </c>
      <c r="AC191" s="4126">
        <v>-2039</v>
      </c>
      <c r="AD191" s="4127" t="s">
        <v>3846</v>
      </c>
      <c r="AE191" s="4130">
        <v>32.72</v>
      </c>
      <c r="AF191" s="4130">
        <v>10.119999999999999</v>
      </c>
    </row>
    <row r="192" spans="1:32" ht="15">
      <c r="A192" s="4595">
        <v>191</v>
      </c>
      <c r="B192" s="4597" t="s">
        <v>3845</v>
      </c>
      <c r="C192" s="4595" t="s">
        <v>3844</v>
      </c>
      <c r="D192" s="4595">
        <v>-1018</v>
      </c>
      <c r="E192" s="4597" t="s">
        <v>3846</v>
      </c>
      <c r="F192" s="4596">
        <v>32.72</v>
      </c>
      <c r="G192" s="4596">
        <v>10.119999999999999</v>
      </c>
      <c r="H192" s="4133">
        <f t="shared" si="5"/>
        <v>0.30929095354523228</v>
      </c>
      <c r="Z192" s="4124">
        <v>191</v>
      </c>
      <c r="AA192" s="4127" t="s">
        <v>3845</v>
      </c>
      <c r="AB192" s="4126" t="s">
        <v>3844</v>
      </c>
      <c r="AC192" s="4126">
        <v>-2040</v>
      </c>
      <c r="AD192" s="4127" t="s">
        <v>3846</v>
      </c>
      <c r="AE192" s="4130">
        <v>32.72</v>
      </c>
      <c r="AF192" s="4130">
        <v>10.119999999999999</v>
      </c>
    </row>
    <row r="193" spans="1:32" ht="15">
      <c r="A193" s="4595">
        <v>192</v>
      </c>
      <c r="B193" s="4597" t="s">
        <v>3845</v>
      </c>
      <c r="C193" s="4595" t="s">
        <v>3844</v>
      </c>
      <c r="D193" s="4595">
        <v>-1024</v>
      </c>
      <c r="E193" s="4597" t="s">
        <v>3846</v>
      </c>
      <c r="F193" s="4596">
        <v>32.72</v>
      </c>
      <c r="G193" s="4596">
        <v>10.119999999999999</v>
      </c>
      <c r="H193" s="4133">
        <f t="shared" si="5"/>
        <v>0.30929095354523228</v>
      </c>
      <c r="Z193" s="4124">
        <v>192</v>
      </c>
      <c r="AA193" s="4127" t="s">
        <v>3845</v>
      </c>
      <c r="AB193" s="4126" t="s">
        <v>3844</v>
      </c>
      <c r="AC193" s="4126">
        <v>-2041</v>
      </c>
      <c r="AD193" s="4127" t="s">
        <v>3846</v>
      </c>
      <c r="AE193" s="4130">
        <v>32.72</v>
      </c>
      <c r="AF193" s="4130">
        <v>10.119999999999999</v>
      </c>
    </row>
    <row r="194" spans="1:32" ht="15">
      <c r="A194" s="4595">
        <v>193</v>
      </c>
      <c r="B194" s="4597" t="s">
        <v>3845</v>
      </c>
      <c r="C194" s="4595" t="s">
        <v>3844</v>
      </c>
      <c r="D194" s="4595">
        <v>-1027</v>
      </c>
      <c r="E194" s="4597" t="s">
        <v>3846</v>
      </c>
      <c r="F194" s="4596">
        <v>32.72</v>
      </c>
      <c r="G194" s="4596">
        <v>10.119999999999999</v>
      </c>
      <c r="H194" s="4133">
        <f t="shared" ref="H194:H257" si="6">G194/F194</f>
        <v>0.30929095354523228</v>
      </c>
      <c r="Z194" s="4124">
        <v>193</v>
      </c>
      <c r="AA194" s="4127" t="s">
        <v>3845</v>
      </c>
      <c r="AB194" s="4126" t="s">
        <v>3844</v>
      </c>
      <c r="AC194" s="4126">
        <v>-2042</v>
      </c>
      <c r="AD194" s="4127" t="s">
        <v>3846</v>
      </c>
      <c r="AE194" s="4130">
        <v>32.72</v>
      </c>
      <c r="AF194" s="4130">
        <v>10.119999999999999</v>
      </c>
    </row>
    <row r="195" spans="1:32" ht="15">
      <c r="A195" s="4595">
        <v>194</v>
      </c>
      <c r="B195" s="4597" t="s">
        <v>3845</v>
      </c>
      <c r="C195" s="4595" t="s">
        <v>3844</v>
      </c>
      <c r="D195" s="4595">
        <v>-1028</v>
      </c>
      <c r="E195" s="4597" t="s">
        <v>3846</v>
      </c>
      <c r="F195" s="4596">
        <v>32.72</v>
      </c>
      <c r="G195" s="4596">
        <v>10.119999999999999</v>
      </c>
      <c r="H195" s="4133">
        <f t="shared" si="6"/>
        <v>0.30929095354523228</v>
      </c>
      <c r="Z195" s="4124">
        <v>194</v>
      </c>
      <c r="AA195" s="4127" t="s">
        <v>3845</v>
      </c>
      <c r="AB195" s="4126" t="s">
        <v>3844</v>
      </c>
      <c r="AC195" s="4126">
        <v>-2044</v>
      </c>
      <c r="AD195" s="4127" t="s">
        <v>3846</v>
      </c>
      <c r="AE195" s="4130">
        <v>32.72</v>
      </c>
      <c r="AF195" s="4130">
        <v>10.119999999999999</v>
      </c>
    </row>
    <row r="196" spans="1:32" ht="15">
      <c r="A196" s="4595">
        <v>195</v>
      </c>
      <c r="B196" s="4597" t="s">
        <v>3845</v>
      </c>
      <c r="C196" s="4595" t="s">
        <v>3844</v>
      </c>
      <c r="D196" s="4595">
        <v>-1034</v>
      </c>
      <c r="E196" s="4597" t="s">
        <v>3846</v>
      </c>
      <c r="F196" s="4596">
        <v>32.72</v>
      </c>
      <c r="G196" s="4596">
        <v>10.119999999999999</v>
      </c>
      <c r="H196" s="4133">
        <f t="shared" si="6"/>
        <v>0.30929095354523228</v>
      </c>
      <c r="Z196" s="4124">
        <v>195</v>
      </c>
      <c r="AA196" s="4127" t="s">
        <v>3845</v>
      </c>
      <c r="AB196" s="4126" t="s">
        <v>3844</v>
      </c>
      <c r="AC196" s="4126">
        <v>-2045</v>
      </c>
      <c r="AD196" s="4127" t="s">
        <v>3846</v>
      </c>
      <c r="AE196" s="4130">
        <v>32.72</v>
      </c>
      <c r="AF196" s="4130">
        <v>10.119999999999999</v>
      </c>
    </row>
    <row r="197" spans="1:32" ht="15">
      <c r="A197" s="4595">
        <v>196</v>
      </c>
      <c r="B197" s="4597" t="s">
        <v>3845</v>
      </c>
      <c r="C197" s="4595" t="s">
        <v>3844</v>
      </c>
      <c r="D197" s="4595">
        <v>-1035</v>
      </c>
      <c r="E197" s="4597" t="s">
        <v>3846</v>
      </c>
      <c r="F197" s="4596">
        <v>32.72</v>
      </c>
      <c r="G197" s="4596">
        <v>10.119999999999999</v>
      </c>
      <c r="H197" s="4133">
        <f t="shared" si="6"/>
        <v>0.30929095354523228</v>
      </c>
      <c r="Z197" s="4124">
        <v>196</v>
      </c>
      <c r="AA197" s="4127" t="s">
        <v>3845</v>
      </c>
      <c r="AB197" s="4126" t="s">
        <v>3844</v>
      </c>
      <c r="AC197" s="4126">
        <v>-2046</v>
      </c>
      <c r="AD197" s="4127" t="s">
        <v>3846</v>
      </c>
      <c r="AE197" s="4130">
        <v>32.72</v>
      </c>
      <c r="AF197" s="4130">
        <v>10.119999999999999</v>
      </c>
    </row>
    <row r="198" spans="1:32" ht="15">
      <c r="A198" s="4595">
        <v>197</v>
      </c>
      <c r="B198" s="4597" t="s">
        <v>3845</v>
      </c>
      <c r="C198" s="4595" t="s">
        <v>3844</v>
      </c>
      <c r="D198" s="4595">
        <v>-1036</v>
      </c>
      <c r="E198" s="4597" t="s">
        <v>3846</v>
      </c>
      <c r="F198" s="4596">
        <v>47.11</v>
      </c>
      <c r="G198" s="4596">
        <v>14.57</v>
      </c>
      <c r="H198" s="4133">
        <f t="shared" si="6"/>
        <v>0.30927616217363618</v>
      </c>
      <c r="Z198" s="4124">
        <v>197</v>
      </c>
      <c r="AA198" s="4127" t="s">
        <v>3845</v>
      </c>
      <c r="AB198" s="4126" t="s">
        <v>3844</v>
      </c>
      <c r="AC198" s="4126">
        <v>-2047</v>
      </c>
      <c r="AD198" s="4127" t="s">
        <v>3846</v>
      </c>
      <c r="AE198" s="4130">
        <v>32.72</v>
      </c>
      <c r="AF198" s="4130">
        <v>10.119999999999999</v>
      </c>
    </row>
    <row r="199" spans="1:32" ht="15">
      <c r="A199" s="4595">
        <v>198</v>
      </c>
      <c r="B199" s="4597" t="s">
        <v>3845</v>
      </c>
      <c r="C199" s="4595" t="s">
        <v>3844</v>
      </c>
      <c r="D199" s="4595">
        <v>-1043</v>
      </c>
      <c r="E199" s="4597" t="s">
        <v>3846</v>
      </c>
      <c r="F199" s="4596">
        <v>32.72</v>
      </c>
      <c r="G199" s="4596">
        <v>10.119999999999999</v>
      </c>
      <c r="H199" s="4133">
        <f t="shared" si="6"/>
        <v>0.30929095354523228</v>
      </c>
      <c r="Z199" s="4124">
        <v>198</v>
      </c>
      <c r="AA199" s="4127" t="s">
        <v>3845</v>
      </c>
      <c r="AB199" s="4126" t="s">
        <v>3844</v>
      </c>
      <c r="AC199" s="4126">
        <v>-2048</v>
      </c>
      <c r="AD199" s="4127" t="s">
        <v>3846</v>
      </c>
      <c r="AE199" s="4130">
        <v>32.72</v>
      </c>
      <c r="AF199" s="4130">
        <v>10.119999999999999</v>
      </c>
    </row>
    <row r="200" spans="1:32" ht="15">
      <c r="A200" s="4595">
        <v>199</v>
      </c>
      <c r="B200" s="4597" t="s">
        <v>3845</v>
      </c>
      <c r="C200" s="4595" t="s">
        <v>3844</v>
      </c>
      <c r="D200" s="4595">
        <v>-1061</v>
      </c>
      <c r="E200" s="4597" t="s">
        <v>3846</v>
      </c>
      <c r="F200" s="4596">
        <v>32.72</v>
      </c>
      <c r="G200" s="4596">
        <v>10.119999999999999</v>
      </c>
      <c r="H200" s="4133">
        <f t="shared" si="6"/>
        <v>0.30929095354523228</v>
      </c>
      <c r="Z200" s="4124">
        <v>199</v>
      </c>
      <c r="AA200" s="4127" t="s">
        <v>3845</v>
      </c>
      <c r="AB200" s="4126" t="s">
        <v>3844</v>
      </c>
      <c r="AC200" s="4126">
        <v>-2049</v>
      </c>
      <c r="AD200" s="4127" t="s">
        <v>3846</v>
      </c>
      <c r="AE200" s="4130">
        <v>32.72</v>
      </c>
      <c r="AF200" s="4130">
        <v>10.119999999999999</v>
      </c>
    </row>
    <row r="201" spans="1:32" ht="15">
      <c r="A201" s="4595">
        <v>200</v>
      </c>
      <c r="B201" s="4597" t="s">
        <v>3845</v>
      </c>
      <c r="C201" s="4595" t="s">
        <v>3844</v>
      </c>
      <c r="D201" s="4595">
        <v>-1067</v>
      </c>
      <c r="E201" s="4597" t="s">
        <v>3846</v>
      </c>
      <c r="F201" s="4596">
        <v>32.72</v>
      </c>
      <c r="G201" s="4596">
        <v>10.119999999999999</v>
      </c>
      <c r="H201" s="4133">
        <f t="shared" si="6"/>
        <v>0.30929095354523228</v>
      </c>
      <c r="Z201" s="4124">
        <v>200</v>
      </c>
      <c r="AA201" s="4127" t="s">
        <v>3845</v>
      </c>
      <c r="AB201" s="4126" t="s">
        <v>3844</v>
      </c>
      <c r="AC201" s="4126">
        <v>-2050</v>
      </c>
      <c r="AD201" s="4127" t="s">
        <v>3846</v>
      </c>
      <c r="AE201" s="4130">
        <v>32.72</v>
      </c>
      <c r="AF201" s="4130">
        <v>10.119999999999999</v>
      </c>
    </row>
    <row r="202" spans="1:32" ht="15">
      <c r="A202" s="4595">
        <v>201</v>
      </c>
      <c r="B202" s="4597" t="s">
        <v>3845</v>
      </c>
      <c r="C202" s="4595" t="s">
        <v>3844</v>
      </c>
      <c r="D202" s="4595">
        <v>-1074</v>
      </c>
      <c r="E202" s="4597" t="s">
        <v>3846</v>
      </c>
      <c r="F202" s="4596">
        <v>32.72</v>
      </c>
      <c r="G202" s="4596">
        <v>10.119999999999999</v>
      </c>
      <c r="H202" s="4133">
        <f t="shared" si="6"/>
        <v>0.30929095354523228</v>
      </c>
      <c r="Z202" s="4124">
        <v>201</v>
      </c>
      <c r="AA202" s="4127" t="s">
        <v>3845</v>
      </c>
      <c r="AB202" s="4126" t="s">
        <v>3844</v>
      </c>
      <c r="AC202" s="4126">
        <v>-2052</v>
      </c>
      <c r="AD202" s="4127" t="s">
        <v>3846</v>
      </c>
      <c r="AE202" s="4130">
        <v>32.72</v>
      </c>
      <c r="AF202" s="4130">
        <v>10.119999999999999</v>
      </c>
    </row>
    <row r="203" spans="1:32" ht="15">
      <c r="A203" s="4595">
        <v>202</v>
      </c>
      <c r="B203" s="4597" t="s">
        <v>3845</v>
      </c>
      <c r="C203" s="4595" t="s">
        <v>3844</v>
      </c>
      <c r="D203" s="4595">
        <v>-1078</v>
      </c>
      <c r="E203" s="4597" t="s">
        <v>3846</v>
      </c>
      <c r="F203" s="4596">
        <v>47.11</v>
      </c>
      <c r="G203" s="4596">
        <v>14.57</v>
      </c>
      <c r="H203" s="4133">
        <f t="shared" si="6"/>
        <v>0.30927616217363618</v>
      </c>
      <c r="Z203" s="4124">
        <v>202</v>
      </c>
      <c r="AA203" s="4127" t="s">
        <v>3845</v>
      </c>
      <c r="AB203" s="4126" t="s">
        <v>3844</v>
      </c>
      <c r="AC203" s="4126">
        <v>-2053</v>
      </c>
      <c r="AD203" s="4127" t="s">
        <v>3846</v>
      </c>
      <c r="AE203" s="4130">
        <v>32.72</v>
      </c>
      <c r="AF203" s="4130">
        <v>10.119999999999999</v>
      </c>
    </row>
    <row r="204" spans="1:32" ht="15">
      <c r="A204" s="4595">
        <v>203</v>
      </c>
      <c r="B204" s="4597" t="s">
        <v>3845</v>
      </c>
      <c r="C204" s="4595" t="s">
        <v>3844</v>
      </c>
      <c r="D204" s="4595">
        <v>-1084</v>
      </c>
      <c r="E204" s="4597" t="s">
        <v>3846</v>
      </c>
      <c r="F204" s="4596">
        <v>32.72</v>
      </c>
      <c r="G204" s="4596">
        <v>10.119999999999999</v>
      </c>
      <c r="H204" s="4133">
        <f t="shared" si="6"/>
        <v>0.30929095354523228</v>
      </c>
      <c r="Z204" s="4124">
        <v>203</v>
      </c>
      <c r="AA204" s="4127" t="s">
        <v>3845</v>
      </c>
      <c r="AB204" s="4126" t="s">
        <v>3844</v>
      </c>
      <c r="AC204" s="4126">
        <v>-2054</v>
      </c>
      <c r="AD204" s="4127" t="s">
        <v>3846</v>
      </c>
      <c r="AE204" s="4130">
        <v>32.72</v>
      </c>
      <c r="AF204" s="4130">
        <v>10.119999999999999</v>
      </c>
    </row>
    <row r="205" spans="1:32" ht="15">
      <c r="A205" s="4595">
        <v>204</v>
      </c>
      <c r="B205" s="4597" t="s">
        <v>3845</v>
      </c>
      <c r="C205" s="4595" t="s">
        <v>3844</v>
      </c>
      <c r="D205" s="4595">
        <v>-1090</v>
      </c>
      <c r="E205" s="4597" t="s">
        <v>3846</v>
      </c>
      <c r="F205" s="4596">
        <v>32.72</v>
      </c>
      <c r="G205" s="4596">
        <v>10.119999999999999</v>
      </c>
      <c r="H205" s="4133">
        <f t="shared" si="6"/>
        <v>0.30929095354523228</v>
      </c>
      <c r="Z205" s="4124">
        <v>204</v>
      </c>
      <c r="AA205" s="4127" t="s">
        <v>3845</v>
      </c>
      <c r="AB205" s="4126" t="s">
        <v>3844</v>
      </c>
      <c r="AC205" s="4126">
        <v>-2055</v>
      </c>
      <c r="AD205" s="4127" t="s">
        <v>3846</v>
      </c>
      <c r="AE205" s="4130">
        <v>32.72</v>
      </c>
      <c r="AF205" s="4130">
        <v>10.119999999999999</v>
      </c>
    </row>
    <row r="206" spans="1:32" ht="15">
      <c r="A206" s="4595">
        <v>205</v>
      </c>
      <c r="B206" s="4597" t="s">
        <v>3845</v>
      </c>
      <c r="C206" s="4595" t="s">
        <v>3844</v>
      </c>
      <c r="D206" s="4595">
        <v>-1093</v>
      </c>
      <c r="E206" s="4597" t="s">
        <v>3846</v>
      </c>
      <c r="F206" s="4596">
        <v>32.72</v>
      </c>
      <c r="G206" s="4596">
        <v>10.119999999999999</v>
      </c>
      <c r="H206" s="4133">
        <f t="shared" si="6"/>
        <v>0.30929095354523228</v>
      </c>
      <c r="Z206" s="4124">
        <v>205</v>
      </c>
      <c r="AA206" s="4127" t="s">
        <v>3845</v>
      </c>
      <c r="AB206" s="4126" t="s">
        <v>3844</v>
      </c>
      <c r="AC206" s="4126">
        <v>-2056</v>
      </c>
      <c r="AD206" s="4127" t="s">
        <v>3846</v>
      </c>
      <c r="AE206" s="4130">
        <v>32.72</v>
      </c>
      <c r="AF206" s="4130">
        <v>10.119999999999999</v>
      </c>
    </row>
    <row r="207" spans="1:32" ht="15">
      <c r="A207" s="4595">
        <v>206</v>
      </c>
      <c r="B207" s="4597" t="s">
        <v>3845</v>
      </c>
      <c r="C207" s="4595" t="s">
        <v>3844</v>
      </c>
      <c r="D207" s="4595">
        <v>-1094</v>
      </c>
      <c r="E207" s="4597" t="s">
        <v>3846</v>
      </c>
      <c r="F207" s="4596">
        <v>32.72</v>
      </c>
      <c r="G207" s="4596">
        <v>10.119999999999999</v>
      </c>
      <c r="H207" s="4133">
        <f t="shared" si="6"/>
        <v>0.30929095354523228</v>
      </c>
      <c r="Z207" s="4124">
        <v>206</v>
      </c>
      <c r="AA207" s="4127" t="s">
        <v>3845</v>
      </c>
      <c r="AB207" s="4126" t="s">
        <v>3844</v>
      </c>
      <c r="AC207" s="4126">
        <v>-2057</v>
      </c>
      <c r="AD207" s="4127" t="s">
        <v>3846</v>
      </c>
      <c r="AE207" s="4130">
        <v>32.72</v>
      </c>
      <c r="AF207" s="4130">
        <v>10.119999999999999</v>
      </c>
    </row>
    <row r="208" spans="1:32" ht="15">
      <c r="A208" s="4595">
        <v>207</v>
      </c>
      <c r="B208" s="4597" t="s">
        <v>3845</v>
      </c>
      <c r="C208" s="4595" t="s">
        <v>3844</v>
      </c>
      <c r="D208" s="4595">
        <v>-1096</v>
      </c>
      <c r="E208" s="4597" t="s">
        <v>3846</v>
      </c>
      <c r="F208" s="4596">
        <v>32.72</v>
      </c>
      <c r="G208" s="4596">
        <v>10.119999999999999</v>
      </c>
      <c r="H208" s="4133">
        <f t="shared" si="6"/>
        <v>0.30929095354523228</v>
      </c>
      <c r="Z208" s="4124">
        <v>207</v>
      </c>
      <c r="AA208" s="4127" t="s">
        <v>3845</v>
      </c>
      <c r="AB208" s="4126" t="s">
        <v>3844</v>
      </c>
      <c r="AC208" s="4126">
        <v>-2058</v>
      </c>
      <c r="AD208" s="4127" t="s">
        <v>3846</v>
      </c>
      <c r="AE208" s="4130">
        <v>32.72</v>
      </c>
      <c r="AF208" s="4130">
        <v>10.119999999999999</v>
      </c>
    </row>
    <row r="209" spans="1:32" ht="15">
      <c r="A209" s="4595">
        <v>208</v>
      </c>
      <c r="B209" s="4597" t="s">
        <v>3845</v>
      </c>
      <c r="C209" s="4595" t="s">
        <v>3844</v>
      </c>
      <c r="D209" s="4595">
        <v>-1105</v>
      </c>
      <c r="E209" s="4597" t="s">
        <v>3846</v>
      </c>
      <c r="F209" s="4596">
        <v>32.72</v>
      </c>
      <c r="G209" s="4596">
        <v>10.119999999999999</v>
      </c>
      <c r="H209" s="4133">
        <f t="shared" si="6"/>
        <v>0.30929095354523228</v>
      </c>
      <c r="Z209" s="4124">
        <v>208</v>
      </c>
      <c r="AA209" s="4127" t="s">
        <v>3845</v>
      </c>
      <c r="AB209" s="4126" t="s">
        <v>3844</v>
      </c>
      <c r="AC209" s="4126">
        <v>-2059</v>
      </c>
      <c r="AD209" s="4127" t="s">
        <v>3846</v>
      </c>
      <c r="AE209" s="4130">
        <v>32.72</v>
      </c>
      <c r="AF209" s="4130">
        <v>10.119999999999999</v>
      </c>
    </row>
    <row r="210" spans="1:32" ht="15">
      <c r="A210" s="4595">
        <v>209</v>
      </c>
      <c r="B210" s="4597" t="s">
        <v>3845</v>
      </c>
      <c r="C210" s="4595" t="s">
        <v>3844</v>
      </c>
      <c r="D210" s="4595">
        <v>-1106</v>
      </c>
      <c r="E210" s="4597" t="s">
        <v>3846</v>
      </c>
      <c r="F210" s="4596">
        <v>32.72</v>
      </c>
      <c r="G210" s="4596">
        <v>10.119999999999999</v>
      </c>
      <c r="H210" s="4133">
        <f t="shared" si="6"/>
        <v>0.30929095354523228</v>
      </c>
      <c r="Z210" s="4124">
        <v>209</v>
      </c>
      <c r="AA210" s="4127" t="s">
        <v>3845</v>
      </c>
      <c r="AB210" s="4126" t="s">
        <v>3844</v>
      </c>
      <c r="AC210" s="4126">
        <v>-2060</v>
      </c>
      <c r="AD210" s="4127" t="s">
        <v>3846</v>
      </c>
      <c r="AE210" s="4130">
        <v>32.72</v>
      </c>
      <c r="AF210" s="4130">
        <v>10.119999999999999</v>
      </c>
    </row>
    <row r="211" spans="1:32" ht="15">
      <c r="A211" s="4595">
        <v>210</v>
      </c>
      <c r="B211" s="4597" t="s">
        <v>3845</v>
      </c>
      <c r="C211" s="4595" t="s">
        <v>3844</v>
      </c>
      <c r="D211" s="4595">
        <v>-1107</v>
      </c>
      <c r="E211" s="4597" t="s">
        <v>3846</v>
      </c>
      <c r="F211" s="4596">
        <v>32.72</v>
      </c>
      <c r="G211" s="4596">
        <v>10.119999999999999</v>
      </c>
      <c r="H211" s="4133">
        <f t="shared" si="6"/>
        <v>0.30929095354523228</v>
      </c>
      <c r="Z211" s="4124">
        <v>210</v>
      </c>
      <c r="AA211" s="4127" t="s">
        <v>3845</v>
      </c>
      <c r="AB211" s="4126" t="s">
        <v>3844</v>
      </c>
      <c r="AC211" s="4126">
        <v>-2061</v>
      </c>
      <c r="AD211" s="4127" t="s">
        <v>3846</v>
      </c>
      <c r="AE211" s="4130">
        <v>32.72</v>
      </c>
      <c r="AF211" s="4130">
        <v>10.119999999999999</v>
      </c>
    </row>
    <row r="212" spans="1:32" ht="15">
      <c r="A212" s="4595">
        <v>211</v>
      </c>
      <c r="B212" s="4597" t="s">
        <v>3845</v>
      </c>
      <c r="C212" s="4595" t="s">
        <v>3844</v>
      </c>
      <c r="D212" s="4595">
        <v>-1109</v>
      </c>
      <c r="E212" s="4597" t="s">
        <v>3846</v>
      </c>
      <c r="F212" s="4596">
        <v>32.72</v>
      </c>
      <c r="G212" s="4596">
        <v>10.119999999999999</v>
      </c>
      <c r="H212" s="4133">
        <f t="shared" si="6"/>
        <v>0.30929095354523228</v>
      </c>
      <c r="Z212" s="4124">
        <v>211</v>
      </c>
      <c r="AA212" s="4127" t="s">
        <v>3845</v>
      </c>
      <c r="AB212" s="4126" t="s">
        <v>3844</v>
      </c>
      <c r="AC212" s="4126">
        <v>-2062</v>
      </c>
      <c r="AD212" s="4127" t="s">
        <v>3846</v>
      </c>
      <c r="AE212" s="4130">
        <v>32.72</v>
      </c>
      <c r="AF212" s="4130">
        <v>10.119999999999999</v>
      </c>
    </row>
    <row r="213" spans="1:32" ht="15">
      <c r="A213" s="4595">
        <v>212</v>
      </c>
      <c r="B213" s="4597" t="s">
        <v>3845</v>
      </c>
      <c r="C213" s="4595" t="s">
        <v>3844</v>
      </c>
      <c r="D213" s="4595">
        <v>-1110</v>
      </c>
      <c r="E213" s="4597" t="s">
        <v>3846</v>
      </c>
      <c r="F213" s="4596">
        <v>32.72</v>
      </c>
      <c r="G213" s="4596">
        <v>10.119999999999999</v>
      </c>
      <c r="H213" s="4133">
        <f t="shared" si="6"/>
        <v>0.30929095354523228</v>
      </c>
      <c r="Z213" s="4124">
        <v>212</v>
      </c>
      <c r="AA213" s="4127" t="s">
        <v>3845</v>
      </c>
      <c r="AB213" s="4126" t="s">
        <v>3844</v>
      </c>
      <c r="AC213" s="4126">
        <v>-2063</v>
      </c>
      <c r="AD213" s="4127" t="s">
        <v>3846</v>
      </c>
      <c r="AE213" s="4130">
        <v>32.72</v>
      </c>
      <c r="AF213" s="4130">
        <v>10.119999999999999</v>
      </c>
    </row>
    <row r="214" spans="1:32" ht="15">
      <c r="A214" s="4595">
        <v>213</v>
      </c>
      <c r="B214" s="4597" t="s">
        <v>3845</v>
      </c>
      <c r="C214" s="4595" t="s">
        <v>3844</v>
      </c>
      <c r="D214" s="4595">
        <v>-1112</v>
      </c>
      <c r="E214" s="4597" t="s">
        <v>3846</v>
      </c>
      <c r="F214" s="4596">
        <v>32.72</v>
      </c>
      <c r="G214" s="4596">
        <v>10.119999999999999</v>
      </c>
      <c r="H214" s="4133">
        <f t="shared" si="6"/>
        <v>0.30929095354523228</v>
      </c>
      <c r="Z214" s="4124">
        <v>213</v>
      </c>
      <c r="AA214" s="4127" t="s">
        <v>3845</v>
      </c>
      <c r="AB214" s="4126" t="s">
        <v>3844</v>
      </c>
      <c r="AC214" s="4126">
        <v>-2064</v>
      </c>
      <c r="AD214" s="4127" t="s">
        <v>3846</v>
      </c>
      <c r="AE214" s="4130">
        <v>32.72</v>
      </c>
      <c r="AF214" s="4130">
        <v>10.119999999999999</v>
      </c>
    </row>
    <row r="215" spans="1:32" ht="15">
      <c r="A215" s="4595">
        <v>214</v>
      </c>
      <c r="B215" s="4597" t="s">
        <v>3845</v>
      </c>
      <c r="C215" s="4595" t="s">
        <v>3844</v>
      </c>
      <c r="D215" s="4595">
        <v>-1114</v>
      </c>
      <c r="E215" s="4597" t="s">
        <v>3846</v>
      </c>
      <c r="F215" s="4596">
        <v>32.72</v>
      </c>
      <c r="G215" s="4596">
        <v>10.119999999999999</v>
      </c>
      <c r="H215" s="4133">
        <f t="shared" si="6"/>
        <v>0.30929095354523228</v>
      </c>
      <c r="Z215" s="4124">
        <v>214</v>
      </c>
      <c r="AA215" s="4127" t="s">
        <v>3845</v>
      </c>
      <c r="AB215" s="4126" t="s">
        <v>3844</v>
      </c>
      <c r="AC215" s="4126">
        <v>-2065</v>
      </c>
      <c r="AD215" s="4127" t="s">
        <v>3846</v>
      </c>
      <c r="AE215" s="4130">
        <v>32.72</v>
      </c>
      <c r="AF215" s="4130">
        <v>10.119999999999999</v>
      </c>
    </row>
    <row r="216" spans="1:32" ht="15">
      <c r="A216" s="4595">
        <v>215</v>
      </c>
      <c r="B216" s="4597" t="s">
        <v>3845</v>
      </c>
      <c r="C216" s="4595" t="s">
        <v>3844</v>
      </c>
      <c r="D216" s="4595">
        <v>-1116</v>
      </c>
      <c r="E216" s="4597" t="s">
        <v>3846</v>
      </c>
      <c r="F216" s="4596">
        <v>32.72</v>
      </c>
      <c r="G216" s="4596">
        <v>10.119999999999999</v>
      </c>
      <c r="H216" s="4133">
        <f t="shared" si="6"/>
        <v>0.30929095354523228</v>
      </c>
      <c r="Z216" s="4124">
        <v>215</v>
      </c>
      <c r="AA216" s="4127" t="s">
        <v>3845</v>
      </c>
      <c r="AB216" s="4126" t="s">
        <v>3844</v>
      </c>
      <c r="AC216" s="4126">
        <v>-2066</v>
      </c>
      <c r="AD216" s="4127" t="s">
        <v>3846</v>
      </c>
      <c r="AE216" s="4130">
        <v>32.72</v>
      </c>
      <c r="AF216" s="4130">
        <v>10.119999999999999</v>
      </c>
    </row>
    <row r="217" spans="1:32" ht="15">
      <c r="A217" s="4595">
        <v>216</v>
      </c>
      <c r="B217" s="4597" t="s">
        <v>3845</v>
      </c>
      <c r="C217" s="4595" t="s">
        <v>3844</v>
      </c>
      <c r="D217" s="4595">
        <v>-1118</v>
      </c>
      <c r="E217" s="4597" t="s">
        <v>3846</v>
      </c>
      <c r="F217" s="4596">
        <v>32.72</v>
      </c>
      <c r="G217" s="4596">
        <v>10.119999999999999</v>
      </c>
      <c r="H217" s="4133">
        <f t="shared" si="6"/>
        <v>0.30929095354523228</v>
      </c>
      <c r="Z217" s="4124">
        <v>216</v>
      </c>
      <c r="AA217" s="4127" t="s">
        <v>3845</v>
      </c>
      <c r="AB217" s="4126" t="s">
        <v>3844</v>
      </c>
      <c r="AC217" s="4126">
        <v>-2069</v>
      </c>
      <c r="AD217" s="4127" t="s">
        <v>3846</v>
      </c>
      <c r="AE217" s="4130">
        <v>32.72</v>
      </c>
      <c r="AF217" s="4130">
        <v>10.119999999999999</v>
      </c>
    </row>
    <row r="218" spans="1:32" ht="15">
      <c r="A218" s="4595">
        <v>217</v>
      </c>
      <c r="B218" s="4597" t="s">
        <v>3845</v>
      </c>
      <c r="C218" s="4595" t="s">
        <v>3844</v>
      </c>
      <c r="D218" s="4595">
        <v>-1119</v>
      </c>
      <c r="E218" s="4597" t="s">
        <v>3846</v>
      </c>
      <c r="F218" s="4596">
        <v>32.72</v>
      </c>
      <c r="G218" s="4596">
        <v>10.119999999999999</v>
      </c>
      <c r="H218" s="4133">
        <f t="shared" si="6"/>
        <v>0.30929095354523228</v>
      </c>
      <c r="Z218" s="4124">
        <v>217</v>
      </c>
      <c r="AA218" s="4127" t="s">
        <v>3845</v>
      </c>
      <c r="AB218" s="4126" t="s">
        <v>3844</v>
      </c>
      <c r="AC218" s="4126">
        <v>-2070</v>
      </c>
      <c r="AD218" s="4127" t="s">
        <v>3846</v>
      </c>
      <c r="AE218" s="4130">
        <v>32.72</v>
      </c>
      <c r="AF218" s="4130">
        <v>10.119999999999999</v>
      </c>
    </row>
    <row r="219" spans="1:32" ht="15">
      <c r="A219" s="4595">
        <v>218</v>
      </c>
      <c r="B219" s="4597" t="s">
        <v>3845</v>
      </c>
      <c r="C219" s="4595" t="s">
        <v>3844</v>
      </c>
      <c r="D219" s="4595">
        <v>-1122</v>
      </c>
      <c r="E219" s="4597" t="s">
        <v>3846</v>
      </c>
      <c r="F219" s="4596">
        <v>32.72</v>
      </c>
      <c r="G219" s="4596">
        <v>10.119999999999999</v>
      </c>
      <c r="H219" s="4133">
        <f t="shared" si="6"/>
        <v>0.30929095354523228</v>
      </c>
      <c r="Z219" s="4124">
        <v>218</v>
      </c>
      <c r="AA219" s="4127" t="s">
        <v>3845</v>
      </c>
      <c r="AB219" s="4126" t="s">
        <v>3844</v>
      </c>
      <c r="AC219" s="4126">
        <v>-2071</v>
      </c>
      <c r="AD219" s="4127" t="s">
        <v>3846</v>
      </c>
      <c r="AE219" s="4130">
        <v>32.72</v>
      </c>
      <c r="AF219" s="4130">
        <v>10.119999999999999</v>
      </c>
    </row>
    <row r="220" spans="1:32" ht="15">
      <c r="A220" s="4595">
        <v>219</v>
      </c>
      <c r="B220" s="4597" t="s">
        <v>3845</v>
      </c>
      <c r="C220" s="4595" t="s">
        <v>3844</v>
      </c>
      <c r="D220" s="4595">
        <v>-1124</v>
      </c>
      <c r="E220" s="4597" t="s">
        <v>3846</v>
      </c>
      <c r="F220" s="4596">
        <v>32.72</v>
      </c>
      <c r="G220" s="4596">
        <v>10.119999999999999</v>
      </c>
      <c r="H220" s="4133">
        <f t="shared" si="6"/>
        <v>0.30929095354523228</v>
      </c>
      <c r="Z220" s="4124">
        <v>219</v>
      </c>
      <c r="AA220" s="4127" t="s">
        <v>3845</v>
      </c>
      <c r="AB220" s="4126" t="s">
        <v>3844</v>
      </c>
      <c r="AC220" s="4126">
        <v>-2072</v>
      </c>
      <c r="AD220" s="4127" t="s">
        <v>3846</v>
      </c>
      <c r="AE220" s="4130">
        <v>47.11</v>
      </c>
      <c r="AF220" s="4130">
        <v>14.57</v>
      </c>
    </row>
    <row r="221" spans="1:32" ht="15">
      <c r="A221" s="4595">
        <v>220</v>
      </c>
      <c r="B221" s="4597" t="s">
        <v>3845</v>
      </c>
      <c r="C221" s="4595" t="s">
        <v>3844</v>
      </c>
      <c r="D221" s="4595">
        <v>-1127</v>
      </c>
      <c r="E221" s="4597" t="s">
        <v>3846</v>
      </c>
      <c r="F221" s="4596">
        <v>32.72</v>
      </c>
      <c r="G221" s="4596">
        <v>10.119999999999999</v>
      </c>
      <c r="H221" s="4133">
        <f t="shared" si="6"/>
        <v>0.30929095354523228</v>
      </c>
      <c r="Z221" s="4124">
        <v>220</v>
      </c>
      <c r="AA221" s="4127" t="s">
        <v>3845</v>
      </c>
      <c r="AB221" s="4126" t="s">
        <v>3844</v>
      </c>
      <c r="AC221" s="4126">
        <v>-2073</v>
      </c>
      <c r="AD221" s="4127" t="s">
        <v>3846</v>
      </c>
      <c r="AE221" s="4130">
        <v>32.72</v>
      </c>
      <c r="AF221" s="4130">
        <v>10.119999999999999</v>
      </c>
    </row>
    <row r="222" spans="1:32" ht="15">
      <c r="A222" s="4595">
        <v>221</v>
      </c>
      <c r="B222" s="4597" t="s">
        <v>3845</v>
      </c>
      <c r="C222" s="4595" t="s">
        <v>3844</v>
      </c>
      <c r="D222" s="4595">
        <v>-1128</v>
      </c>
      <c r="E222" s="4597" t="s">
        <v>3846</v>
      </c>
      <c r="F222" s="4596">
        <v>32.72</v>
      </c>
      <c r="G222" s="4596">
        <v>10.119999999999999</v>
      </c>
      <c r="H222" s="4133">
        <f t="shared" si="6"/>
        <v>0.30929095354523228</v>
      </c>
      <c r="Z222" s="4124">
        <v>221</v>
      </c>
      <c r="AA222" s="4127" t="s">
        <v>3845</v>
      </c>
      <c r="AB222" s="4126" t="s">
        <v>3844</v>
      </c>
      <c r="AC222" s="4126">
        <v>-2074</v>
      </c>
      <c r="AD222" s="4127" t="s">
        <v>3846</v>
      </c>
      <c r="AE222" s="4130">
        <v>32.72</v>
      </c>
      <c r="AF222" s="4130">
        <v>10.119999999999999</v>
      </c>
    </row>
    <row r="223" spans="1:32" ht="15">
      <c r="A223" s="4595">
        <v>222</v>
      </c>
      <c r="B223" s="4597" t="s">
        <v>3845</v>
      </c>
      <c r="C223" s="4595" t="s">
        <v>3844</v>
      </c>
      <c r="D223" s="4595">
        <v>-1129</v>
      </c>
      <c r="E223" s="4597" t="s">
        <v>3846</v>
      </c>
      <c r="F223" s="4596">
        <v>32.72</v>
      </c>
      <c r="G223" s="4596">
        <v>10.119999999999999</v>
      </c>
      <c r="H223" s="4133">
        <f t="shared" si="6"/>
        <v>0.30929095354523228</v>
      </c>
      <c r="Z223" s="4124">
        <v>222</v>
      </c>
      <c r="AA223" s="4127" t="s">
        <v>3845</v>
      </c>
      <c r="AB223" s="4126" t="s">
        <v>3844</v>
      </c>
      <c r="AC223" s="4126">
        <v>-2075</v>
      </c>
      <c r="AD223" s="4127" t="s">
        <v>3846</v>
      </c>
      <c r="AE223" s="4130">
        <v>32.72</v>
      </c>
      <c r="AF223" s="4130">
        <v>10.119999999999999</v>
      </c>
    </row>
    <row r="224" spans="1:32" ht="15">
      <c r="A224" s="4595">
        <v>223</v>
      </c>
      <c r="B224" s="4597" t="s">
        <v>3845</v>
      </c>
      <c r="C224" s="4595" t="s">
        <v>3844</v>
      </c>
      <c r="D224" s="4595">
        <v>-1135</v>
      </c>
      <c r="E224" s="4597" t="s">
        <v>3846</v>
      </c>
      <c r="F224" s="4596">
        <v>32.72</v>
      </c>
      <c r="G224" s="4596">
        <v>10.119999999999999</v>
      </c>
      <c r="H224" s="4133">
        <f t="shared" si="6"/>
        <v>0.30929095354523228</v>
      </c>
      <c r="Z224" s="4124">
        <v>223</v>
      </c>
      <c r="AA224" s="4127" t="s">
        <v>3845</v>
      </c>
      <c r="AB224" s="4126" t="s">
        <v>3844</v>
      </c>
      <c r="AC224" s="4126">
        <v>-2076</v>
      </c>
      <c r="AD224" s="4127" t="s">
        <v>3846</v>
      </c>
      <c r="AE224" s="4130">
        <v>32.72</v>
      </c>
      <c r="AF224" s="4130">
        <v>10.119999999999999</v>
      </c>
    </row>
    <row r="225" spans="1:32" ht="15">
      <c r="A225" s="4595">
        <v>224</v>
      </c>
      <c r="B225" s="4597" t="s">
        <v>3845</v>
      </c>
      <c r="C225" s="4595" t="s">
        <v>3844</v>
      </c>
      <c r="D225" s="4595">
        <v>-1136</v>
      </c>
      <c r="E225" s="4597" t="s">
        <v>3846</v>
      </c>
      <c r="F225" s="4596">
        <v>32.72</v>
      </c>
      <c r="G225" s="4596">
        <v>10.119999999999999</v>
      </c>
      <c r="H225" s="4133">
        <f t="shared" si="6"/>
        <v>0.30929095354523228</v>
      </c>
      <c r="Z225" s="4124">
        <v>224</v>
      </c>
      <c r="AA225" s="4127" t="s">
        <v>3845</v>
      </c>
      <c r="AB225" s="4126" t="s">
        <v>3844</v>
      </c>
      <c r="AC225" s="4126">
        <v>-2080</v>
      </c>
      <c r="AD225" s="4127" t="s">
        <v>3846</v>
      </c>
      <c r="AE225" s="4130">
        <v>32.72</v>
      </c>
      <c r="AF225" s="4130">
        <v>10.119999999999999</v>
      </c>
    </row>
    <row r="226" spans="1:32" ht="15">
      <c r="A226" s="4595">
        <v>225</v>
      </c>
      <c r="B226" s="4597" t="s">
        <v>3845</v>
      </c>
      <c r="C226" s="4595" t="s">
        <v>3844</v>
      </c>
      <c r="D226" s="4595">
        <v>-1144</v>
      </c>
      <c r="E226" s="4597" t="s">
        <v>3846</v>
      </c>
      <c r="F226" s="4596">
        <v>32.72</v>
      </c>
      <c r="G226" s="4596">
        <v>10.119999999999999</v>
      </c>
      <c r="H226" s="4133">
        <f t="shared" si="6"/>
        <v>0.30929095354523228</v>
      </c>
      <c r="Z226" s="4124">
        <v>225</v>
      </c>
      <c r="AA226" s="4127" t="s">
        <v>3845</v>
      </c>
      <c r="AB226" s="4126" t="s">
        <v>3844</v>
      </c>
      <c r="AC226" s="4126">
        <v>-2081</v>
      </c>
      <c r="AD226" s="4127" t="s">
        <v>3846</v>
      </c>
      <c r="AE226" s="4130">
        <v>32.72</v>
      </c>
      <c r="AF226" s="4130">
        <v>10.119999999999999</v>
      </c>
    </row>
    <row r="227" spans="1:32" ht="15">
      <c r="A227" s="4595">
        <v>226</v>
      </c>
      <c r="B227" s="4597" t="s">
        <v>3845</v>
      </c>
      <c r="C227" s="4595" t="s">
        <v>3844</v>
      </c>
      <c r="D227" s="4595">
        <v>-1145</v>
      </c>
      <c r="E227" s="4597" t="s">
        <v>3846</v>
      </c>
      <c r="F227" s="4596">
        <v>32.72</v>
      </c>
      <c r="G227" s="4596">
        <v>10.119999999999999</v>
      </c>
      <c r="H227" s="4133">
        <f t="shared" si="6"/>
        <v>0.30929095354523228</v>
      </c>
      <c r="Z227" s="4124">
        <v>226</v>
      </c>
      <c r="AA227" s="4127" t="s">
        <v>3845</v>
      </c>
      <c r="AB227" s="4126" t="s">
        <v>3844</v>
      </c>
      <c r="AC227" s="4126">
        <v>-2082</v>
      </c>
      <c r="AD227" s="4127" t="s">
        <v>3846</v>
      </c>
      <c r="AE227" s="4130">
        <v>32.72</v>
      </c>
      <c r="AF227" s="4130">
        <v>10.119999999999999</v>
      </c>
    </row>
    <row r="228" spans="1:32" ht="15">
      <c r="A228" s="4595">
        <v>227</v>
      </c>
      <c r="B228" s="4597" t="s">
        <v>3845</v>
      </c>
      <c r="C228" s="4595" t="s">
        <v>3844</v>
      </c>
      <c r="D228" s="4595">
        <v>-1151</v>
      </c>
      <c r="E228" s="4597" t="s">
        <v>3846</v>
      </c>
      <c r="F228" s="4596">
        <v>32.72</v>
      </c>
      <c r="G228" s="4596">
        <v>10.119999999999999</v>
      </c>
      <c r="H228" s="4133">
        <f t="shared" si="6"/>
        <v>0.30929095354523228</v>
      </c>
      <c r="Z228" s="4124">
        <v>227</v>
      </c>
      <c r="AA228" s="4127" t="s">
        <v>3845</v>
      </c>
      <c r="AB228" s="4126" t="s">
        <v>3844</v>
      </c>
      <c r="AC228" s="4126">
        <v>-2084</v>
      </c>
      <c r="AD228" s="4127" t="s">
        <v>3846</v>
      </c>
      <c r="AE228" s="4130">
        <v>32.72</v>
      </c>
      <c r="AF228" s="4130">
        <v>10.119999999999999</v>
      </c>
    </row>
    <row r="229" spans="1:32" ht="15">
      <c r="A229" s="4595">
        <v>228</v>
      </c>
      <c r="B229" s="4597" t="s">
        <v>3845</v>
      </c>
      <c r="C229" s="4595" t="s">
        <v>3844</v>
      </c>
      <c r="D229" s="4595">
        <v>-1152</v>
      </c>
      <c r="E229" s="4597" t="s">
        <v>3846</v>
      </c>
      <c r="F229" s="4596">
        <v>32.72</v>
      </c>
      <c r="G229" s="4596">
        <v>10.119999999999999</v>
      </c>
      <c r="H229" s="4133">
        <f t="shared" si="6"/>
        <v>0.30929095354523228</v>
      </c>
      <c r="Z229" s="4124">
        <v>228</v>
      </c>
      <c r="AA229" s="4127" t="s">
        <v>3845</v>
      </c>
      <c r="AB229" s="4126" t="s">
        <v>3844</v>
      </c>
      <c r="AC229" s="4126">
        <v>-2085</v>
      </c>
      <c r="AD229" s="4127" t="s">
        <v>3846</v>
      </c>
      <c r="AE229" s="4130">
        <v>32.72</v>
      </c>
      <c r="AF229" s="4130">
        <v>10.119999999999999</v>
      </c>
    </row>
    <row r="230" spans="1:32" ht="15">
      <c r="A230" s="4595">
        <v>229</v>
      </c>
      <c r="B230" s="4597" t="s">
        <v>3845</v>
      </c>
      <c r="C230" s="4595" t="s">
        <v>3844</v>
      </c>
      <c r="D230" s="4595">
        <v>-1155</v>
      </c>
      <c r="E230" s="4597" t="s">
        <v>3846</v>
      </c>
      <c r="F230" s="4596">
        <v>32.72</v>
      </c>
      <c r="G230" s="4596">
        <v>10.119999999999999</v>
      </c>
      <c r="H230" s="4133">
        <f t="shared" si="6"/>
        <v>0.30929095354523228</v>
      </c>
      <c r="Z230" s="4124">
        <v>229</v>
      </c>
      <c r="AA230" s="4127" t="s">
        <v>3845</v>
      </c>
      <c r="AB230" s="4126" t="s">
        <v>3844</v>
      </c>
      <c r="AC230" s="4126">
        <v>-2086</v>
      </c>
      <c r="AD230" s="4127" t="s">
        <v>3846</v>
      </c>
      <c r="AE230" s="4130">
        <v>32.72</v>
      </c>
      <c r="AF230" s="4130">
        <v>10.119999999999999</v>
      </c>
    </row>
    <row r="231" spans="1:32" ht="15">
      <c r="A231" s="4595">
        <v>230</v>
      </c>
      <c r="B231" s="4597" t="s">
        <v>3845</v>
      </c>
      <c r="C231" s="4595" t="s">
        <v>3844</v>
      </c>
      <c r="D231" s="4595">
        <v>-1159</v>
      </c>
      <c r="E231" s="4597" t="s">
        <v>3846</v>
      </c>
      <c r="F231" s="4596">
        <v>32.72</v>
      </c>
      <c r="G231" s="4596">
        <v>10.119999999999999</v>
      </c>
      <c r="H231" s="4133">
        <f t="shared" si="6"/>
        <v>0.30929095354523228</v>
      </c>
      <c r="Z231" s="4124">
        <v>230</v>
      </c>
      <c r="AA231" s="4127" t="s">
        <v>3845</v>
      </c>
      <c r="AB231" s="4126" t="s">
        <v>3844</v>
      </c>
      <c r="AC231" s="4126">
        <v>-2088</v>
      </c>
      <c r="AD231" s="4127" t="s">
        <v>3846</v>
      </c>
      <c r="AE231" s="4130">
        <v>32.72</v>
      </c>
      <c r="AF231" s="4130">
        <v>10.119999999999999</v>
      </c>
    </row>
    <row r="232" spans="1:32" ht="15">
      <c r="A232" s="4595">
        <v>231</v>
      </c>
      <c r="B232" s="4597" t="s">
        <v>3845</v>
      </c>
      <c r="C232" s="4595" t="s">
        <v>3844</v>
      </c>
      <c r="D232" s="4595">
        <v>-1162</v>
      </c>
      <c r="E232" s="4597" t="s">
        <v>3846</v>
      </c>
      <c r="F232" s="4596">
        <v>32.72</v>
      </c>
      <c r="G232" s="4596">
        <v>10.119999999999999</v>
      </c>
      <c r="H232" s="4133">
        <f t="shared" si="6"/>
        <v>0.30929095354523228</v>
      </c>
      <c r="Z232" s="4124">
        <v>231</v>
      </c>
      <c r="AA232" s="4127" t="s">
        <v>3845</v>
      </c>
      <c r="AB232" s="4126" t="s">
        <v>3844</v>
      </c>
      <c r="AC232" s="4126">
        <v>-2089</v>
      </c>
      <c r="AD232" s="4127" t="s">
        <v>3846</v>
      </c>
      <c r="AE232" s="4130">
        <v>32.72</v>
      </c>
      <c r="AF232" s="4130">
        <v>10.119999999999999</v>
      </c>
    </row>
    <row r="233" spans="1:32" ht="15">
      <c r="A233" s="4595">
        <v>232</v>
      </c>
      <c r="B233" s="4597" t="s">
        <v>3845</v>
      </c>
      <c r="C233" s="4595" t="s">
        <v>3844</v>
      </c>
      <c r="D233" s="4595">
        <v>-1163</v>
      </c>
      <c r="E233" s="4597" t="s">
        <v>3846</v>
      </c>
      <c r="F233" s="4596">
        <v>32.72</v>
      </c>
      <c r="G233" s="4596">
        <v>10.119999999999999</v>
      </c>
      <c r="H233" s="4133">
        <f t="shared" si="6"/>
        <v>0.30929095354523228</v>
      </c>
      <c r="Z233" s="4124">
        <v>232</v>
      </c>
      <c r="AA233" s="4127" t="s">
        <v>3845</v>
      </c>
      <c r="AB233" s="4126" t="s">
        <v>3844</v>
      </c>
      <c r="AC233" s="4126">
        <v>-2090</v>
      </c>
      <c r="AD233" s="4127" t="s">
        <v>3846</v>
      </c>
      <c r="AE233" s="4130">
        <v>32.72</v>
      </c>
      <c r="AF233" s="4130">
        <v>10.119999999999999</v>
      </c>
    </row>
    <row r="234" spans="1:32" ht="15">
      <c r="A234" s="4595">
        <v>233</v>
      </c>
      <c r="B234" s="4597" t="s">
        <v>3845</v>
      </c>
      <c r="C234" s="4595" t="s">
        <v>3844</v>
      </c>
      <c r="D234" s="4595">
        <v>-1164</v>
      </c>
      <c r="E234" s="4597" t="s">
        <v>3846</v>
      </c>
      <c r="F234" s="4596">
        <v>32.72</v>
      </c>
      <c r="G234" s="4596">
        <v>10.119999999999999</v>
      </c>
      <c r="H234" s="4133">
        <f t="shared" si="6"/>
        <v>0.30929095354523228</v>
      </c>
      <c r="Z234" s="4124">
        <v>233</v>
      </c>
      <c r="AA234" s="4127" t="s">
        <v>3845</v>
      </c>
      <c r="AB234" s="4126" t="s">
        <v>3844</v>
      </c>
      <c r="AC234" s="4126">
        <v>-2091</v>
      </c>
      <c r="AD234" s="4127" t="s">
        <v>3846</v>
      </c>
      <c r="AE234" s="4130">
        <v>32.72</v>
      </c>
      <c r="AF234" s="4130">
        <v>10.119999999999999</v>
      </c>
    </row>
    <row r="235" spans="1:32" ht="15">
      <c r="A235" s="4595">
        <v>234</v>
      </c>
      <c r="B235" s="4597" t="s">
        <v>3845</v>
      </c>
      <c r="C235" s="4595" t="s">
        <v>3844</v>
      </c>
      <c r="D235" s="4595">
        <v>-1165</v>
      </c>
      <c r="E235" s="4597" t="s">
        <v>3846</v>
      </c>
      <c r="F235" s="4596">
        <v>32.72</v>
      </c>
      <c r="G235" s="4596">
        <v>10.119999999999999</v>
      </c>
      <c r="H235" s="4133">
        <f t="shared" si="6"/>
        <v>0.30929095354523228</v>
      </c>
      <c r="Z235" s="4124">
        <v>234</v>
      </c>
      <c r="AA235" s="4127" t="s">
        <v>3845</v>
      </c>
      <c r="AB235" s="4126" t="s">
        <v>3844</v>
      </c>
      <c r="AC235" s="4126">
        <v>-2092</v>
      </c>
      <c r="AD235" s="4127" t="s">
        <v>3846</v>
      </c>
      <c r="AE235" s="4130">
        <v>32.72</v>
      </c>
      <c r="AF235" s="4130">
        <v>10.119999999999999</v>
      </c>
    </row>
    <row r="236" spans="1:32" ht="15">
      <c r="A236" s="4595">
        <v>235</v>
      </c>
      <c r="B236" s="4597" t="s">
        <v>3845</v>
      </c>
      <c r="C236" s="4595" t="s">
        <v>3844</v>
      </c>
      <c r="D236" s="4595">
        <v>-1166</v>
      </c>
      <c r="E236" s="4597" t="s">
        <v>3846</v>
      </c>
      <c r="F236" s="4596">
        <v>32.72</v>
      </c>
      <c r="G236" s="4596">
        <v>10.119999999999999</v>
      </c>
      <c r="H236" s="4133">
        <f t="shared" si="6"/>
        <v>0.30929095354523228</v>
      </c>
      <c r="Z236" s="4124">
        <v>235</v>
      </c>
      <c r="AA236" s="4127" t="s">
        <v>3845</v>
      </c>
      <c r="AB236" s="4126" t="s">
        <v>3844</v>
      </c>
      <c r="AC236" s="4126">
        <v>-2093</v>
      </c>
      <c r="AD236" s="4127" t="s">
        <v>3846</v>
      </c>
      <c r="AE236" s="4130">
        <v>32.72</v>
      </c>
      <c r="AF236" s="4130">
        <v>10.119999999999999</v>
      </c>
    </row>
    <row r="237" spans="1:32" ht="15">
      <c r="A237" s="4595">
        <v>236</v>
      </c>
      <c r="B237" s="4597" t="s">
        <v>3845</v>
      </c>
      <c r="C237" s="4595" t="s">
        <v>3844</v>
      </c>
      <c r="D237" s="4595">
        <v>-1168</v>
      </c>
      <c r="E237" s="4597" t="s">
        <v>3846</v>
      </c>
      <c r="F237" s="4596">
        <v>32.72</v>
      </c>
      <c r="G237" s="4596">
        <v>10.119999999999999</v>
      </c>
      <c r="H237" s="4133">
        <f t="shared" si="6"/>
        <v>0.30929095354523228</v>
      </c>
      <c r="Z237" s="4124">
        <v>236</v>
      </c>
      <c r="AA237" s="4127" t="s">
        <v>3845</v>
      </c>
      <c r="AB237" s="4126" t="s">
        <v>3844</v>
      </c>
      <c r="AC237" s="4126">
        <v>-2094</v>
      </c>
      <c r="AD237" s="4127" t="s">
        <v>3846</v>
      </c>
      <c r="AE237" s="4130">
        <v>32.72</v>
      </c>
      <c r="AF237" s="4130">
        <v>10.119999999999999</v>
      </c>
    </row>
    <row r="238" spans="1:32" ht="15">
      <c r="A238" s="4595">
        <v>237</v>
      </c>
      <c r="B238" s="4597" t="s">
        <v>3845</v>
      </c>
      <c r="C238" s="4595" t="s">
        <v>3844</v>
      </c>
      <c r="D238" s="4595">
        <v>-1170</v>
      </c>
      <c r="E238" s="4597" t="s">
        <v>3846</v>
      </c>
      <c r="F238" s="4596">
        <v>29.63</v>
      </c>
      <c r="G238" s="4596">
        <v>9.16</v>
      </c>
      <c r="H238" s="4133">
        <f t="shared" si="6"/>
        <v>0.30914613567330412</v>
      </c>
      <c r="Z238" s="4124">
        <v>237</v>
      </c>
      <c r="AA238" s="4127" t="s">
        <v>3845</v>
      </c>
      <c r="AB238" s="4126" t="s">
        <v>3844</v>
      </c>
      <c r="AC238" s="4126">
        <v>-2095</v>
      </c>
      <c r="AD238" s="4127" t="s">
        <v>3846</v>
      </c>
      <c r="AE238" s="4130">
        <v>32.72</v>
      </c>
      <c r="AF238" s="4130">
        <v>10.119999999999999</v>
      </c>
    </row>
    <row r="239" spans="1:32" ht="15">
      <c r="A239" s="4595">
        <v>238</v>
      </c>
      <c r="B239" s="4597" t="s">
        <v>3845</v>
      </c>
      <c r="C239" s="4595" t="s">
        <v>3844</v>
      </c>
      <c r="D239" s="4595">
        <v>-1172</v>
      </c>
      <c r="E239" s="4597" t="s">
        <v>3846</v>
      </c>
      <c r="F239" s="4596">
        <v>32.72</v>
      </c>
      <c r="G239" s="4596">
        <v>10.119999999999999</v>
      </c>
      <c r="H239" s="4133">
        <f t="shared" si="6"/>
        <v>0.30929095354523228</v>
      </c>
      <c r="Z239" s="4124">
        <v>238</v>
      </c>
      <c r="AA239" s="4127" t="s">
        <v>3845</v>
      </c>
      <c r="AB239" s="4126" t="s">
        <v>3844</v>
      </c>
      <c r="AC239" s="4126">
        <v>-2096</v>
      </c>
      <c r="AD239" s="4127" t="s">
        <v>3846</v>
      </c>
      <c r="AE239" s="4130">
        <v>32.72</v>
      </c>
      <c r="AF239" s="4130">
        <v>10.119999999999999</v>
      </c>
    </row>
    <row r="240" spans="1:32" ht="15">
      <c r="A240" s="4595">
        <v>239</v>
      </c>
      <c r="B240" s="4597" t="s">
        <v>3845</v>
      </c>
      <c r="C240" s="4595" t="s">
        <v>3844</v>
      </c>
      <c r="D240" s="4595">
        <v>-1173</v>
      </c>
      <c r="E240" s="4597" t="s">
        <v>3846</v>
      </c>
      <c r="F240" s="4596">
        <v>32.72</v>
      </c>
      <c r="G240" s="4596">
        <v>10.119999999999999</v>
      </c>
      <c r="H240" s="4133">
        <f t="shared" si="6"/>
        <v>0.30929095354523228</v>
      </c>
      <c r="Z240" s="4124">
        <v>239</v>
      </c>
      <c r="AA240" s="4127" t="s">
        <v>3845</v>
      </c>
      <c r="AB240" s="4126" t="s">
        <v>3844</v>
      </c>
      <c r="AC240" s="4126">
        <v>-2097</v>
      </c>
      <c r="AD240" s="4127" t="s">
        <v>3846</v>
      </c>
      <c r="AE240" s="4130">
        <v>32.72</v>
      </c>
      <c r="AF240" s="4130">
        <v>10.119999999999999</v>
      </c>
    </row>
    <row r="241" spans="1:32" ht="15">
      <c r="A241" s="4595">
        <v>240</v>
      </c>
      <c r="B241" s="4597" t="s">
        <v>3845</v>
      </c>
      <c r="C241" s="4595" t="s">
        <v>3844</v>
      </c>
      <c r="D241" s="4595">
        <v>-1174</v>
      </c>
      <c r="E241" s="4597" t="s">
        <v>3846</v>
      </c>
      <c r="F241" s="4596">
        <v>32.72</v>
      </c>
      <c r="G241" s="4596">
        <v>10.119999999999999</v>
      </c>
      <c r="H241" s="4133">
        <f t="shared" si="6"/>
        <v>0.30929095354523228</v>
      </c>
      <c r="Z241" s="4124">
        <v>240</v>
      </c>
      <c r="AA241" s="4127" t="s">
        <v>3845</v>
      </c>
      <c r="AB241" s="4126" t="s">
        <v>3844</v>
      </c>
      <c r="AC241" s="4126">
        <v>-2098</v>
      </c>
      <c r="AD241" s="4127" t="s">
        <v>3846</v>
      </c>
      <c r="AE241" s="4130">
        <v>32.72</v>
      </c>
      <c r="AF241" s="4130">
        <v>10.119999999999999</v>
      </c>
    </row>
    <row r="242" spans="1:32" ht="15">
      <c r="A242" s="4595">
        <v>241</v>
      </c>
      <c r="B242" s="4597" t="s">
        <v>3845</v>
      </c>
      <c r="C242" s="4595" t="s">
        <v>3844</v>
      </c>
      <c r="D242" s="4595">
        <v>-1176</v>
      </c>
      <c r="E242" s="4597" t="s">
        <v>3846</v>
      </c>
      <c r="F242" s="4596">
        <v>32.72</v>
      </c>
      <c r="G242" s="4596">
        <v>10.119999999999999</v>
      </c>
      <c r="H242" s="4133">
        <f t="shared" si="6"/>
        <v>0.30929095354523228</v>
      </c>
      <c r="Z242" s="4124">
        <v>241</v>
      </c>
      <c r="AA242" s="4127" t="s">
        <v>3845</v>
      </c>
      <c r="AB242" s="4126" t="s">
        <v>3844</v>
      </c>
      <c r="AC242" s="4126">
        <v>-2099</v>
      </c>
      <c r="AD242" s="4127" t="s">
        <v>3846</v>
      </c>
      <c r="AE242" s="4130">
        <v>32.72</v>
      </c>
      <c r="AF242" s="4130">
        <v>10.119999999999999</v>
      </c>
    </row>
    <row r="243" spans="1:32" ht="15">
      <c r="A243" s="4595">
        <v>242</v>
      </c>
      <c r="B243" s="4597" t="s">
        <v>3845</v>
      </c>
      <c r="C243" s="4595" t="s">
        <v>3844</v>
      </c>
      <c r="D243" s="4595">
        <v>-1177</v>
      </c>
      <c r="E243" s="4597" t="s">
        <v>3846</v>
      </c>
      <c r="F243" s="4596">
        <v>32.72</v>
      </c>
      <c r="G243" s="4596">
        <v>10.119999999999999</v>
      </c>
      <c r="H243" s="4133">
        <f t="shared" si="6"/>
        <v>0.30929095354523228</v>
      </c>
      <c r="Z243" s="4124">
        <v>242</v>
      </c>
      <c r="AA243" s="4127" t="s">
        <v>3845</v>
      </c>
      <c r="AB243" s="4126" t="s">
        <v>3844</v>
      </c>
      <c r="AC243" s="4126">
        <v>-2100</v>
      </c>
      <c r="AD243" s="4127" t="s">
        <v>3846</v>
      </c>
      <c r="AE243" s="4130">
        <v>32.72</v>
      </c>
      <c r="AF243" s="4130">
        <v>10.119999999999999</v>
      </c>
    </row>
    <row r="244" spans="1:32" ht="15">
      <c r="A244" s="4595">
        <v>243</v>
      </c>
      <c r="B244" s="4597" t="s">
        <v>3845</v>
      </c>
      <c r="C244" s="4595" t="s">
        <v>3844</v>
      </c>
      <c r="D244" s="4595">
        <v>-1179</v>
      </c>
      <c r="E244" s="4597" t="s">
        <v>3846</v>
      </c>
      <c r="F244" s="4596">
        <v>32.72</v>
      </c>
      <c r="G244" s="4596">
        <v>10.119999999999999</v>
      </c>
      <c r="H244" s="4133">
        <f t="shared" si="6"/>
        <v>0.30929095354523228</v>
      </c>
      <c r="Z244" s="4124">
        <v>243</v>
      </c>
      <c r="AA244" s="4127" t="s">
        <v>3845</v>
      </c>
      <c r="AB244" s="4126" t="s">
        <v>3844</v>
      </c>
      <c r="AC244" s="4126">
        <v>-2101</v>
      </c>
      <c r="AD244" s="4127" t="s">
        <v>3846</v>
      </c>
      <c r="AE244" s="4130">
        <v>32.72</v>
      </c>
      <c r="AF244" s="4130">
        <v>10.119999999999999</v>
      </c>
    </row>
    <row r="245" spans="1:32" ht="15">
      <c r="A245" s="4595">
        <v>244</v>
      </c>
      <c r="B245" s="4597" t="s">
        <v>3845</v>
      </c>
      <c r="C245" s="4595" t="s">
        <v>3844</v>
      </c>
      <c r="D245" s="4595">
        <v>-1181</v>
      </c>
      <c r="E245" s="4597" t="s">
        <v>3846</v>
      </c>
      <c r="F245" s="4596">
        <v>32.72</v>
      </c>
      <c r="G245" s="4596">
        <v>10.119999999999999</v>
      </c>
      <c r="H245" s="4133">
        <f t="shared" si="6"/>
        <v>0.30929095354523228</v>
      </c>
      <c r="Z245" s="4124">
        <v>244</v>
      </c>
      <c r="AA245" s="4127" t="s">
        <v>3845</v>
      </c>
      <c r="AB245" s="4126" t="s">
        <v>3844</v>
      </c>
      <c r="AC245" s="4126">
        <v>-2102</v>
      </c>
      <c r="AD245" s="4127" t="s">
        <v>3846</v>
      </c>
      <c r="AE245" s="4130">
        <v>32.72</v>
      </c>
      <c r="AF245" s="4130">
        <v>10.119999999999999</v>
      </c>
    </row>
    <row r="246" spans="1:32" ht="15">
      <c r="A246" s="4595">
        <v>245</v>
      </c>
      <c r="B246" s="4597" t="s">
        <v>3845</v>
      </c>
      <c r="C246" s="4595" t="s">
        <v>3844</v>
      </c>
      <c r="D246" s="4595">
        <v>-1182</v>
      </c>
      <c r="E246" s="4597" t="s">
        <v>3846</v>
      </c>
      <c r="F246" s="4596">
        <v>32.72</v>
      </c>
      <c r="G246" s="4596">
        <v>10.119999999999999</v>
      </c>
      <c r="H246" s="4133">
        <f t="shared" si="6"/>
        <v>0.30929095354523228</v>
      </c>
      <c r="Z246" s="4124">
        <v>245</v>
      </c>
      <c r="AA246" s="4127" t="s">
        <v>3845</v>
      </c>
      <c r="AB246" s="4126" t="s">
        <v>3844</v>
      </c>
      <c r="AC246" s="4126">
        <v>-2103</v>
      </c>
      <c r="AD246" s="4127" t="s">
        <v>3846</v>
      </c>
      <c r="AE246" s="4130">
        <v>32.72</v>
      </c>
      <c r="AF246" s="4130">
        <v>10.119999999999999</v>
      </c>
    </row>
    <row r="247" spans="1:32" ht="15">
      <c r="A247" s="4595">
        <v>246</v>
      </c>
      <c r="B247" s="4597" t="s">
        <v>3845</v>
      </c>
      <c r="C247" s="4595" t="s">
        <v>3844</v>
      </c>
      <c r="D247" s="4595">
        <v>-1183</v>
      </c>
      <c r="E247" s="4597" t="s">
        <v>3846</v>
      </c>
      <c r="F247" s="4596">
        <v>32.72</v>
      </c>
      <c r="G247" s="4596">
        <v>10.119999999999999</v>
      </c>
      <c r="H247" s="4133">
        <f t="shared" si="6"/>
        <v>0.30929095354523228</v>
      </c>
      <c r="Z247" s="4124">
        <v>246</v>
      </c>
      <c r="AA247" s="4127" t="s">
        <v>3845</v>
      </c>
      <c r="AB247" s="4126" t="s">
        <v>3844</v>
      </c>
      <c r="AC247" s="4126">
        <v>-2104</v>
      </c>
      <c r="AD247" s="4127" t="s">
        <v>3846</v>
      </c>
      <c r="AE247" s="4130">
        <v>32.72</v>
      </c>
      <c r="AF247" s="4130">
        <v>10.119999999999999</v>
      </c>
    </row>
    <row r="248" spans="1:32" ht="15">
      <c r="A248" s="4595">
        <v>247</v>
      </c>
      <c r="B248" s="4597" t="s">
        <v>3845</v>
      </c>
      <c r="C248" s="4595" t="s">
        <v>3844</v>
      </c>
      <c r="D248" s="4595">
        <v>-1184</v>
      </c>
      <c r="E248" s="4597" t="s">
        <v>3846</v>
      </c>
      <c r="F248" s="4596">
        <v>32.72</v>
      </c>
      <c r="G248" s="4596">
        <v>10.119999999999999</v>
      </c>
      <c r="H248" s="4133">
        <f t="shared" si="6"/>
        <v>0.30929095354523228</v>
      </c>
      <c r="Z248" s="4124">
        <v>247</v>
      </c>
      <c r="AA248" s="4127" t="s">
        <v>3845</v>
      </c>
      <c r="AB248" s="4126" t="s">
        <v>3844</v>
      </c>
      <c r="AC248" s="4126">
        <v>-2105</v>
      </c>
      <c r="AD248" s="4127" t="s">
        <v>3846</v>
      </c>
      <c r="AE248" s="4130">
        <v>32.72</v>
      </c>
      <c r="AF248" s="4130">
        <v>10.119999999999999</v>
      </c>
    </row>
    <row r="249" spans="1:32" ht="15">
      <c r="A249" s="4595">
        <v>248</v>
      </c>
      <c r="B249" s="4597" t="s">
        <v>3845</v>
      </c>
      <c r="C249" s="4595" t="s">
        <v>3844</v>
      </c>
      <c r="D249" s="4595">
        <v>-1186</v>
      </c>
      <c r="E249" s="4597" t="s">
        <v>3846</v>
      </c>
      <c r="F249" s="4596">
        <v>32.72</v>
      </c>
      <c r="G249" s="4596">
        <v>10.119999999999999</v>
      </c>
      <c r="H249" s="4133">
        <f t="shared" si="6"/>
        <v>0.30929095354523228</v>
      </c>
      <c r="Z249" s="4124">
        <v>248</v>
      </c>
      <c r="AA249" s="4127" t="s">
        <v>3845</v>
      </c>
      <c r="AB249" s="4126" t="s">
        <v>3844</v>
      </c>
      <c r="AC249" s="4126">
        <v>-2106</v>
      </c>
      <c r="AD249" s="4127" t="s">
        <v>3846</v>
      </c>
      <c r="AE249" s="4130">
        <v>32.72</v>
      </c>
      <c r="AF249" s="4130">
        <v>10.119999999999999</v>
      </c>
    </row>
    <row r="250" spans="1:32" ht="15">
      <c r="A250" s="4595">
        <v>249</v>
      </c>
      <c r="B250" s="4597" t="s">
        <v>3845</v>
      </c>
      <c r="C250" s="4595" t="s">
        <v>3844</v>
      </c>
      <c r="D250" s="4595">
        <v>-1188</v>
      </c>
      <c r="E250" s="4597" t="s">
        <v>3846</v>
      </c>
      <c r="F250" s="4596">
        <v>32.72</v>
      </c>
      <c r="G250" s="4596">
        <v>10.119999999999999</v>
      </c>
      <c r="H250" s="4133">
        <f t="shared" si="6"/>
        <v>0.30929095354523228</v>
      </c>
      <c r="Z250" s="4124">
        <v>249</v>
      </c>
      <c r="AA250" s="4127" t="s">
        <v>3845</v>
      </c>
      <c r="AB250" s="4126" t="s">
        <v>3844</v>
      </c>
      <c r="AC250" s="4126">
        <v>-2107</v>
      </c>
      <c r="AD250" s="4127" t="s">
        <v>3846</v>
      </c>
      <c r="AE250" s="4130">
        <v>32.72</v>
      </c>
      <c r="AF250" s="4130">
        <v>10.119999999999999</v>
      </c>
    </row>
    <row r="251" spans="1:32" ht="15">
      <c r="A251" s="4595">
        <v>250</v>
      </c>
      <c r="B251" s="4597" t="s">
        <v>3845</v>
      </c>
      <c r="C251" s="4595" t="s">
        <v>3844</v>
      </c>
      <c r="D251" s="4595">
        <v>-1189</v>
      </c>
      <c r="E251" s="4597" t="s">
        <v>3846</v>
      </c>
      <c r="F251" s="4596">
        <v>32.72</v>
      </c>
      <c r="G251" s="4596">
        <v>10.119999999999999</v>
      </c>
      <c r="H251" s="4133">
        <f t="shared" si="6"/>
        <v>0.30929095354523228</v>
      </c>
      <c r="Z251" s="4124">
        <v>250</v>
      </c>
      <c r="AA251" s="4127" t="s">
        <v>3845</v>
      </c>
      <c r="AB251" s="4126" t="s">
        <v>3844</v>
      </c>
      <c r="AC251" s="4126">
        <v>-2108</v>
      </c>
      <c r="AD251" s="4127" t="s">
        <v>3846</v>
      </c>
      <c r="AE251" s="4130">
        <v>32.72</v>
      </c>
      <c r="AF251" s="4130">
        <v>10.119999999999999</v>
      </c>
    </row>
    <row r="252" spans="1:32" ht="15">
      <c r="A252" s="4595">
        <v>251</v>
      </c>
      <c r="B252" s="4597" t="s">
        <v>3845</v>
      </c>
      <c r="C252" s="4595" t="s">
        <v>3844</v>
      </c>
      <c r="D252" s="4595">
        <v>-1190</v>
      </c>
      <c r="E252" s="4597" t="s">
        <v>3846</v>
      </c>
      <c r="F252" s="4596">
        <v>32.72</v>
      </c>
      <c r="G252" s="4596">
        <v>10.119999999999999</v>
      </c>
      <c r="H252" s="4133">
        <f t="shared" si="6"/>
        <v>0.30929095354523228</v>
      </c>
      <c r="Z252" s="4124">
        <v>251</v>
      </c>
      <c r="AA252" s="4127" t="s">
        <v>3845</v>
      </c>
      <c r="AB252" s="4126" t="s">
        <v>3844</v>
      </c>
      <c r="AC252" s="4126">
        <v>-2109</v>
      </c>
      <c r="AD252" s="4127" t="s">
        <v>3846</v>
      </c>
      <c r="AE252" s="4130">
        <v>32.72</v>
      </c>
      <c r="AF252" s="4130">
        <v>10.119999999999999</v>
      </c>
    </row>
    <row r="253" spans="1:32" ht="15">
      <c r="A253" s="4595">
        <v>252</v>
      </c>
      <c r="B253" s="4597" t="s">
        <v>3845</v>
      </c>
      <c r="C253" s="4595" t="s">
        <v>3844</v>
      </c>
      <c r="D253" s="4595">
        <v>-1193</v>
      </c>
      <c r="E253" s="4597" t="s">
        <v>3846</v>
      </c>
      <c r="F253" s="4596">
        <v>32.72</v>
      </c>
      <c r="G253" s="4596">
        <v>10.119999999999999</v>
      </c>
      <c r="H253" s="4133">
        <f t="shared" si="6"/>
        <v>0.30929095354523228</v>
      </c>
      <c r="Z253" s="4124">
        <v>252</v>
      </c>
      <c r="AA253" s="4127" t="s">
        <v>3845</v>
      </c>
      <c r="AB253" s="4126" t="s">
        <v>3844</v>
      </c>
      <c r="AC253" s="4126">
        <v>-2110</v>
      </c>
      <c r="AD253" s="4127" t="s">
        <v>3846</v>
      </c>
      <c r="AE253" s="4130">
        <v>32.72</v>
      </c>
      <c r="AF253" s="4130">
        <v>10.119999999999999</v>
      </c>
    </row>
    <row r="254" spans="1:32" ht="15">
      <c r="A254" s="4595">
        <v>253</v>
      </c>
      <c r="B254" s="4597" t="s">
        <v>3845</v>
      </c>
      <c r="C254" s="4595" t="s">
        <v>3844</v>
      </c>
      <c r="D254" s="4595">
        <v>-1197</v>
      </c>
      <c r="E254" s="4597" t="s">
        <v>3846</v>
      </c>
      <c r="F254" s="4596">
        <v>32.72</v>
      </c>
      <c r="G254" s="4596">
        <v>10.119999999999999</v>
      </c>
      <c r="H254" s="4133">
        <f t="shared" si="6"/>
        <v>0.30929095354523228</v>
      </c>
      <c r="Z254" s="4124">
        <v>253</v>
      </c>
      <c r="AA254" s="4127" t="s">
        <v>3845</v>
      </c>
      <c r="AB254" s="4126" t="s">
        <v>3844</v>
      </c>
      <c r="AC254" s="4126">
        <v>-2111</v>
      </c>
      <c r="AD254" s="4127" t="s">
        <v>3846</v>
      </c>
      <c r="AE254" s="4130">
        <v>32.72</v>
      </c>
      <c r="AF254" s="4130">
        <v>10.119999999999999</v>
      </c>
    </row>
    <row r="255" spans="1:32" ht="15">
      <c r="A255" s="4595">
        <v>254</v>
      </c>
      <c r="B255" s="4597" t="s">
        <v>3845</v>
      </c>
      <c r="C255" s="4595" t="s">
        <v>3844</v>
      </c>
      <c r="D255" s="4595">
        <v>-1198</v>
      </c>
      <c r="E255" s="4597" t="s">
        <v>3846</v>
      </c>
      <c r="F255" s="4596">
        <v>32.72</v>
      </c>
      <c r="G255" s="4596">
        <v>10.119999999999999</v>
      </c>
      <c r="H255" s="4133">
        <f t="shared" si="6"/>
        <v>0.30929095354523228</v>
      </c>
      <c r="Z255" s="4124">
        <v>254</v>
      </c>
      <c r="AA255" s="4127" t="s">
        <v>3845</v>
      </c>
      <c r="AB255" s="4126" t="s">
        <v>3844</v>
      </c>
      <c r="AC255" s="4126">
        <v>-2112</v>
      </c>
      <c r="AD255" s="4127" t="s">
        <v>3846</v>
      </c>
      <c r="AE255" s="4130">
        <v>32.72</v>
      </c>
      <c r="AF255" s="4130">
        <v>10.119999999999999</v>
      </c>
    </row>
    <row r="256" spans="1:32" ht="15">
      <c r="A256" s="4595">
        <v>255</v>
      </c>
      <c r="B256" s="4597" t="s">
        <v>3845</v>
      </c>
      <c r="C256" s="4595" t="s">
        <v>3844</v>
      </c>
      <c r="D256" s="4595">
        <v>-1199</v>
      </c>
      <c r="E256" s="4597" t="s">
        <v>3846</v>
      </c>
      <c r="F256" s="4596">
        <v>32.72</v>
      </c>
      <c r="G256" s="4596">
        <v>10.119999999999999</v>
      </c>
      <c r="H256" s="4133">
        <f t="shared" si="6"/>
        <v>0.30929095354523228</v>
      </c>
      <c r="Z256" s="4124">
        <v>255</v>
      </c>
      <c r="AA256" s="4127" t="s">
        <v>3845</v>
      </c>
      <c r="AB256" s="4126" t="s">
        <v>3844</v>
      </c>
      <c r="AC256" s="4126">
        <v>-2113</v>
      </c>
      <c r="AD256" s="4127" t="s">
        <v>3846</v>
      </c>
      <c r="AE256" s="4130">
        <v>32.72</v>
      </c>
      <c r="AF256" s="4130">
        <v>10.119999999999999</v>
      </c>
    </row>
    <row r="257" spans="1:32" ht="15">
      <c r="A257" s="4595">
        <v>256</v>
      </c>
      <c r="B257" s="4597" t="s">
        <v>3845</v>
      </c>
      <c r="C257" s="4595" t="s">
        <v>3844</v>
      </c>
      <c r="D257" s="4595">
        <v>-1200</v>
      </c>
      <c r="E257" s="4597" t="s">
        <v>3846</v>
      </c>
      <c r="F257" s="4596">
        <v>32.72</v>
      </c>
      <c r="G257" s="4596">
        <v>10.119999999999999</v>
      </c>
      <c r="H257" s="4133">
        <f t="shared" si="6"/>
        <v>0.30929095354523228</v>
      </c>
      <c r="Z257" s="4124">
        <v>256</v>
      </c>
      <c r="AA257" s="4127" t="s">
        <v>3845</v>
      </c>
      <c r="AB257" s="4126" t="s">
        <v>3844</v>
      </c>
      <c r="AC257" s="4126">
        <v>-2114</v>
      </c>
      <c r="AD257" s="4127" t="s">
        <v>3846</v>
      </c>
      <c r="AE257" s="4130">
        <v>32.72</v>
      </c>
      <c r="AF257" s="4130">
        <v>10.119999999999999</v>
      </c>
    </row>
    <row r="258" spans="1:32" ht="15">
      <c r="A258" s="4595">
        <v>257</v>
      </c>
      <c r="B258" s="4597" t="s">
        <v>3845</v>
      </c>
      <c r="C258" s="4595" t="s">
        <v>3844</v>
      </c>
      <c r="D258" s="4595">
        <v>-1201</v>
      </c>
      <c r="E258" s="4597" t="s">
        <v>3846</v>
      </c>
      <c r="F258" s="4596">
        <v>32.72</v>
      </c>
      <c r="G258" s="4596">
        <v>10.119999999999999</v>
      </c>
      <c r="H258" s="4133">
        <f t="shared" ref="H258:H321" si="7">G258/F258</f>
        <v>0.30929095354523228</v>
      </c>
      <c r="Z258" s="4124">
        <v>257</v>
      </c>
      <c r="AA258" s="4127" t="s">
        <v>3845</v>
      </c>
      <c r="AB258" s="4126" t="s">
        <v>3844</v>
      </c>
      <c r="AC258" s="4126">
        <v>-2116</v>
      </c>
      <c r="AD258" s="4127" t="s">
        <v>3846</v>
      </c>
      <c r="AE258" s="4130">
        <v>32.72</v>
      </c>
      <c r="AF258" s="4130">
        <v>10.119999999999999</v>
      </c>
    </row>
    <row r="259" spans="1:32" ht="15">
      <c r="A259" s="4595">
        <v>258</v>
      </c>
      <c r="B259" s="4597" t="s">
        <v>3845</v>
      </c>
      <c r="C259" s="4595" t="s">
        <v>3844</v>
      </c>
      <c r="D259" s="4595">
        <v>-1202</v>
      </c>
      <c r="E259" s="4597" t="s">
        <v>3846</v>
      </c>
      <c r="F259" s="4596">
        <v>32.72</v>
      </c>
      <c r="G259" s="4596">
        <v>10.119999999999999</v>
      </c>
      <c r="H259" s="4133">
        <f t="shared" si="7"/>
        <v>0.30929095354523228</v>
      </c>
      <c r="Z259" s="4124">
        <v>258</v>
      </c>
      <c r="AA259" s="4127" t="s">
        <v>3845</v>
      </c>
      <c r="AB259" s="4126" t="s">
        <v>3844</v>
      </c>
      <c r="AC259" s="4126">
        <v>-2117</v>
      </c>
      <c r="AD259" s="4127" t="s">
        <v>3846</v>
      </c>
      <c r="AE259" s="4130">
        <v>32.72</v>
      </c>
      <c r="AF259" s="4130">
        <v>10.119999999999999</v>
      </c>
    </row>
    <row r="260" spans="1:32" ht="15">
      <c r="A260" s="4595">
        <v>259</v>
      </c>
      <c r="B260" s="4597" t="s">
        <v>3845</v>
      </c>
      <c r="C260" s="4595" t="s">
        <v>3844</v>
      </c>
      <c r="D260" s="4595">
        <v>-1203</v>
      </c>
      <c r="E260" s="4597" t="s">
        <v>3846</v>
      </c>
      <c r="F260" s="4596">
        <v>32.72</v>
      </c>
      <c r="G260" s="4596">
        <v>10.119999999999999</v>
      </c>
      <c r="H260" s="4133">
        <f t="shared" si="7"/>
        <v>0.30929095354523228</v>
      </c>
      <c r="Z260" s="4124">
        <v>259</v>
      </c>
      <c r="AA260" s="4127" t="s">
        <v>3845</v>
      </c>
      <c r="AB260" s="4126" t="s">
        <v>3844</v>
      </c>
      <c r="AC260" s="4126">
        <v>-2118</v>
      </c>
      <c r="AD260" s="4127" t="s">
        <v>3846</v>
      </c>
      <c r="AE260" s="4130">
        <v>32.72</v>
      </c>
      <c r="AF260" s="4130">
        <v>10.119999999999999</v>
      </c>
    </row>
    <row r="261" spans="1:32" ht="15">
      <c r="A261" s="4595">
        <v>260</v>
      </c>
      <c r="B261" s="4597" t="s">
        <v>3845</v>
      </c>
      <c r="C261" s="4595" t="s">
        <v>3844</v>
      </c>
      <c r="D261" s="4595">
        <v>-1204</v>
      </c>
      <c r="E261" s="4597" t="s">
        <v>3846</v>
      </c>
      <c r="F261" s="4596">
        <v>32.72</v>
      </c>
      <c r="G261" s="4596">
        <v>10.119999999999999</v>
      </c>
      <c r="H261" s="4133">
        <f t="shared" si="7"/>
        <v>0.30929095354523228</v>
      </c>
      <c r="Z261" s="4124">
        <v>260</v>
      </c>
      <c r="AA261" s="4127" t="s">
        <v>3845</v>
      </c>
      <c r="AB261" s="4126" t="s">
        <v>3844</v>
      </c>
      <c r="AC261" s="4126">
        <v>-2119</v>
      </c>
      <c r="AD261" s="4127" t="s">
        <v>3846</v>
      </c>
      <c r="AE261" s="4130">
        <v>32.72</v>
      </c>
      <c r="AF261" s="4130">
        <v>10.119999999999999</v>
      </c>
    </row>
    <row r="262" spans="1:32" ht="15">
      <c r="A262" s="4595">
        <v>261</v>
      </c>
      <c r="B262" s="4597" t="s">
        <v>3845</v>
      </c>
      <c r="C262" s="4595" t="s">
        <v>3844</v>
      </c>
      <c r="D262" s="4595">
        <v>-1205</v>
      </c>
      <c r="E262" s="4597" t="s">
        <v>3846</v>
      </c>
      <c r="F262" s="4596">
        <v>32.72</v>
      </c>
      <c r="G262" s="4596">
        <v>10.119999999999999</v>
      </c>
      <c r="H262" s="4133">
        <f t="shared" si="7"/>
        <v>0.30929095354523228</v>
      </c>
      <c r="Z262" s="4124">
        <v>261</v>
      </c>
      <c r="AA262" s="4127" t="s">
        <v>3845</v>
      </c>
      <c r="AB262" s="4126" t="s">
        <v>3844</v>
      </c>
      <c r="AC262" s="4126">
        <v>-2120</v>
      </c>
      <c r="AD262" s="4127" t="s">
        <v>3846</v>
      </c>
      <c r="AE262" s="4130">
        <v>32.72</v>
      </c>
      <c r="AF262" s="4130">
        <v>10.119999999999999</v>
      </c>
    </row>
    <row r="263" spans="1:32" ht="15">
      <c r="A263" s="4595">
        <v>262</v>
      </c>
      <c r="B263" s="4597" t="s">
        <v>3845</v>
      </c>
      <c r="C263" s="4595" t="s">
        <v>3844</v>
      </c>
      <c r="D263" s="4595">
        <v>-1206</v>
      </c>
      <c r="E263" s="4597" t="s">
        <v>3846</v>
      </c>
      <c r="F263" s="4596">
        <v>32.72</v>
      </c>
      <c r="G263" s="4596">
        <v>10.119999999999999</v>
      </c>
      <c r="H263" s="4133">
        <f t="shared" si="7"/>
        <v>0.30929095354523228</v>
      </c>
      <c r="Z263" s="4124">
        <v>262</v>
      </c>
      <c r="AA263" s="4127" t="s">
        <v>3845</v>
      </c>
      <c r="AB263" s="4126" t="s">
        <v>3844</v>
      </c>
      <c r="AC263" s="4126">
        <v>-2121</v>
      </c>
      <c r="AD263" s="4127" t="s">
        <v>3846</v>
      </c>
      <c r="AE263" s="4130">
        <v>32.72</v>
      </c>
      <c r="AF263" s="4130">
        <v>10.119999999999999</v>
      </c>
    </row>
    <row r="264" spans="1:32" ht="15">
      <c r="A264" s="4595">
        <v>263</v>
      </c>
      <c r="B264" s="4597" t="s">
        <v>3845</v>
      </c>
      <c r="C264" s="4595" t="s">
        <v>3844</v>
      </c>
      <c r="D264" s="4595">
        <v>-1209</v>
      </c>
      <c r="E264" s="4597" t="s">
        <v>3846</v>
      </c>
      <c r="F264" s="4596">
        <v>32.72</v>
      </c>
      <c r="G264" s="4596">
        <v>10.119999999999999</v>
      </c>
      <c r="H264" s="4133">
        <f t="shared" si="7"/>
        <v>0.30929095354523228</v>
      </c>
      <c r="Z264" s="4124">
        <v>263</v>
      </c>
      <c r="AA264" s="4127" t="s">
        <v>3845</v>
      </c>
      <c r="AB264" s="4126" t="s">
        <v>3844</v>
      </c>
      <c r="AC264" s="4126">
        <v>-2122</v>
      </c>
      <c r="AD264" s="4127" t="s">
        <v>3846</v>
      </c>
      <c r="AE264" s="4130">
        <v>32.72</v>
      </c>
      <c r="AF264" s="4130">
        <v>10.119999999999999</v>
      </c>
    </row>
    <row r="265" spans="1:32" ht="15">
      <c r="A265" s="4595">
        <v>264</v>
      </c>
      <c r="B265" s="4597" t="s">
        <v>3845</v>
      </c>
      <c r="C265" s="4595" t="s">
        <v>3844</v>
      </c>
      <c r="D265" s="4595">
        <v>-1210</v>
      </c>
      <c r="E265" s="4597" t="s">
        <v>3846</v>
      </c>
      <c r="F265" s="4596">
        <v>32.72</v>
      </c>
      <c r="G265" s="4596">
        <v>10.119999999999999</v>
      </c>
      <c r="H265" s="4133">
        <f t="shared" si="7"/>
        <v>0.30929095354523228</v>
      </c>
      <c r="Z265" s="4124">
        <v>264</v>
      </c>
      <c r="AA265" s="4127" t="s">
        <v>3845</v>
      </c>
      <c r="AB265" s="4126" t="s">
        <v>3844</v>
      </c>
      <c r="AC265" s="4126">
        <v>-2123</v>
      </c>
      <c r="AD265" s="4127" t="s">
        <v>3846</v>
      </c>
      <c r="AE265" s="4130">
        <v>32.72</v>
      </c>
      <c r="AF265" s="4130">
        <v>10.119999999999999</v>
      </c>
    </row>
    <row r="266" spans="1:32" ht="15">
      <c r="A266" s="4595">
        <v>265</v>
      </c>
      <c r="B266" s="4597" t="s">
        <v>3845</v>
      </c>
      <c r="C266" s="4595" t="s">
        <v>3844</v>
      </c>
      <c r="D266" s="4595">
        <v>-1211</v>
      </c>
      <c r="E266" s="4597" t="s">
        <v>3846</v>
      </c>
      <c r="F266" s="4596">
        <v>32.72</v>
      </c>
      <c r="G266" s="4596">
        <v>10.119999999999999</v>
      </c>
      <c r="H266" s="4133">
        <f t="shared" si="7"/>
        <v>0.30929095354523228</v>
      </c>
      <c r="Z266" s="4124">
        <v>265</v>
      </c>
      <c r="AA266" s="4127" t="s">
        <v>3845</v>
      </c>
      <c r="AB266" s="4126" t="s">
        <v>3844</v>
      </c>
      <c r="AC266" s="4126">
        <v>-2124</v>
      </c>
      <c r="AD266" s="4127" t="s">
        <v>3846</v>
      </c>
      <c r="AE266" s="4130">
        <v>32.72</v>
      </c>
      <c r="AF266" s="4130">
        <v>10.119999999999999</v>
      </c>
    </row>
    <row r="267" spans="1:32" ht="15">
      <c r="A267" s="4595">
        <v>266</v>
      </c>
      <c r="B267" s="4597" t="s">
        <v>3845</v>
      </c>
      <c r="C267" s="4595" t="s">
        <v>3844</v>
      </c>
      <c r="D267" s="4595">
        <v>-1212</v>
      </c>
      <c r="E267" s="4597" t="s">
        <v>3846</v>
      </c>
      <c r="F267" s="4596">
        <v>32.72</v>
      </c>
      <c r="G267" s="4596">
        <v>10.119999999999999</v>
      </c>
      <c r="H267" s="4133">
        <f t="shared" si="7"/>
        <v>0.30929095354523228</v>
      </c>
      <c r="Z267" s="4124">
        <v>266</v>
      </c>
      <c r="AA267" s="4127" t="s">
        <v>3845</v>
      </c>
      <c r="AB267" s="4126" t="s">
        <v>3844</v>
      </c>
      <c r="AC267" s="4126">
        <v>-2125</v>
      </c>
      <c r="AD267" s="4127" t="s">
        <v>3846</v>
      </c>
      <c r="AE267" s="4130">
        <v>32.72</v>
      </c>
      <c r="AF267" s="4130">
        <v>10.119999999999999</v>
      </c>
    </row>
    <row r="268" spans="1:32" ht="15">
      <c r="A268" s="4595">
        <v>267</v>
      </c>
      <c r="B268" s="4597" t="s">
        <v>3845</v>
      </c>
      <c r="C268" s="4595" t="s">
        <v>3844</v>
      </c>
      <c r="D268" s="4595">
        <v>-1213</v>
      </c>
      <c r="E268" s="4597" t="s">
        <v>3846</v>
      </c>
      <c r="F268" s="4596">
        <v>32.72</v>
      </c>
      <c r="G268" s="4596">
        <v>10.119999999999999</v>
      </c>
      <c r="H268" s="4133">
        <f t="shared" si="7"/>
        <v>0.30929095354523228</v>
      </c>
      <c r="Z268" s="4124">
        <v>267</v>
      </c>
      <c r="AA268" s="4127" t="s">
        <v>3845</v>
      </c>
      <c r="AB268" s="4126" t="s">
        <v>3844</v>
      </c>
      <c r="AC268" s="4126">
        <v>-2126</v>
      </c>
      <c r="AD268" s="4127" t="s">
        <v>3846</v>
      </c>
      <c r="AE268" s="4130">
        <v>32.72</v>
      </c>
      <c r="AF268" s="4130">
        <v>10.119999999999999</v>
      </c>
    </row>
    <row r="269" spans="1:32" ht="15">
      <c r="A269" s="4595">
        <v>268</v>
      </c>
      <c r="B269" s="4597" t="s">
        <v>3845</v>
      </c>
      <c r="C269" s="4595" t="s">
        <v>3844</v>
      </c>
      <c r="D269" s="4595">
        <v>-1214</v>
      </c>
      <c r="E269" s="4597" t="s">
        <v>3846</v>
      </c>
      <c r="F269" s="4596">
        <v>32.72</v>
      </c>
      <c r="G269" s="4596">
        <v>10.119999999999999</v>
      </c>
      <c r="H269" s="4133">
        <f t="shared" si="7"/>
        <v>0.30929095354523228</v>
      </c>
      <c r="Z269" s="4124">
        <v>268</v>
      </c>
      <c r="AA269" s="4127" t="s">
        <v>3845</v>
      </c>
      <c r="AB269" s="4126" t="s">
        <v>3844</v>
      </c>
      <c r="AC269" s="4126">
        <v>-2127</v>
      </c>
      <c r="AD269" s="4127" t="s">
        <v>3846</v>
      </c>
      <c r="AE269" s="4130">
        <v>32.72</v>
      </c>
      <c r="AF269" s="4130">
        <v>10.119999999999999</v>
      </c>
    </row>
    <row r="270" spans="1:32" ht="15">
      <c r="A270" s="4595">
        <v>269</v>
      </c>
      <c r="B270" s="4597" t="s">
        <v>3845</v>
      </c>
      <c r="C270" s="4595" t="s">
        <v>3844</v>
      </c>
      <c r="D270" s="4595">
        <v>-1217</v>
      </c>
      <c r="E270" s="4597" t="s">
        <v>3846</v>
      </c>
      <c r="F270" s="4596">
        <v>32.72</v>
      </c>
      <c r="G270" s="4596">
        <v>10.119999999999999</v>
      </c>
      <c r="H270" s="4133">
        <f t="shared" si="7"/>
        <v>0.30929095354523228</v>
      </c>
      <c r="Z270" s="4124">
        <v>269</v>
      </c>
      <c r="AA270" s="4127" t="s">
        <v>3845</v>
      </c>
      <c r="AB270" s="4126" t="s">
        <v>3844</v>
      </c>
      <c r="AC270" s="4126">
        <v>-2128</v>
      </c>
      <c r="AD270" s="4127" t="s">
        <v>3846</v>
      </c>
      <c r="AE270" s="4130">
        <v>32.72</v>
      </c>
      <c r="AF270" s="4130">
        <v>10.119999999999999</v>
      </c>
    </row>
    <row r="271" spans="1:32" ht="15">
      <c r="A271" s="4595">
        <v>270</v>
      </c>
      <c r="B271" s="4597" t="s">
        <v>3845</v>
      </c>
      <c r="C271" s="4595" t="s">
        <v>3844</v>
      </c>
      <c r="D271" s="4595">
        <v>-1218</v>
      </c>
      <c r="E271" s="4597" t="s">
        <v>3846</v>
      </c>
      <c r="F271" s="4596">
        <v>32.72</v>
      </c>
      <c r="G271" s="4596">
        <v>10.119999999999999</v>
      </c>
      <c r="H271" s="4133">
        <f t="shared" si="7"/>
        <v>0.30929095354523228</v>
      </c>
      <c r="Z271" s="4124">
        <v>270</v>
      </c>
      <c r="AA271" s="4127" t="s">
        <v>3845</v>
      </c>
      <c r="AB271" s="4126" t="s">
        <v>3844</v>
      </c>
      <c r="AC271" s="4126">
        <v>-2129</v>
      </c>
      <c r="AD271" s="4127" t="s">
        <v>3846</v>
      </c>
      <c r="AE271" s="4130">
        <v>32.72</v>
      </c>
      <c r="AF271" s="4130">
        <v>10.119999999999999</v>
      </c>
    </row>
    <row r="272" spans="1:32" ht="15">
      <c r="A272" s="4595">
        <v>271</v>
      </c>
      <c r="B272" s="4597" t="s">
        <v>3845</v>
      </c>
      <c r="C272" s="4595" t="s">
        <v>3844</v>
      </c>
      <c r="D272" s="4595">
        <v>-1219</v>
      </c>
      <c r="E272" s="4597" t="s">
        <v>3846</v>
      </c>
      <c r="F272" s="4596">
        <v>32.72</v>
      </c>
      <c r="G272" s="4596">
        <v>10.119999999999999</v>
      </c>
      <c r="H272" s="4133">
        <f t="shared" si="7"/>
        <v>0.30929095354523228</v>
      </c>
      <c r="Z272" s="4124">
        <v>271</v>
      </c>
      <c r="AA272" s="4127" t="s">
        <v>3845</v>
      </c>
      <c r="AB272" s="4126" t="s">
        <v>3844</v>
      </c>
      <c r="AC272" s="4126">
        <v>-2130</v>
      </c>
      <c r="AD272" s="4127" t="s">
        <v>3846</v>
      </c>
      <c r="AE272" s="4130">
        <v>32.72</v>
      </c>
      <c r="AF272" s="4130">
        <v>10.119999999999999</v>
      </c>
    </row>
    <row r="273" spans="1:32" ht="15">
      <c r="A273" s="4595">
        <v>272</v>
      </c>
      <c r="B273" s="4597" t="s">
        <v>3845</v>
      </c>
      <c r="C273" s="4595" t="s">
        <v>3844</v>
      </c>
      <c r="D273" s="4595">
        <v>-1222</v>
      </c>
      <c r="E273" s="4597" t="s">
        <v>3846</v>
      </c>
      <c r="F273" s="4596">
        <v>32.72</v>
      </c>
      <c r="G273" s="4596">
        <v>10.119999999999999</v>
      </c>
      <c r="H273" s="4133">
        <f t="shared" si="7"/>
        <v>0.30929095354523228</v>
      </c>
      <c r="Z273" s="4124">
        <v>272</v>
      </c>
      <c r="AA273" s="4127" t="s">
        <v>3845</v>
      </c>
      <c r="AB273" s="4126" t="s">
        <v>3844</v>
      </c>
      <c r="AC273" s="4126">
        <v>-2131</v>
      </c>
      <c r="AD273" s="4127" t="s">
        <v>3846</v>
      </c>
      <c r="AE273" s="4130">
        <v>32.72</v>
      </c>
      <c r="AF273" s="4130">
        <v>10.119999999999999</v>
      </c>
    </row>
    <row r="274" spans="1:32" ht="15">
      <c r="A274" s="4595">
        <v>273</v>
      </c>
      <c r="B274" s="4597" t="s">
        <v>3845</v>
      </c>
      <c r="C274" s="4595" t="s">
        <v>3844</v>
      </c>
      <c r="D274" s="4595">
        <v>-1226</v>
      </c>
      <c r="E274" s="4597" t="s">
        <v>3846</v>
      </c>
      <c r="F274" s="4596">
        <v>32.72</v>
      </c>
      <c r="G274" s="4596">
        <v>10.119999999999999</v>
      </c>
      <c r="H274" s="4133">
        <f t="shared" si="7"/>
        <v>0.30929095354523228</v>
      </c>
      <c r="Z274" s="4124">
        <v>273</v>
      </c>
      <c r="AA274" s="4127" t="s">
        <v>3845</v>
      </c>
      <c r="AB274" s="4126" t="s">
        <v>3844</v>
      </c>
      <c r="AC274" s="4126">
        <v>-2132</v>
      </c>
      <c r="AD274" s="4127" t="s">
        <v>3846</v>
      </c>
      <c r="AE274" s="4130">
        <v>32.72</v>
      </c>
      <c r="AF274" s="4130">
        <v>10.119999999999999</v>
      </c>
    </row>
    <row r="275" spans="1:32" ht="15">
      <c r="A275" s="4595">
        <v>274</v>
      </c>
      <c r="B275" s="4597" t="s">
        <v>3845</v>
      </c>
      <c r="C275" s="4595" t="s">
        <v>3844</v>
      </c>
      <c r="D275" s="4595">
        <v>-1227</v>
      </c>
      <c r="E275" s="4597" t="s">
        <v>3846</v>
      </c>
      <c r="F275" s="4596">
        <v>32.72</v>
      </c>
      <c r="G275" s="4596">
        <v>10.119999999999999</v>
      </c>
      <c r="H275" s="4133">
        <f t="shared" si="7"/>
        <v>0.30929095354523228</v>
      </c>
      <c r="Z275" s="4124">
        <v>274</v>
      </c>
      <c r="AA275" s="4127" t="s">
        <v>3845</v>
      </c>
      <c r="AB275" s="4126" t="s">
        <v>3844</v>
      </c>
      <c r="AC275" s="4126">
        <v>-2133</v>
      </c>
      <c r="AD275" s="4127" t="s">
        <v>3846</v>
      </c>
      <c r="AE275" s="4130">
        <v>32.72</v>
      </c>
      <c r="AF275" s="4130">
        <v>10.119999999999999</v>
      </c>
    </row>
    <row r="276" spans="1:32" ht="15">
      <c r="A276" s="4595">
        <v>275</v>
      </c>
      <c r="B276" s="4597" t="s">
        <v>3845</v>
      </c>
      <c r="C276" s="4595" t="s">
        <v>3844</v>
      </c>
      <c r="D276" s="4595">
        <v>-1228</v>
      </c>
      <c r="E276" s="4597" t="s">
        <v>3846</v>
      </c>
      <c r="F276" s="4596">
        <v>32.72</v>
      </c>
      <c r="G276" s="4596">
        <v>10.119999999999999</v>
      </c>
      <c r="H276" s="4133">
        <f t="shared" si="7"/>
        <v>0.30929095354523228</v>
      </c>
      <c r="Z276" s="4124">
        <v>275</v>
      </c>
      <c r="AA276" s="4127" t="s">
        <v>3845</v>
      </c>
      <c r="AB276" s="4126" t="s">
        <v>3844</v>
      </c>
      <c r="AC276" s="4126">
        <v>-2134</v>
      </c>
      <c r="AD276" s="4127" t="s">
        <v>3846</v>
      </c>
      <c r="AE276" s="4130">
        <v>32.72</v>
      </c>
      <c r="AF276" s="4130">
        <v>10.119999999999999</v>
      </c>
    </row>
    <row r="277" spans="1:32" ht="15">
      <c r="A277" s="4595">
        <v>276</v>
      </c>
      <c r="B277" s="4597" t="s">
        <v>3845</v>
      </c>
      <c r="C277" s="4595" t="s">
        <v>3844</v>
      </c>
      <c r="D277" s="4595">
        <v>-1232</v>
      </c>
      <c r="E277" s="4597" t="s">
        <v>3846</v>
      </c>
      <c r="F277" s="4596">
        <v>32.72</v>
      </c>
      <c r="G277" s="4596">
        <v>10.119999999999999</v>
      </c>
      <c r="H277" s="4133">
        <f t="shared" si="7"/>
        <v>0.30929095354523228</v>
      </c>
      <c r="Z277" s="4124">
        <v>276</v>
      </c>
      <c r="AA277" s="4127" t="s">
        <v>3845</v>
      </c>
      <c r="AB277" s="4126" t="s">
        <v>3844</v>
      </c>
      <c r="AC277" s="4126">
        <v>-2135</v>
      </c>
      <c r="AD277" s="4127" t="s">
        <v>3846</v>
      </c>
      <c r="AE277" s="4130">
        <v>32.72</v>
      </c>
      <c r="AF277" s="4130">
        <v>10.119999999999999</v>
      </c>
    </row>
    <row r="278" spans="1:32" ht="15">
      <c r="A278" s="4595">
        <v>277</v>
      </c>
      <c r="B278" s="4597" t="s">
        <v>3845</v>
      </c>
      <c r="C278" s="4595" t="s">
        <v>3844</v>
      </c>
      <c r="D278" s="4595">
        <v>-1235</v>
      </c>
      <c r="E278" s="4597" t="s">
        <v>3846</v>
      </c>
      <c r="F278" s="4596">
        <v>32.72</v>
      </c>
      <c r="G278" s="4596">
        <v>10.119999999999999</v>
      </c>
      <c r="H278" s="4133">
        <f t="shared" si="7"/>
        <v>0.30929095354523228</v>
      </c>
      <c r="Z278" s="4124">
        <v>277</v>
      </c>
      <c r="AA278" s="4127" t="s">
        <v>3845</v>
      </c>
      <c r="AB278" s="4126" t="s">
        <v>3844</v>
      </c>
      <c r="AC278" s="4126">
        <v>-2136</v>
      </c>
      <c r="AD278" s="4127" t="s">
        <v>3846</v>
      </c>
      <c r="AE278" s="4130">
        <v>32.72</v>
      </c>
      <c r="AF278" s="4130">
        <v>10.119999999999999</v>
      </c>
    </row>
    <row r="279" spans="1:32" ht="15">
      <c r="A279" s="4595">
        <v>278</v>
      </c>
      <c r="B279" s="4597" t="s">
        <v>3845</v>
      </c>
      <c r="C279" s="4595" t="s">
        <v>3844</v>
      </c>
      <c r="D279" s="4595">
        <v>-1238</v>
      </c>
      <c r="E279" s="4597" t="s">
        <v>3846</v>
      </c>
      <c r="F279" s="4596">
        <v>32.72</v>
      </c>
      <c r="G279" s="4596">
        <v>10.119999999999999</v>
      </c>
      <c r="H279" s="4133">
        <f t="shared" si="7"/>
        <v>0.30929095354523228</v>
      </c>
      <c r="Z279" s="4124">
        <v>278</v>
      </c>
      <c r="AA279" s="4127" t="s">
        <v>3845</v>
      </c>
      <c r="AB279" s="4126" t="s">
        <v>3844</v>
      </c>
      <c r="AC279" s="4126">
        <v>-2137</v>
      </c>
      <c r="AD279" s="4127" t="s">
        <v>3846</v>
      </c>
      <c r="AE279" s="4130">
        <v>32.72</v>
      </c>
      <c r="AF279" s="4130">
        <v>10.119999999999999</v>
      </c>
    </row>
    <row r="280" spans="1:32" ht="15">
      <c r="A280" s="4595">
        <v>279</v>
      </c>
      <c r="B280" s="4597" t="s">
        <v>3845</v>
      </c>
      <c r="C280" s="4595" t="s">
        <v>3844</v>
      </c>
      <c r="D280" s="4595">
        <v>-1240</v>
      </c>
      <c r="E280" s="4597" t="s">
        <v>3846</v>
      </c>
      <c r="F280" s="4596">
        <v>32.72</v>
      </c>
      <c r="G280" s="4596">
        <v>10.119999999999999</v>
      </c>
      <c r="H280" s="4133">
        <f t="shared" si="7"/>
        <v>0.30929095354523228</v>
      </c>
      <c r="Z280" s="4124">
        <v>279</v>
      </c>
      <c r="AA280" s="4127" t="s">
        <v>3845</v>
      </c>
      <c r="AB280" s="4126" t="s">
        <v>3844</v>
      </c>
      <c r="AC280" s="4126">
        <v>-2139</v>
      </c>
      <c r="AD280" s="4127" t="s">
        <v>3846</v>
      </c>
      <c r="AE280" s="4130">
        <v>32.72</v>
      </c>
      <c r="AF280" s="4130">
        <v>10.119999999999999</v>
      </c>
    </row>
    <row r="281" spans="1:32" ht="15">
      <c r="A281" s="4595">
        <v>280</v>
      </c>
      <c r="B281" s="4597" t="s">
        <v>3845</v>
      </c>
      <c r="C281" s="4595" t="s">
        <v>3844</v>
      </c>
      <c r="D281" s="4595">
        <v>-1241</v>
      </c>
      <c r="E281" s="4597" t="s">
        <v>3846</v>
      </c>
      <c r="F281" s="4596">
        <v>32.72</v>
      </c>
      <c r="G281" s="4596">
        <v>10.119999999999999</v>
      </c>
      <c r="H281" s="4133">
        <f t="shared" si="7"/>
        <v>0.30929095354523228</v>
      </c>
      <c r="Y281">
        <f>COUNT(Z2:Z281)</f>
        <v>280</v>
      </c>
      <c r="Z281" s="4124">
        <v>280</v>
      </c>
      <c r="AA281" s="4127" t="s">
        <v>3845</v>
      </c>
      <c r="AB281" s="4126" t="s">
        <v>3844</v>
      </c>
      <c r="AC281" s="4126">
        <v>-2140</v>
      </c>
      <c r="AD281" s="4127" t="s">
        <v>3846</v>
      </c>
      <c r="AE281" s="4130">
        <v>32.72</v>
      </c>
      <c r="AF281" s="4130">
        <v>10.119999999999999</v>
      </c>
    </row>
    <row r="282" spans="1:32" ht="15">
      <c r="A282" s="4595">
        <v>281</v>
      </c>
      <c r="B282" s="4597" t="s">
        <v>3845</v>
      </c>
      <c r="C282" s="4595" t="s">
        <v>3844</v>
      </c>
      <c r="D282" s="4595">
        <v>-1242</v>
      </c>
      <c r="E282" s="4597" t="s">
        <v>3846</v>
      </c>
      <c r="F282" s="4596">
        <v>32.72</v>
      </c>
      <c r="G282" s="4596">
        <v>10.119999999999999</v>
      </c>
      <c r="H282" s="4133">
        <f t="shared" si="7"/>
        <v>0.30929095354523228</v>
      </c>
      <c r="AE282" s="4137">
        <f>SUM(AE2:AE281)</f>
        <v>9216.07</v>
      </c>
      <c r="AF282" s="4137">
        <f>SUM(AF2:AF281)</f>
        <v>2850.439999999981</v>
      </c>
    </row>
    <row r="283" spans="1:32" ht="15">
      <c r="A283" s="4595">
        <v>282</v>
      </c>
      <c r="B283" s="4597" t="s">
        <v>3845</v>
      </c>
      <c r="C283" s="4595" t="s">
        <v>3844</v>
      </c>
      <c r="D283" s="4595">
        <v>-1243</v>
      </c>
      <c r="E283" s="4597" t="s">
        <v>3846</v>
      </c>
      <c r="F283" s="4596">
        <v>32.72</v>
      </c>
      <c r="G283" s="4596">
        <v>10.119999999999999</v>
      </c>
      <c r="H283" s="4133">
        <f t="shared" si="7"/>
        <v>0.30929095354523228</v>
      </c>
      <c r="AE283" s="4137">
        <f>AVERAGE(AE2:AE281)</f>
        <v>32.914535714285712</v>
      </c>
    </row>
    <row r="284" spans="1:32" ht="15">
      <c r="A284" s="4595">
        <v>283</v>
      </c>
      <c r="B284" s="4597" t="s">
        <v>3845</v>
      </c>
      <c r="C284" s="4595" t="s">
        <v>3844</v>
      </c>
      <c r="D284" s="4595">
        <v>-1244</v>
      </c>
      <c r="E284" s="4597" t="s">
        <v>3846</v>
      </c>
      <c r="F284" s="4596">
        <v>32.72</v>
      </c>
      <c r="G284" s="4596">
        <v>10.119999999999999</v>
      </c>
      <c r="H284" s="4133">
        <f t="shared" si="7"/>
        <v>0.30929095354523228</v>
      </c>
    </row>
    <row r="285" spans="1:32" ht="15">
      <c r="A285" s="4595">
        <v>284</v>
      </c>
      <c r="B285" s="4597" t="s">
        <v>3845</v>
      </c>
      <c r="C285" s="4595" t="s">
        <v>3844</v>
      </c>
      <c r="D285" s="4595">
        <v>-1248</v>
      </c>
      <c r="E285" s="4597" t="s">
        <v>3846</v>
      </c>
      <c r="F285" s="4596">
        <v>32.72</v>
      </c>
      <c r="G285" s="4596">
        <v>10.119999999999999</v>
      </c>
      <c r="H285" s="4133">
        <f t="shared" si="7"/>
        <v>0.30929095354523228</v>
      </c>
    </row>
    <row r="286" spans="1:32" ht="15">
      <c r="A286" s="4595">
        <v>285</v>
      </c>
      <c r="B286" s="4597" t="s">
        <v>3845</v>
      </c>
      <c r="C286" s="4595" t="s">
        <v>3844</v>
      </c>
      <c r="D286" s="4595">
        <v>-1252</v>
      </c>
      <c r="E286" s="4597" t="s">
        <v>3846</v>
      </c>
      <c r="F286" s="4596">
        <v>32.72</v>
      </c>
      <c r="G286" s="4596">
        <v>10.119999999999999</v>
      </c>
      <c r="H286" s="4133">
        <f t="shared" si="7"/>
        <v>0.30929095354523228</v>
      </c>
    </row>
    <row r="287" spans="1:32" ht="15">
      <c r="A287" s="4595">
        <v>286</v>
      </c>
      <c r="B287" s="4597" t="s">
        <v>3845</v>
      </c>
      <c r="C287" s="4595" t="s">
        <v>3844</v>
      </c>
      <c r="D287" s="4595">
        <v>-1253</v>
      </c>
      <c r="E287" s="4597" t="s">
        <v>3846</v>
      </c>
      <c r="F287" s="4596">
        <v>32.72</v>
      </c>
      <c r="G287" s="4596">
        <v>10.119999999999999</v>
      </c>
      <c r="H287" s="4133">
        <f t="shared" si="7"/>
        <v>0.30929095354523228</v>
      </c>
    </row>
    <row r="288" spans="1:32" ht="15">
      <c r="A288" s="4595">
        <v>287</v>
      </c>
      <c r="B288" s="4597" t="s">
        <v>3845</v>
      </c>
      <c r="C288" s="4595" t="s">
        <v>3844</v>
      </c>
      <c r="D288" s="4595">
        <v>-1256</v>
      </c>
      <c r="E288" s="4597" t="s">
        <v>3846</v>
      </c>
      <c r="F288" s="4596">
        <v>32.72</v>
      </c>
      <c r="G288" s="4596">
        <v>10.119999999999999</v>
      </c>
      <c r="H288" s="4133">
        <f t="shared" si="7"/>
        <v>0.30929095354523228</v>
      </c>
    </row>
    <row r="289" spans="1:8" ht="15">
      <c r="A289" s="4595">
        <v>288</v>
      </c>
      <c r="B289" s="4597" t="s">
        <v>3845</v>
      </c>
      <c r="C289" s="4595" t="s">
        <v>3844</v>
      </c>
      <c r="D289" s="4595">
        <v>-1257</v>
      </c>
      <c r="E289" s="4597" t="s">
        <v>3846</v>
      </c>
      <c r="F289" s="4596">
        <v>32.72</v>
      </c>
      <c r="G289" s="4596">
        <v>10.119999999999999</v>
      </c>
      <c r="H289" s="4133">
        <f t="shared" si="7"/>
        <v>0.30929095354523228</v>
      </c>
    </row>
    <row r="290" spans="1:8" ht="15">
      <c r="A290" s="4595">
        <v>289</v>
      </c>
      <c r="B290" s="4597" t="s">
        <v>3845</v>
      </c>
      <c r="C290" s="4595" t="s">
        <v>3844</v>
      </c>
      <c r="D290" s="4595">
        <v>-1258</v>
      </c>
      <c r="E290" s="4597" t="s">
        <v>3846</v>
      </c>
      <c r="F290" s="4596">
        <v>32.72</v>
      </c>
      <c r="G290" s="4596">
        <v>10.119999999999999</v>
      </c>
      <c r="H290" s="4133">
        <f t="shared" si="7"/>
        <v>0.30929095354523228</v>
      </c>
    </row>
    <row r="291" spans="1:8" ht="15">
      <c r="A291" s="4595">
        <v>290</v>
      </c>
      <c r="B291" s="4597" t="s">
        <v>3845</v>
      </c>
      <c r="C291" s="4595" t="s">
        <v>3844</v>
      </c>
      <c r="D291" s="4595">
        <v>-1259</v>
      </c>
      <c r="E291" s="4597" t="s">
        <v>3846</v>
      </c>
      <c r="F291" s="4596">
        <v>32.72</v>
      </c>
      <c r="G291" s="4596">
        <v>10.119999999999999</v>
      </c>
      <c r="H291" s="4133">
        <f t="shared" si="7"/>
        <v>0.30929095354523228</v>
      </c>
    </row>
    <row r="292" spans="1:8" ht="15">
      <c r="A292" s="4595">
        <v>291</v>
      </c>
      <c r="B292" s="4597" t="s">
        <v>3845</v>
      </c>
      <c r="C292" s="4595" t="s">
        <v>3844</v>
      </c>
      <c r="D292" s="4595">
        <v>-1260</v>
      </c>
      <c r="E292" s="4597" t="s">
        <v>3846</v>
      </c>
      <c r="F292" s="4596">
        <v>32.72</v>
      </c>
      <c r="G292" s="4596">
        <v>10.119999999999999</v>
      </c>
      <c r="H292" s="4133">
        <f t="shared" si="7"/>
        <v>0.30929095354523228</v>
      </c>
    </row>
    <row r="293" spans="1:8" ht="15">
      <c r="A293" s="4595">
        <v>292</v>
      </c>
      <c r="B293" s="4597" t="s">
        <v>3845</v>
      </c>
      <c r="C293" s="4595" t="s">
        <v>3844</v>
      </c>
      <c r="D293" s="4595">
        <v>-1261</v>
      </c>
      <c r="E293" s="4597" t="s">
        <v>3846</v>
      </c>
      <c r="F293" s="4596">
        <v>32.72</v>
      </c>
      <c r="G293" s="4596">
        <v>10.119999999999999</v>
      </c>
      <c r="H293" s="4133">
        <f t="shared" si="7"/>
        <v>0.30929095354523228</v>
      </c>
    </row>
    <row r="294" spans="1:8" ht="15">
      <c r="A294" s="4595">
        <v>293</v>
      </c>
      <c r="B294" s="4597" t="s">
        <v>3845</v>
      </c>
      <c r="C294" s="4595" t="s">
        <v>3844</v>
      </c>
      <c r="D294" s="4595">
        <v>-1262</v>
      </c>
      <c r="E294" s="4597" t="s">
        <v>3846</v>
      </c>
      <c r="F294" s="4596">
        <v>32.72</v>
      </c>
      <c r="G294" s="4596">
        <v>10.119999999999999</v>
      </c>
      <c r="H294" s="4133">
        <f t="shared" si="7"/>
        <v>0.30929095354523228</v>
      </c>
    </row>
    <row r="295" spans="1:8" ht="15">
      <c r="A295" s="4595">
        <v>294</v>
      </c>
      <c r="B295" s="4597" t="s">
        <v>3845</v>
      </c>
      <c r="C295" s="4595" t="s">
        <v>3844</v>
      </c>
      <c r="D295" s="4595">
        <v>-1263</v>
      </c>
      <c r="E295" s="4597" t="s">
        <v>3846</v>
      </c>
      <c r="F295" s="4596">
        <v>32.72</v>
      </c>
      <c r="G295" s="4596">
        <v>10.119999999999999</v>
      </c>
      <c r="H295" s="4133">
        <f t="shared" si="7"/>
        <v>0.30929095354523228</v>
      </c>
    </row>
    <row r="296" spans="1:8" ht="15">
      <c r="A296" s="4595">
        <v>295</v>
      </c>
      <c r="B296" s="4597" t="s">
        <v>3845</v>
      </c>
      <c r="C296" s="4595" t="s">
        <v>3844</v>
      </c>
      <c r="D296" s="4595">
        <v>-1264</v>
      </c>
      <c r="E296" s="4597" t="s">
        <v>3846</v>
      </c>
      <c r="F296" s="4596">
        <v>32.72</v>
      </c>
      <c r="G296" s="4596">
        <v>10.119999999999999</v>
      </c>
      <c r="H296" s="4133">
        <f t="shared" si="7"/>
        <v>0.30929095354523228</v>
      </c>
    </row>
    <row r="297" spans="1:8" ht="15">
      <c r="A297" s="4595">
        <v>296</v>
      </c>
      <c r="B297" s="4597" t="s">
        <v>3845</v>
      </c>
      <c r="C297" s="4595" t="s">
        <v>3844</v>
      </c>
      <c r="D297" s="4595">
        <v>-1267</v>
      </c>
      <c r="E297" s="4597" t="s">
        <v>3846</v>
      </c>
      <c r="F297" s="4596">
        <v>32.72</v>
      </c>
      <c r="G297" s="4596">
        <v>10.119999999999999</v>
      </c>
      <c r="H297" s="4133">
        <f t="shared" si="7"/>
        <v>0.30929095354523228</v>
      </c>
    </row>
    <row r="298" spans="1:8" ht="15">
      <c r="A298" s="4595">
        <v>297</v>
      </c>
      <c r="B298" s="4597" t="s">
        <v>3845</v>
      </c>
      <c r="C298" s="4595" t="s">
        <v>3844</v>
      </c>
      <c r="D298" s="4595">
        <v>-1271</v>
      </c>
      <c r="E298" s="4597" t="s">
        <v>3846</v>
      </c>
      <c r="F298" s="4596">
        <v>32.72</v>
      </c>
      <c r="G298" s="4596">
        <v>10.119999999999999</v>
      </c>
      <c r="H298" s="4133">
        <f t="shared" si="7"/>
        <v>0.30929095354523228</v>
      </c>
    </row>
    <row r="299" spans="1:8" ht="15">
      <c r="A299" s="4595">
        <v>298</v>
      </c>
      <c r="B299" s="4597" t="s">
        <v>3845</v>
      </c>
      <c r="C299" s="4595" t="s">
        <v>3844</v>
      </c>
      <c r="D299" s="4595">
        <v>-1272</v>
      </c>
      <c r="E299" s="4597" t="s">
        <v>3846</v>
      </c>
      <c r="F299" s="4596">
        <v>32.72</v>
      </c>
      <c r="G299" s="4596">
        <v>10.119999999999999</v>
      </c>
      <c r="H299" s="4133">
        <f t="shared" si="7"/>
        <v>0.30929095354523228</v>
      </c>
    </row>
    <row r="300" spans="1:8" ht="15">
      <c r="A300" s="4595">
        <v>299</v>
      </c>
      <c r="B300" s="4597" t="s">
        <v>3845</v>
      </c>
      <c r="C300" s="4595" t="s">
        <v>3844</v>
      </c>
      <c r="D300" s="4595">
        <v>-1276</v>
      </c>
      <c r="E300" s="4597" t="s">
        <v>3846</v>
      </c>
      <c r="F300" s="4596">
        <v>32.72</v>
      </c>
      <c r="G300" s="4596">
        <v>10.119999999999999</v>
      </c>
      <c r="H300" s="4133">
        <f t="shared" si="7"/>
        <v>0.30929095354523228</v>
      </c>
    </row>
    <row r="301" spans="1:8" ht="15">
      <c r="A301" s="4595">
        <v>300</v>
      </c>
      <c r="B301" s="4597" t="s">
        <v>3845</v>
      </c>
      <c r="C301" s="4595" t="s">
        <v>3844</v>
      </c>
      <c r="D301" s="4595">
        <v>-1277</v>
      </c>
      <c r="E301" s="4597" t="s">
        <v>3846</v>
      </c>
      <c r="F301" s="4596">
        <v>32.72</v>
      </c>
      <c r="G301" s="4596">
        <v>10.119999999999999</v>
      </c>
      <c r="H301" s="4133">
        <f t="shared" si="7"/>
        <v>0.30929095354523228</v>
      </c>
    </row>
    <row r="302" spans="1:8" ht="15">
      <c r="A302" s="4595">
        <v>301</v>
      </c>
      <c r="B302" s="4597" t="s">
        <v>3845</v>
      </c>
      <c r="C302" s="4595" t="s">
        <v>3844</v>
      </c>
      <c r="D302" s="4595">
        <v>-1278</v>
      </c>
      <c r="E302" s="4597" t="s">
        <v>3846</v>
      </c>
      <c r="F302" s="4596">
        <v>32.72</v>
      </c>
      <c r="G302" s="4596">
        <v>10.119999999999999</v>
      </c>
      <c r="H302" s="4133">
        <f t="shared" si="7"/>
        <v>0.30929095354523228</v>
      </c>
    </row>
    <row r="303" spans="1:8" ht="15">
      <c r="A303" s="4595">
        <v>302</v>
      </c>
      <c r="B303" s="4597" t="s">
        <v>3845</v>
      </c>
      <c r="C303" s="4595" t="s">
        <v>3844</v>
      </c>
      <c r="D303" s="4595">
        <v>-1279</v>
      </c>
      <c r="E303" s="4597" t="s">
        <v>3846</v>
      </c>
      <c r="F303" s="4596">
        <v>32.72</v>
      </c>
      <c r="G303" s="4596">
        <v>10.119999999999999</v>
      </c>
      <c r="H303" s="4133">
        <f t="shared" si="7"/>
        <v>0.30929095354523228</v>
      </c>
    </row>
    <row r="304" spans="1:8" ht="15">
      <c r="A304" s="4595">
        <v>303</v>
      </c>
      <c r="B304" s="4597" t="s">
        <v>3845</v>
      </c>
      <c r="C304" s="4595" t="s">
        <v>3844</v>
      </c>
      <c r="D304" s="4595">
        <v>-1280</v>
      </c>
      <c r="E304" s="4597" t="s">
        <v>3846</v>
      </c>
      <c r="F304" s="4596">
        <v>32.72</v>
      </c>
      <c r="G304" s="4596">
        <v>10.119999999999999</v>
      </c>
      <c r="H304" s="4133">
        <f t="shared" si="7"/>
        <v>0.30929095354523228</v>
      </c>
    </row>
    <row r="305" spans="1:8" ht="15">
      <c r="A305" s="4595">
        <v>304</v>
      </c>
      <c r="B305" s="4597" t="s">
        <v>3845</v>
      </c>
      <c r="C305" s="4595" t="s">
        <v>3844</v>
      </c>
      <c r="D305" s="4595">
        <v>-1281</v>
      </c>
      <c r="E305" s="4597" t="s">
        <v>3846</v>
      </c>
      <c r="F305" s="4596">
        <v>32.72</v>
      </c>
      <c r="G305" s="4596">
        <v>10.119999999999999</v>
      </c>
      <c r="H305" s="4133">
        <f t="shared" si="7"/>
        <v>0.30929095354523228</v>
      </c>
    </row>
    <row r="306" spans="1:8" ht="15">
      <c r="A306" s="4595">
        <v>305</v>
      </c>
      <c r="B306" s="4597" t="s">
        <v>3845</v>
      </c>
      <c r="C306" s="4595" t="s">
        <v>3844</v>
      </c>
      <c r="D306" s="4595">
        <v>-1283</v>
      </c>
      <c r="E306" s="4597" t="s">
        <v>3846</v>
      </c>
      <c r="F306" s="4596">
        <v>47.11</v>
      </c>
      <c r="G306" s="4596">
        <v>14.57</v>
      </c>
      <c r="H306" s="4133">
        <f t="shared" si="7"/>
        <v>0.30927616217363618</v>
      </c>
    </row>
    <row r="307" spans="1:8" ht="15">
      <c r="A307" s="4595">
        <v>306</v>
      </c>
      <c r="B307" s="4597" t="s">
        <v>3845</v>
      </c>
      <c r="C307" s="4595" t="s">
        <v>3844</v>
      </c>
      <c r="D307" s="4595">
        <v>-1284</v>
      </c>
      <c r="E307" s="4597" t="s">
        <v>3846</v>
      </c>
      <c r="F307" s="4596">
        <v>32.72</v>
      </c>
      <c r="G307" s="4596">
        <v>10.119999999999999</v>
      </c>
      <c r="H307" s="4133">
        <f t="shared" si="7"/>
        <v>0.30929095354523228</v>
      </c>
    </row>
    <row r="308" spans="1:8" ht="15">
      <c r="A308" s="4595">
        <v>307</v>
      </c>
      <c r="B308" s="4597" t="s">
        <v>3845</v>
      </c>
      <c r="C308" s="4595" t="s">
        <v>3844</v>
      </c>
      <c r="D308" s="4595">
        <v>-1289</v>
      </c>
      <c r="E308" s="4597" t="s">
        <v>3846</v>
      </c>
      <c r="F308" s="4596">
        <v>32.72</v>
      </c>
      <c r="G308" s="4596">
        <v>10.119999999999999</v>
      </c>
      <c r="H308" s="4133">
        <f t="shared" si="7"/>
        <v>0.30929095354523228</v>
      </c>
    </row>
    <row r="309" spans="1:8" ht="15">
      <c r="A309" s="4595">
        <v>308</v>
      </c>
      <c r="B309" s="4597" t="s">
        <v>3845</v>
      </c>
      <c r="C309" s="4595" t="s">
        <v>3844</v>
      </c>
      <c r="D309" s="4595">
        <v>-1290</v>
      </c>
      <c r="E309" s="4597" t="s">
        <v>3846</v>
      </c>
      <c r="F309" s="4596">
        <v>32.72</v>
      </c>
      <c r="G309" s="4596">
        <v>10.119999999999999</v>
      </c>
      <c r="H309" s="4133">
        <f t="shared" si="7"/>
        <v>0.30929095354523228</v>
      </c>
    </row>
    <row r="310" spans="1:8" ht="15">
      <c r="A310" s="4595">
        <v>309</v>
      </c>
      <c r="B310" s="4597" t="s">
        <v>3845</v>
      </c>
      <c r="C310" s="4595" t="s">
        <v>3844</v>
      </c>
      <c r="D310" s="4595">
        <v>-1292</v>
      </c>
      <c r="E310" s="4597" t="s">
        <v>3846</v>
      </c>
      <c r="F310" s="4596">
        <v>32.72</v>
      </c>
      <c r="G310" s="4596">
        <v>10.119999999999999</v>
      </c>
      <c r="H310" s="4133">
        <f t="shared" si="7"/>
        <v>0.30929095354523228</v>
      </c>
    </row>
    <row r="311" spans="1:8" ht="15">
      <c r="A311" s="4595">
        <v>310</v>
      </c>
      <c r="B311" s="4597" t="s">
        <v>3845</v>
      </c>
      <c r="C311" s="4595" t="s">
        <v>3844</v>
      </c>
      <c r="D311" s="4595">
        <v>-1294</v>
      </c>
      <c r="E311" s="4597" t="s">
        <v>3846</v>
      </c>
      <c r="F311" s="4596">
        <v>32.72</v>
      </c>
      <c r="G311" s="4596">
        <v>10.119999999999999</v>
      </c>
      <c r="H311" s="4133">
        <f t="shared" si="7"/>
        <v>0.30929095354523228</v>
      </c>
    </row>
    <row r="312" spans="1:8" ht="15">
      <c r="A312" s="4595">
        <v>311</v>
      </c>
      <c r="B312" s="4597" t="s">
        <v>3845</v>
      </c>
      <c r="C312" s="4595" t="s">
        <v>3844</v>
      </c>
      <c r="D312" s="4595">
        <v>-1295</v>
      </c>
      <c r="E312" s="4597" t="s">
        <v>3846</v>
      </c>
      <c r="F312" s="4596">
        <v>32.72</v>
      </c>
      <c r="G312" s="4596">
        <v>10.119999999999999</v>
      </c>
      <c r="H312" s="4133">
        <f t="shared" si="7"/>
        <v>0.30929095354523228</v>
      </c>
    </row>
    <row r="313" spans="1:8" ht="15">
      <c r="A313" s="4595">
        <v>312</v>
      </c>
      <c r="B313" s="4597" t="s">
        <v>3845</v>
      </c>
      <c r="C313" s="4595" t="s">
        <v>3844</v>
      </c>
      <c r="D313" s="4595">
        <v>-1297</v>
      </c>
      <c r="E313" s="4597" t="s">
        <v>3846</v>
      </c>
      <c r="F313" s="4596">
        <v>32.72</v>
      </c>
      <c r="G313" s="4596">
        <v>10.119999999999999</v>
      </c>
      <c r="H313" s="4133">
        <f t="shared" si="7"/>
        <v>0.30929095354523228</v>
      </c>
    </row>
    <row r="314" spans="1:8" ht="15">
      <c r="A314" s="4595">
        <v>313</v>
      </c>
      <c r="B314" s="4597" t="s">
        <v>3845</v>
      </c>
      <c r="C314" s="4595" t="s">
        <v>3844</v>
      </c>
      <c r="D314" s="4595">
        <v>-1298</v>
      </c>
      <c r="E314" s="4597" t="s">
        <v>3846</v>
      </c>
      <c r="F314" s="4596">
        <v>32.72</v>
      </c>
      <c r="G314" s="4596">
        <v>10.119999999999999</v>
      </c>
      <c r="H314" s="4133">
        <f t="shared" si="7"/>
        <v>0.30929095354523228</v>
      </c>
    </row>
    <row r="315" spans="1:8" ht="15">
      <c r="A315" s="4595">
        <v>314</v>
      </c>
      <c r="B315" s="4597" t="s">
        <v>3845</v>
      </c>
      <c r="C315" s="4595" t="s">
        <v>3844</v>
      </c>
      <c r="D315" s="4595">
        <v>-1299</v>
      </c>
      <c r="E315" s="4597" t="s">
        <v>3846</v>
      </c>
      <c r="F315" s="4596">
        <v>32.72</v>
      </c>
      <c r="G315" s="4596">
        <v>10.119999999999999</v>
      </c>
      <c r="H315" s="4133">
        <f t="shared" si="7"/>
        <v>0.30929095354523228</v>
      </c>
    </row>
    <row r="316" spans="1:8" ht="15">
      <c r="A316" s="4595">
        <v>315</v>
      </c>
      <c r="B316" s="4597" t="s">
        <v>3845</v>
      </c>
      <c r="C316" s="4595" t="s">
        <v>3844</v>
      </c>
      <c r="D316" s="4595">
        <v>-1303</v>
      </c>
      <c r="E316" s="4597" t="s">
        <v>3846</v>
      </c>
      <c r="F316" s="4596">
        <v>32.72</v>
      </c>
      <c r="G316" s="4596">
        <v>10.119999999999999</v>
      </c>
      <c r="H316" s="4133">
        <f t="shared" si="7"/>
        <v>0.30929095354523228</v>
      </c>
    </row>
    <row r="317" spans="1:8" ht="15">
      <c r="A317" s="4595">
        <v>316</v>
      </c>
      <c r="B317" s="4597" t="s">
        <v>3845</v>
      </c>
      <c r="C317" s="4595" t="s">
        <v>3844</v>
      </c>
      <c r="D317" s="4595">
        <v>-1304</v>
      </c>
      <c r="E317" s="4597" t="s">
        <v>3846</v>
      </c>
      <c r="F317" s="4596">
        <v>32.72</v>
      </c>
      <c r="G317" s="4596">
        <v>10.119999999999999</v>
      </c>
      <c r="H317" s="4133">
        <f t="shared" si="7"/>
        <v>0.30929095354523228</v>
      </c>
    </row>
    <row r="318" spans="1:8" ht="15">
      <c r="A318" s="4595">
        <v>317</v>
      </c>
      <c r="B318" s="4597" t="s">
        <v>3845</v>
      </c>
      <c r="C318" s="4595" t="s">
        <v>3844</v>
      </c>
      <c r="D318" s="4595">
        <v>-1305</v>
      </c>
      <c r="E318" s="4597" t="s">
        <v>3846</v>
      </c>
      <c r="F318" s="4596">
        <v>32.72</v>
      </c>
      <c r="G318" s="4596">
        <v>10.119999999999999</v>
      </c>
      <c r="H318" s="4133">
        <f t="shared" si="7"/>
        <v>0.30929095354523228</v>
      </c>
    </row>
    <row r="319" spans="1:8" ht="15">
      <c r="A319" s="4595">
        <v>318</v>
      </c>
      <c r="B319" s="4597" t="s">
        <v>3845</v>
      </c>
      <c r="C319" s="4595" t="s">
        <v>3844</v>
      </c>
      <c r="D319" s="4595">
        <v>-1306</v>
      </c>
      <c r="E319" s="4597" t="s">
        <v>3846</v>
      </c>
      <c r="F319" s="4596">
        <v>32.72</v>
      </c>
      <c r="G319" s="4596">
        <v>10.119999999999999</v>
      </c>
      <c r="H319" s="4133">
        <f t="shared" si="7"/>
        <v>0.30929095354523228</v>
      </c>
    </row>
    <row r="320" spans="1:8" ht="15">
      <c r="A320" s="4595">
        <v>319</v>
      </c>
      <c r="B320" s="4597" t="s">
        <v>3845</v>
      </c>
      <c r="C320" s="4595" t="s">
        <v>3844</v>
      </c>
      <c r="D320" s="4595">
        <v>-1309</v>
      </c>
      <c r="E320" s="4597" t="s">
        <v>3846</v>
      </c>
      <c r="F320" s="4596">
        <v>32.72</v>
      </c>
      <c r="G320" s="4596">
        <v>10.119999999999999</v>
      </c>
      <c r="H320" s="4133">
        <f t="shared" si="7"/>
        <v>0.30929095354523228</v>
      </c>
    </row>
    <row r="321" spans="1:8" ht="15">
      <c r="A321" s="4595">
        <v>320</v>
      </c>
      <c r="B321" s="4597" t="s">
        <v>3845</v>
      </c>
      <c r="C321" s="4595" t="s">
        <v>3844</v>
      </c>
      <c r="D321" s="4595">
        <v>-1311</v>
      </c>
      <c r="E321" s="4597" t="s">
        <v>3846</v>
      </c>
      <c r="F321" s="4596">
        <v>32.72</v>
      </c>
      <c r="G321" s="4596">
        <v>10.119999999999999</v>
      </c>
      <c r="H321" s="4133">
        <f t="shared" si="7"/>
        <v>0.30929095354523228</v>
      </c>
    </row>
    <row r="322" spans="1:8" ht="15">
      <c r="A322" s="4595">
        <v>321</v>
      </c>
      <c r="B322" s="4597" t="s">
        <v>3845</v>
      </c>
      <c r="C322" s="4595" t="s">
        <v>3844</v>
      </c>
      <c r="D322" s="4595">
        <v>-1314</v>
      </c>
      <c r="E322" s="4597" t="s">
        <v>3846</v>
      </c>
      <c r="F322" s="4596">
        <v>32.72</v>
      </c>
      <c r="G322" s="4596">
        <v>10.119999999999999</v>
      </c>
      <c r="H322" s="4133">
        <f t="shared" ref="H322:H385" si="8">G322/F322</f>
        <v>0.30929095354523228</v>
      </c>
    </row>
    <row r="323" spans="1:8" ht="15">
      <c r="A323" s="4595">
        <v>322</v>
      </c>
      <c r="B323" s="4597" t="s">
        <v>3845</v>
      </c>
      <c r="C323" s="4595" t="s">
        <v>3844</v>
      </c>
      <c r="D323" s="4595">
        <v>-1318</v>
      </c>
      <c r="E323" s="4597" t="s">
        <v>3846</v>
      </c>
      <c r="F323" s="4596">
        <v>32.72</v>
      </c>
      <c r="G323" s="4596">
        <v>10.119999999999999</v>
      </c>
      <c r="H323" s="4133">
        <f t="shared" si="8"/>
        <v>0.30929095354523228</v>
      </c>
    </row>
    <row r="324" spans="1:8" ht="15">
      <c r="A324" s="4595">
        <v>323</v>
      </c>
      <c r="B324" s="4597" t="s">
        <v>3845</v>
      </c>
      <c r="C324" s="4595" t="s">
        <v>3844</v>
      </c>
      <c r="D324" s="4595">
        <v>-1319</v>
      </c>
      <c r="E324" s="4597" t="s">
        <v>3846</v>
      </c>
      <c r="F324" s="4596">
        <v>32.72</v>
      </c>
      <c r="G324" s="4596">
        <v>10.119999999999999</v>
      </c>
      <c r="H324" s="4133">
        <f t="shared" si="8"/>
        <v>0.30929095354523228</v>
      </c>
    </row>
    <row r="325" spans="1:8" ht="15">
      <c r="A325" s="4595">
        <v>324</v>
      </c>
      <c r="B325" s="4597" t="s">
        <v>3845</v>
      </c>
      <c r="C325" s="4595" t="s">
        <v>3844</v>
      </c>
      <c r="D325" s="4595">
        <v>-1320</v>
      </c>
      <c r="E325" s="4597" t="s">
        <v>3846</v>
      </c>
      <c r="F325" s="4596">
        <v>32.72</v>
      </c>
      <c r="G325" s="4596">
        <v>10.119999999999999</v>
      </c>
      <c r="H325" s="4133">
        <f t="shared" si="8"/>
        <v>0.30929095354523228</v>
      </c>
    </row>
    <row r="326" spans="1:8" ht="15">
      <c r="A326" s="4595">
        <v>325</v>
      </c>
      <c r="B326" s="4597" t="s">
        <v>3845</v>
      </c>
      <c r="C326" s="4595" t="s">
        <v>3844</v>
      </c>
      <c r="D326" s="4595">
        <v>-1321</v>
      </c>
      <c r="E326" s="4597" t="s">
        <v>3846</v>
      </c>
      <c r="F326" s="4596">
        <v>32.72</v>
      </c>
      <c r="G326" s="4596">
        <v>10.119999999999999</v>
      </c>
      <c r="H326" s="4133">
        <f t="shared" si="8"/>
        <v>0.30929095354523228</v>
      </c>
    </row>
    <row r="327" spans="1:8" ht="15">
      <c r="A327" s="4595">
        <v>326</v>
      </c>
      <c r="B327" s="4597" t="s">
        <v>3845</v>
      </c>
      <c r="C327" s="4595" t="s">
        <v>3844</v>
      </c>
      <c r="D327" s="4595">
        <v>-1322</v>
      </c>
      <c r="E327" s="4597" t="s">
        <v>3846</v>
      </c>
      <c r="F327" s="4596">
        <v>32.72</v>
      </c>
      <c r="G327" s="4596">
        <v>10.119999999999999</v>
      </c>
      <c r="H327" s="4133">
        <f t="shared" si="8"/>
        <v>0.30929095354523228</v>
      </c>
    </row>
    <row r="328" spans="1:8" ht="15">
      <c r="A328" s="4595">
        <v>327</v>
      </c>
      <c r="B328" s="4597" t="s">
        <v>3845</v>
      </c>
      <c r="C328" s="4595" t="s">
        <v>3844</v>
      </c>
      <c r="D328" s="4595">
        <v>-1323</v>
      </c>
      <c r="E328" s="4597" t="s">
        <v>3846</v>
      </c>
      <c r="F328" s="4596">
        <v>32.72</v>
      </c>
      <c r="G328" s="4596">
        <v>10.119999999999999</v>
      </c>
      <c r="H328" s="4133">
        <f t="shared" si="8"/>
        <v>0.30929095354523228</v>
      </c>
    </row>
    <row r="329" spans="1:8" ht="15">
      <c r="A329" s="4595">
        <v>328</v>
      </c>
      <c r="B329" s="4597" t="s">
        <v>3845</v>
      </c>
      <c r="C329" s="4595" t="s">
        <v>3844</v>
      </c>
      <c r="D329" s="4595">
        <v>-1324</v>
      </c>
      <c r="E329" s="4597" t="s">
        <v>3846</v>
      </c>
      <c r="F329" s="4596">
        <v>32.72</v>
      </c>
      <c r="G329" s="4596">
        <v>10.119999999999999</v>
      </c>
      <c r="H329" s="4133">
        <f t="shared" si="8"/>
        <v>0.30929095354523228</v>
      </c>
    </row>
    <row r="330" spans="1:8" ht="15">
      <c r="A330" s="4595">
        <v>329</v>
      </c>
      <c r="B330" s="4597" t="s">
        <v>3845</v>
      </c>
      <c r="C330" s="4595" t="s">
        <v>3844</v>
      </c>
      <c r="D330" s="4595">
        <v>-1325</v>
      </c>
      <c r="E330" s="4597" t="s">
        <v>3846</v>
      </c>
      <c r="F330" s="4596">
        <v>32.72</v>
      </c>
      <c r="G330" s="4596">
        <v>10.119999999999999</v>
      </c>
      <c r="H330" s="4133">
        <f t="shared" si="8"/>
        <v>0.30929095354523228</v>
      </c>
    </row>
    <row r="331" spans="1:8" ht="15">
      <c r="A331" s="4595">
        <v>330</v>
      </c>
      <c r="B331" s="4597" t="s">
        <v>3845</v>
      </c>
      <c r="C331" s="4595" t="s">
        <v>3844</v>
      </c>
      <c r="D331" s="4595">
        <v>-1326</v>
      </c>
      <c r="E331" s="4597" t="s">
        <v>3846</v>
      </c>
      <c r="F331" s="4596">
        <v>32.72</v>
      </c>
      <c r="G331" s="4596">
        <v>10.119999999999999</v>
      </c>
      <c r="H331" s="4133">
        <f t="shared" si="8"/>
        <v>0.30929095354523228</v>
      </c>
    </row>
    <row r="332" spans="1:8" ht="15">
      <c r="A332" s="4595">
        <v>331</v>
      </c>
      <c r="B332" s="4597" t="s">
        <v>3845</v>
      </c>
      <c r="C332" s="4595" t="s">
        <v>3844</v>
      </c>
      <c r="D332" s="4595">
        <v>-1327</v>
      </c>
      <c r="E332" s="4597" t="s">
        <v>3846</v>
      </c>
      <c r="F332" s="4596">
        <v>32.72</v>
      </c>
      <c r="G332" s="4596">
        <v>10.119999999999999</v>
      </c>
      <c r="H332" s="4133">
        <f t="shared" si="8"/>
        <v>0.30929095354523228</v>
      </c>
    </row>
    <row r="333" spans="1:8" ht="15">
      <c r="A333" s="4595">
        <v>332</v>
      </c>
      <c r="B333" s="4597" t="s">
        <v>3845</v>
      </c>
      <c r="C333" s="4595" t="s">
        <v>3844</v>
      </c>
      <c r="D333" s="4595">
        <v>-1337</v>
      </c>
      <c r="E333" s="4597" t="s">
        <v>3846</v>
      </c>
      <c r="F333" s="4596">
        <v>32.72</v>
      </c>
      <c r="G333" s="4596">
        <v>10.119999999999999</v>
      </c>
      <c r="H333" s="4133">
        <f t="shared" si="8"/>
        <v>0.30929095354523228</v>
      </c>
    </row>
    <row r="334" spans="1:8" ht="15">
      <c r="A334" s="4595">
        <v>333</v>
      </c>
      <c r="B334" s="4597" t="s">
        <v>3845</v>
      </c>
      <c r="C334" s="4595" t="s">
        <v>3844</v>
      </c>
      <c r="D334" s="4595">
        <v>-1338</v>
      </c>
      <c r="E334" s="4597" t="s">
        <v>3846</v>
      </c>
      <c r="F334" s="4596">
        <v>32.72</v>
      </c>
      <c r="G334" s="4596">
        <v>10.119999999999999</v>
      </c>
      <c r="H334" s="4133">
        <f t="shared" si="8"/>
        <v>0.30929095354523228</v>
      </c>
    </row>
    <row r="335" spans="1:8" ht="15">
      <c r="A335" s="4595">
        <v>334</v>
      </c>
      <c r="B335" s="4597" t="s">
        <v>3845</v>
      </c>
      <c r="C335" s="4595" t="s">
        <v>3844</v>
      </c>
      <c r="D335" s="4595">
        <v>-1340</v>
      </c>
      <c r="E335" s="4597" t="s">
        <v>3846</v>
      </c>
      <c r="F335" s="4596">
        <v>32.72</v>
      </c>
      <c r="G335" s="4596">
        <v>10.119999999999999</v>
      </c>
      <c r="H335" s="4133">
        <f t="shared" si="8"/>
        <v>0.30929095354523228</v>
      </c>
    </row>
    <row r="336" spans="1:8" ht="15">
      <c r="A336" s="4595">
        <v>335</v>
      </c>
      <c r="B336" s="4597" t="s">
        <v>3845</v>
      </c>
      <c r="C336" s="4595" t="s">
        <v>3844</v>
      </c>
      <c r="D336" s="4595">
        <v>-1341</v>
      </c>
      <c r="E336" s="4597" t="s">
        <v>3846</v>
      </c>
      <c r="F336" s="4596">
        <v>32.72</v>
      </c>
      <c r="G336" s="4596">
        <v>10.119999999999999</v>
      </c>
      <c r="H336" s="4133">
        <f t="shared" si="8"/>
        <v>0.30929095354523228</v>
      </c>
    </row>
    <row r="337" spans="1:8" ht="15">
      <c r="A337" s="4595">
        <v>336</v>
      </c>
      <c r="B337" s="4597" t="s">
        <v>3845</v>
      </c>
      <c r="C337" s="4595" t="s">
        <v>3844</v>
      </c>
      <c r="D337" s="4595">
        <v>-1342</v>
      </c>
      <c r="E337" s="4597" t="s">
        <v>3846</v>
      </c>
      <c r="F337" s="4596">
        <v>32.72</v>
      </c>
      <c r="G337" s="4596">
        <v>10.119999999999999</v>
      </c>
      <c r="H337" s="4133">
        <f t="shared" si="8"/>
        <v>0.30929095354523228</v>
      </c>
    </row>
    <row r="338" spans="1:8" ht="15">
      <c r="A338" s="4595">
        <v>337</v>
      </c>
      <c r="B338" s="4597" t="s">
        <v>3845</v>
      </c>
      <c r="C338" s="4595" t="s">
        <v>3844</v>
      </c>
      <c r="D338" s="4595">
        <v>-1343</v>
      </c>
      <c r="E338" s="4597" t="s">
        <v>3846</v>
      </c>
      <c r="F338" s="4596">
        <v>32.72</v>
      </c>
      <c r="G338" s="4596">
        <v>10.119999999999999</v>
      </c>
      <c r="H338" s="4133">
        <f t="shared" si="8"/>
        <v>0.30929095354523228</v>
      </c>
    </row>
    <row r="339" spans="1:8" ht="15">
      <c r="A339" s="4595">
        <v>338</v>
      </c>
      <c r="B339" s="4597" t="s">
        <v>3845</v>
      </c>
      <c r="C339" s="4595" t="s">
        <v>3844</v>
      </c>
      <c r="D339" s="4595">
        <v>-1344</v>
      </c>
      <c r="E339" s="4597" t="s">
        <v>3846</v>
      </c>
      <c r="F339" s="4596">
        <v>32.72</v>
      </c>
      <c r="G339" s="4596">
        <v>10.119999999999999</v>
      </c>
      <c r="H339" s="4133">
        <f t="shared" si="8"/>
        <v>0.30929095354523228</v>
      </c>
    </row>
    <row r="340" spans="1:8" ht="15">
      <c r="A340" s="4595">
        <v>339</v>
      </c>
      <c r="B340" s="4597" t="s">
        <v>3845</v>
      </c>
      <c r="C340" s="4595" t="s">
        <v>3844</v>
      </c>
      <c r="D340" s="4595">
        <v>-2001</v>
      </c>
      <c r="E340" s="4597" t="s">
        <v>3846</v>
      </c>
      <c r="F340" s="4596">
        <v>32.72</v>
      </c>
      <c r="G340" s="4596">
        <v>10.119999999999999</v>
      </c>
      <c r="H340" s="4133">
        <f t="shared" si="8"/>
        <v>0.30929095354523228</v>
      </c>
    </row>
    <row r="341" spans="1:8" ht="15">
      <c r="A341" s="4595">
        <v>340</v>
      </c>
      <c r="B341" s="4597" t="s">
        <v>3845</v>
      </c>
      <c r="C341" s="4595" t="s">
        <v>3844</v>
      </c>
      <c r="D341" s="4595">
        <v>-2002</v>
      </c>
      <c r="E341" s="4597" t="s">
        <v>3846</v>
      </c>
      <c r="F341" s="4596">
        <v>32.72</v>
      </c>
      <c r="G341" s="4596">
        <v>10.119999999999999</v>
      </c>
      <c r="H341" s="4133">
        <f t="shared" si="8"/>
        <v>0.30929095354523228</v>
      </c>
    </row>
    <row r="342" spans="1:8" ht="15">
      <c r="A342" s="4595">
        <v>341</v>
      </c>
      <c r="B342" s="4597" t="s">
        <v>3845</v>
      </c>
      <c r="C342" s="4595" t="s">
        <v>3844</v>
      </c>
      <c r="D342" s="4595">
        <v>-2003</v>
      </c>
      <c r="E342" s="4597" t="s">
        <v>3846</v>
      </c>
      <c r="F342" s="4596">
        <v>32.72</v>
      </c>
      <c r="G342" s="4596">
        <v>10.119999999999999</v>
      </c>
      <c r="H342" s="4133">
        <f t="shared" si="8"/>
        <v>0.30929095354523228</v>
      </c>
    </row>
    <row r="343" spans="1:8" ht="15">
      <c r="A343" s="4595">
        <v>342</v>
      </c>
      <c r="B343" s="4597" t="s">
        <v>3845</v>
      </c>
      <c r="C343" s="4595" t="s">
        <v>3844</v>
      </c>
      <c r="D343" s="4595">
        <v>-2004</v>
      </c>
      <c r="E343" s="4597" t="s">
        <v>3846</v>
      </c>
      <c r="F343" s="4596">
        <v>32.72</v>
      </c>
      <c r="G343" s="4596">
        <v>10.119999999999999</v>
      </c>
      <c r="H343" s="4133">
        <f t="shared" si="8"/>
        <v>0.30929095354523228</v>
      </c>
    </row>
    <row r="344" spans="1:8" ht="15">
      <c r="A344" s="4595">
        <v>343</v>
      </c>
      <c r="B344" s="4597" t="s">
        <v>3845</v>
      </c>
      <c r="C344" s="4595" t="s">
        <v>3844</v>
      </c>
      <c r="D344" s="4595">
        <v>-2006</v>
      </c>
      <c r="E344" s="4597" t="s">
        <v>3846</v>
      </c>
      <c r="F344" s="4596">
        <v>32.72</v>
      </c>
      <c r="G344" s="4596">
        <v>10.119999999999999</v>
      </c>
      <c r="H344" s="4133">
        <f t="shared" si="8"/>
        <v>0.30929095354523228</v>
      </c>
    </row>
    <row r="345" spans="1:8" ht="15">
      <c r="A345" s="4595">
        <v>344</v>
      </c>
      <c r="B345" s="4597" t="s">
        <v>3845</v>
      </c>
      <c r="C345" s="4595" t="s">
        <v>3844</v>
      </c>
      <c r="D345" s="4595">
        <v>-2007</v>
      </c>
      <c r="E345" s="4597" t="s">
        <v>3846</v>
      </c>
      <c r="F345" s="4596">
        <v>32.72</v>
      </c>
      <c r="G345" s="4596">
        <v>10.119999999999999</v>
      </c>
      <c r="H345" s="4133">
        <f t="shared" si="8"/>
        <v>0.30929095354523228</v>
      </c>
    </row>
    <row r="346" spans="1:8" ht="15">
      <c r="A346" s="4595">
        <v>345</v>
      </c>
      <c r="B346" s="4597" t="s">
        <v>3845</v>
      </c>
      <c r="C346" s="4595" t="s">
        <v>3844</v>
      </c>
      <c r="D346" s="4595">
        <v>-2008</v>
      </c>
      <c r="E346" s="4597" t="s">
        <v>3846</v>
      </c>
      <c r="F346" s="4596">
        <v>32.72</v>
      </c>
      <c r="G346" s="4596">
        <v>10.119999999999999</v>
      </c>
      <c r="H346" s="4133">
        <f t="shared" si="8"/>
        <v>0.30929095354523228</v>
      </c>
    </row>
    <row r="347" spans="1:8" ht="15">
      <c r="A347" s="4595">
        <v>346</v>
      </c>
      <c r="B347" s="4597" t="s">
        <v>3845</v>
      </c>
      <c r="C347" s="4595" t="s">
        <v>3844</v>
      </c>
      <c r="D347" s="4595">
        <v>-2009</v>
      </c>
      <c r="E347" s="4597" t="s">
        <v>3846</v>
      </c>
      <c r="F347" s="4596">
        <v>32.72</v>
      </c>
      <c r="G347" s="4596">
        <v>10.119999999999999</v>
      </c>
      <c r="H347" s="4133">
        <f t="shared" si="8"/>
        <v>0.30929095354523228</v>
      </c>
    </row>
    <row r="348" spans="1:8" ht="15">
      <c r="A348" s="4595">
        <v>347</v>
      </c>
      <c r="B348" s="4597" t="s">
        <v>3845</v>
      </c>
      <c r="C348" s="4595" t="s">
        <v>3844</v>
      </c>
      <c r="D348" s="4595">
        <v>-2010</v>
      </c>
      <c r="E348" s="4597" t="s">
        <v>3846</v>
      </c>
      <c r="F348" s="4596">
        <v>32.72</v>
      </c>
      <c r="G348" s="4596">
        <v>10.119999999999999</v>
      </c>
      <c r="H348" s="4133">
        <f t="shared" si="8"/>
        <v>0.30929095354523228</v>
      </c>
    </row>
    <row r="349" spans="1:8" ht="15">
      <c r="A349" s="4595">
        <v>348</v>
      </c>
      <c r="B349" s="4597" t="s">
        <v>3845</v>
      </c>
      <c r="C349" s="4595" t="s">
        <v>3844</v>
      </c>
      <c r="D349" s="4595">
        <v>-2011</v>
      </c>
      <c r="E349" s="4597" t="s">
        <v>3846</v>
      </c>
      <c r="F349" s="4596">
        <v>32.72</v>
      </c>
      <c r="G349" s="4596">
        <v>10.119999999999999</v>
      </c>
      <c r="H349" s="4133">
        <f t="shared" si="8"/>
        <v>0.30929095354523228</v>
      </c>
    </row>
    <row r="350" spans="1:8" ht="15">
      <c r="A350" s="4595">
        <v>349</v>
      </c>
      <c r="B350" s="4597" t="s">
        <v>3845</v>
      </c>
      <c r="C350" s="4595" t="s">
        <v>3844</v>
      </c>
      <c r="D350" s="4595">
        <v>-2012</v>
      </c>
      <c r="E350" s="4597" t="s">
        <v>3846</v>
      </c>
      <c r="F350" s="4596">
        <v>32.72</v>
      </c>
      <c r="G350" s="4596">
        <v>10.119999999999999</v>
      </c>
      <c r="H350" s="4133">
        <f t="shared" si="8"/>
        <v>0.30929095354523228</v>
      </c>
    </row>
    <row r="351" spans="1:8" ht="15">
      <c r="A351" s="4595">
        <v>350</v>
      </c>
      <c r="B351" s="4597" t="s">
        <v>3845</v>
      </c>
      <c r="C351" s="4595" t="s">
        <v>3844</v>
      </c>
      <c r="D351" s="4595">
        <v>-2013</v>
      </c>
      <c r="E351" s="4597" t="s">
        <v>3846</v>
      </c>
      <c r="F351" s="4596">
        <v>32.72</v>
      </c>
      <c r="G351" s="4596">
        <v>10.119999999999999</v>
      </c>
      <c r="H351" s="4133">
        <f t="shared" si="8"/>
        <v>0.30929095354523228</v>
      </c>
    </row>
    <row r="352" spans="1:8" ht="15">
      <c r="A352" s="4595">
        <v>351</v>
      </c>
      <c r="B352" s="4597" t="s">
        <v>3845</v>
      </c>
      <c r="C352" s="4595" t="s">
        <v>3844</v>
      </c>
      <c r="D352" s="4595">
        <v>-2014</v>
      </c>
      <c r="E352" s="4597" t="s">
        <v>3846</v>
      </c>
      <c r="F352" s="4596">
        <v>32.72</v>
      </c>
      <c r="G352" s="4596">
        <v>10.119999999999999</v>
      </c>
      <c r="H352" s="4133">
        <f t="shared" si="8"/>
        <v>0.30929095354523228</v>
      </c>
    </row>
    <row r="353" spans="1:8" ht="15">
      <c r="A353" s="4595">
        <v>352</v>
      </c>
      <c r="B353" s="4597" t="s">
        <v>3845</v>
      </c>
      <c r="C353" s="4595" t="s">
        <v>3844</v>
      </c>
      <c r="D353" s="4595">
        <v>-2015</v>
      </c>
      <c r="E353" s="4597" t="s">
        <v>3846</v>
      </c>
      <c r="F353" s="4596">
        <v>32.72</v>
      </c>
      <c r="G353" s="4596">
        <v>10.119999999999999</v>
      </c>
      <c r="H353" s="4133">
        <f t="shared" si="8"/>
        <v>0.30929095354523228</v>
      </c>
    </row>
    <row r="354" spans="1:8" ht="15">
      <c r="A354" s="4595">
        <v>353</v>
      </c>
      <c r="B354" s="4597" t="s">
        <v>3845</v>
      </c>
      <c r="C354" s="4595" t="s">
        <v>3844</v>
      </c>
      <c r="D354" s="4595">
        <v>-2016</v>
      </c>
      <c r="E354" s="4597" t="s">
        <v>3846</v>
      </c>
      <c r="F354" s="4596">
        <v>32.72</v>
      </c>
      <c r="G354" s="4596">
        <v>10.119999999999999</v>
      </c>
      <c r="H354" s="4133">
        <f t="shared" si="8"/>
        <v>0.30929095354523228</v>
      </c>
    </row>
    <row r="355" spans="1:8" ht="15">
      <c r="A355" s="4595">
        <v>354</v>
      </c>
      <c r="B355" s="4597" t="s">
        <v>3845</v>
      </c>
      <c r="C355" s="4595" t="s">
        <v>3844</v>
      </c>
      <c r="D355" s="4595">
        <v>-2017</v>
      </c>
      <c r="E355" s="4597" t="s">
        <v>3846</v>
      </c>
      <c r="F355" s="4596">
        <v>32.72</v>
      </c>
      <c r="G355" s="4596">
        <v>10.119999999999999</v>
      </c>
      <c r="H355" s="4133">
        <f t="shared" si="8"/>
        <v>0.30929095354523228</v>
      </c>
    </row>
    <row r="356" spans="1:8" ht="15">
      <c r="A356" s="4595">
        <v>355</v>
      </c>
      <c r="B356" s="4597" t="s">
        <v>3845</v>
      </c>
      <c r="C356" s="4595" t="s">
        <v>3844</v>
      </c>
      <c r="D356" s="4595">
        <v>-2018</v>
      </c>
      <c r="E356" s="4597" t="s">
        <v>3846</v>
      </c>
      <c r="F356" s="4596">
        <v>32.72</v>
      </c>
      <c r="G356" s="4596">
        <v>10.119999999999999</v>
      </c>
      <c r="H356" s="4133">
        <f t="shared" si="8"/>
        <v>0.30929095354523228</v>
      </c>
    </row>
    <row r="357" spans="1:8" ht="15">
      <c r="A357" s="4595">
        <v>356</v>
      </c>
      <c r="B357" s="4597" t="s">
        <v>3845</v>
      </c>
      <c r="C357" s="4595" t="s">
        <v>3844</v>
      </c>
      <c r="D357" s="4595">
        <v>-2019</v>
      </c>
      <c r="E357" s="4597" t="s">
        <v>3846</v>
      </c>
      <c r="F357" s="4596">
        <v>32.72</v>
      </c>
      <c r="G357" s="4596">
        <v>10.119999999999999</v>
      </c>
      <c r="H357" s="4133">
        <f t="shared" si="8"/>
        <v>0.30929095354523228</v>
      </c>
    </row>
    <row r="358" spans="1:8" ht="15">
      <c r="A358" s="4595">
        <v>357</v>
      </c>
      <c r="B358" s="4597" t="s">
        <v>3845</v>
      </c>
      <c r="C358" s="4595" t="s">
        <v>3844</v>
      </c>
      <c r="D358" s="4595">
        <v>-2022</v>
      </c>
      <c r="E358" s="4597" t="s">
        <v>3846</v>
      </c>
      <c r="F358" s="4596">
        <v>32.72</v>
      </c>
      <c r="G358" s="4596">
        <v>10.119999999999999</v>
      </c>
      <c r="H358" s="4133">
        <f t="shared" si="8"/>
        <v>0.30929095354523228</v>
      </c>
    </row>
    <row r="359" spans="1:8" ht="15">
      <c r="A359" s="4595">
        <v>358</v>
      </c>
      <c r="B359" s="4597" t="s">
        <v>3845</v>
      </c>
      <c r="C359" s="4595" t="s">
        <v>3844</v>
      </c>
      <c r="D359" s="4595">
        <v>-2023</v>
      </c>
      <c r="E359" s="4597" t="s">
        <v>3846</v>
      </c>
      <c r="F359" s="4596">
        <v>32.72</v>
      </c>
      <c r="G359" s="4596">
        <v>10.119999999999999</v>
      </c>
      <c r="H359" s="4133">
        <f t="shared" si="8"/>
        <v>0.30929095354523228</v>
      </c>
    </row>
    <row r="360" spans="1:8" ht="15">
      <c r="A360" s="4595">
        <v>359</v>
      </c>
      <c r="B360" s="4597" t="s">
        <v>3845</v>
      </c>
      <c r="C360" s="4595" t="s">
        <v>3844</v>
      </c>
      <c r="D360" s="4595">
        <v>-2024</v>
      </c>
      <c r="E360" s="4597" t="s">
        <v>3846</v>
      </c>
      <c r="F360" s="4596">
        <v>32.72</v>
      </c>
      <c r="G360" s="4596">
        <v>10.119999999999999</v>
      </c>
      <c r="H360" s="4133">
        <f t="shared" si="8"/>
        <v>0.30929095354523228</v>
      </c>
    </row>
    <row r="361" spans="1:8" ht="15">
      <c r="A361" s="4595">
        <v>360</v>
      </c>
      <c r="B361" s="4597" t="s">
        <v>3845</v>
      </c>
      <c r="C361" s="4595" t="s">
        <v>3844</v>
      </c>
      <c r="D361" s="4595">
        <v>-2025</v>
      </c>
      <c r="E361" s="4597" t="s">
        <v>3846</v>
      </c>
      <c r="F361" s="4596">
        <v>32.72</v>
      </c>
      <c r="G361" s="4596">
        <v>10.119999999999999</v>
      </c>
      <c r="H361" s="4133">
        <f t="shared" si="8"/>
        <v>0.30929095354523228</v>
      </c>
    </row>
    <row r="362" spans="1:8" ht="15">
      <c r="A362" s="4595">
        <v>361</v>
      </c>
      <c r="B362" s="4597" t="s">
        <v>3845</v>
      </c>
      <c r="C362" s="4595" t="s">
        <v>3844</v>
      </c>
      <c r="D362" s="4595">
        <v>-2026</v>
      </c>
      <c r="E362" s="4597" t="s">
        <v>3846</v>
      </c>
      <c r="F362" s="4596">
        <v>32.72</v>
      </c>
      <c r="G362" s="4596">
        <v>10.119999999999999</v>
      </c>
      <c r="H362" s="4133">
        <f t="shared" si="8"/>
        <v>0.30929095354523228</v>
      </c>
    </row>
    <row r="363" spans="1:8" ht="15">
      <c r="A363" s="4595">
        <v>362</v>
      </c>
      <c r="B363" s="4597" t="s">
        <v>3845</v>
      </c>
      <c r="C363" s="4595" t="s">
        <v>3844</v>
      </c>
      <c r="D363" s="4595">
        <v>-2027</v>
      </c>
      <c r="E363" s="4597" t="s">
        <v>3846</v>
      </c>
      <c r="F363" s="4596">
        <v>32.72</v>
      </c>
      <c r="G363" s="4596">
        <v>10.119999999999999</v>
      </c>
      <c r="H363" s="4133">
        <f t="shared" si="8"/>
        <v>0.30929095354523228</v>
      </c>
    </row>
    <row r="364" spans="1:8" ht="15">
      <c r="A364" s="4595">
        <v>363</v>
      </c>
      <c r="B364" s="4597" t="s">
        <v>3845</v>
      </c>
      <c r="C364" s="4595" t="s">
        <v>3844</v>
      </c>
      <c r="D364" s="4595">
        <v>-2028</v>
      </c>
      <c r="E364" s="4597" t="s">
        <v>3846</v>
      </c>
      <c r="F364" s="4596">
        <v>32.72</v>
      </c>
      <c r="G364" s="4596">
        <v>10.119999999999999</v>
      </c>
      <c r="H364" s="4133">
        <f t="shared" si="8"/>
        <v>0.30929095354523228</v>
      </c>
    </row>
    <row r="365" spans="1:8" ht="15">
      <c r="A365" s="4595">
        <v>364</v>
      </c>
      <c r="B365" s="4597" t="s">
        <v>3845</v>
      </c>
      <c r="C365" s="4595" t="s">
        <v>3844</v>
      </c>
      <c r="D365" s="4595">
        <v>-2029</v>
      </c>
      <c r="E365" s="4597" t="s">
        <v>3846</v>
      </c>
      <c r="F365" s="4596">
        <v>32.72</v>
      </c>
      <c r="G365" s="4596">
        <v>10.119999999999999</v>
      </c>
      <c r="H365" s="4133">
        <f t="shared" si="8"/>
        <v>0.30929095354523228</v>
      </c>
    </row>
    <row r="366" spans="1:8" ht="15">
      <c r="A366" s="4595">
        <v>365</v>
      </c>
      <c r="B366" s="4597" t="s">
        <v>3845</v>
      </c>
      <c r="C366" s="4595" t="s">
        <v>3844</v>
      </c>
      <c r="D366" s="4595">
        <v>-2030</v>
      </c>
      <c r="E366" s="4597" t="s">
        <v>3846</v>
      </c>
      <c r="F366" s="4596">
        <v>32.72</v>
      </c>
      <c r="G366" s="4596">
        <v>10.119999999999999</v>
      </c>
      <c r="H366" s="4133">
        <f t="shared" si="8"/>
        <v>0.30929095354523228</v>
      </c>
    </row>
    <row r="367" spans="1:8" ht="15">
      <c r="A367" s="4595">
        <v>366</v>
      </c>
      <c r="B367" s="4597" t="s">
        <v>3845</v>
      </c>
      <c r="C367" s="4595" t="s">
        <v>3844</v>
      </c>
      <c r="D367" s="4595">
        <v>-2031</v>
      </c>
      <c r="E367" s="4597" t="s">
        <v>3846</v>
      </c>
      <c r="F367" s="4596">
        <v>32.72</v>
      </c>
      <c r="G367" s="4596">
        <v>10.119999999999999</v>
      </c>
      <c r="H367" s="4133">
        <f t="shared" si="8"/>
        <v>0.30929095354523228</v>
      </c>
    </row>
    <row r="368" spans="1:8" ht="15">
      <c r="A368" s="4595">
        <v>367</v>
      </c>
      <c r="B368" s="4597" t="s">
        <v>3845</v>
      </c>
      <c r="C368" s="4595" t="s">
        <v>3844</v>
      </c>
      <c r="D368" s="4595">
        <v>-2033</v>
      </c>
      <c r="E368" s="4597" t="s">
        <v>3846</v>
      </c>
      <c r="F368" s="4596">
        <v>32.72</v>
      </c>
      <c r="G368" s="4596">
        <v>10.119999999999999</v>
      </c>
      <c r="H368" s="4133">
        <f t="shared" si="8"/>
        <v>0.30929095354523228</v>
      </c>
    </row>
    <row r="369" spans="1:8" ht="15">
      <c r="A369" s="4595">
        <v>368</v>
      </c>
      <c r="B369" s="4597" t="s">
        <v>3845</v>
      </c>
      <c r="C369" s="4595" t="s">
        <v>3844</v>
      </c>
      <c r="D369" s="4595">
        <v>-2034</v>
      </c>
      <c r="E369" s="4597" t="s">
        <v>3846</v>
      </c>
      <c r="F369" s="4596">
        <v>32.72</v>
      </c>
      <c r="G369" s="4596">
        <v>10.119999999999999</v>
      </c>
      <c r="H369" s="4133">
        <f t="shared" si="8"/>
        <v>0.30929095354523228</v>
      </c>
    </row>
    <row r="370" spans="1:8" ht="15">
      <c r="A370" s="4595">
        <v>369</v>
      </c>
      <c r="B370" s="4597" t="s">
        <v>3845</v>
      </c>
      <c r="C370" s="4595" t="s">
        <v>3844</v>
      </c>
      <c r="D370" s="4595">
        <v>-2035</v>
      </c>
      <c r="E370" s="4597" t="s">
        <v>3846</v>
      </c>
      <c r="F370" s="4596">
        <v>32.72</v>
      </c>
      <c r="G370" s="4596">
        <v>10.119999999999999</v>
      </c>
      <c r="H370" s="4133">
        <f t="shared" si="8"/>
        <v>0.30929095354523228</v>
      </c>
    </row>
    <row r="371" spans="1:8" ht="15">
      <c r="A371" s="4595">
        <v>370</v>
      </c>
      <c r="B371" s="4597" t="s">
        <v>3845</v>
      </c>
      <c r="C371" s="4595" t="s">
        <v>3844</v>
      </c>
      <c r="D371" s="4595">
        <v>-2036</v>
      </c>
      <c r="E371" s="4597" t="s">
        <v>3846</v>
      </c>
      <c r="F371" s="4596">
        <v>32.72</v>
      </c>
      <c r="G371" s="4596">
        <v>10.119999999999999</v>
      </c>
      <c r="H371" s="4133">
        <f t="shared" si="8"/>
        <v>0.30929095354523228</v>
      </c>
    </row>
    <row r="372" spans="1:8" ht="15">
      <c r="A372" s="4595">
        <v>371</v>
      </c>
      <c r="B372" s="4597" t="s">
        <v>3845</v>
      </c>
      <c r="C372" s="4595" t="s">
        <v>3844</v>
      </c>
      <c r="D372" s="4595">
        <v>-2037</v>
      </c>
      <c r="E372" s="4597" t="s">
        <v>3846</v>
      </c>
      <c r="F372" s="4596">
        <v>32.72</v>
      </c>
      <c r="G372" s="4596">
        <v>10.119999999999999</v>
      </c>
      <c r="H372" s="4133">
        <f t="shared" si="8"/>
        <v>0.30929095354523228</v>
      </c>
    </row>
    <row r="373" spans="1:8" ht="15">
      <c r="A373" s="4595">
        <v>372</v>
      </c>
      <c r="B373" s="4597" t="s">
        <v>3845</v>
      </c>
      <c r="C373" s="4595" t="s">
        <v>3844</v>
      </c>
      <c r="D373" s="4595">
        <v>-2038</v>
      </c>
      <c r="E373" s="4597" t="s">
        <v>3846</v>
      </c>
      <c r="F373" s="4596">
        <v>32.72</v>
      </c>
      <c r="G373" s="4596">
        <v>10.119999999999999</v>
      </c>
      <c r="H373" s="4133">
        <f t="shared" si="8"/>
        <v>0.30929095354523228</v>
      </c>
    </row>
    <row r="374" spans="1:8" ht="15">
      <c r="A374" s="4595">
        <v>373</v>
      </c>
      <c r="B374" s="4597" t="s">
        <v>3845</v>
      </c>
      <c r="C374" s="4595" t="s">
        <v>3844</v>
      </c>
      <c r="D374" s="4595">
        <v>-2039</v>
      </c>
      <c r="E374" s="4597" t="s">
        <v>3846</v>
      </c>
      <c r="F374" s="4596">
        <v>32.72</v>
      </c>
      <c r="G374" s="4596">
        <v>10.119999999999999</v>
      </c>
      <c r="H374" s="4133">
        <f t="shared" si="8"/>
        <v>0.30929095354523228</v>
      </c>
    </row>
    <row r="375" spans="1:8" ht="15">
      <c r="A375" s="4595">
        <v>374</v>
      </c>
      <c r="B375" s="4597" t="s">
        <v>3845</v>
      </c>
      <c r="C375" s="4595" t="s">
        <v>3844</v>
      </c>
      <c r="D375" s="4595">
        <v>-2040</v>
      </c>
      <c r="E375" s="4597" t="s">
        <v>3846</v>
      </c>
      <c r="F375" s="4596">
        <v>32.72</v>
      </c>
      <c r="G375" s="4596">
        <v>10.119999999999999</v>
      </c>
      <c r="H375" s="4133">
        <f t="shared" si="8"/>
        <v>0.30929095354523228</v>
      </c>
    </row>
    <row r="376" spans="1:8" ht="15">
      <c r="A376" s="4595">
        <v>375</v>
      </c>
      <c r="B376" s="4597" t="s">
        <v>3845</v>
      </c>
      <c r="C376" s="4595" t="s">
        <v>3844</v>
      </c>
      <c r="D376" s="4595">
        <v>-2041</v>
      </c>
      <c r="E376" s="4597" t="s">
        <v>3846</v>
      </c>
      <c r="F376" s="4596">
        <v>32.72</v>
      </c>
      <c r="G376" s="4596">
        <v>10.119999999999999</v>
      </c>
      <c r="H376" s="4133">
        <f t="shared" si="8"/>
        <v>0.30929095354523228</v>
      </c>
    </row>
    <row r="377" spans="1:8" ht="15">
      <c r="A377" s="4595">
        <v>376</v>
      </c>
      <c r="B377" s="4597" t="s">
        <v>3845</v>
      </c>
      <c r="C377" s="4595" t="s">
        <v>3844</v>
      </c>
      <c r="D377" s="4595">
        <v>-2042</v>
      </c>
      <c r="E377" s="4597" t="s">
        <v>3846</v>
      </c>
      <c r="F377" s="4596">
        <v>32.72</v>
      </c>
      <c r="G377" s="4596">
        <v>10.119999999999999</v>
      </c>
      <c r="H377" s="4133">
        <f t="shared" si="8"/>
        <v>0.30929095354523228</v>
      </c>
    </row>
    <row r="378" spans="1:8" ht="15">
      <c r="A378" s="4595">
        <v>377</v>
      </c>
      <c r="B378" s="4597" t="s">
        <v>3845</v>
      </c>
      <c r="C378" s="4595" t="s">
        <v>3844</v>
      </c>
      <c r="D378" s="4595">
        <v>-2044</v>
      </c>
      <c r="E378" s="4597" t="s">
        <v>3846</v>
      </c>
      <c r="F378" s="4596">
        <v>32.72</v>
      </c>
      <c r="G378" s="4596">
        <v>10.119999999999999</v>
      </c>
      <c r="H378" s="4133">
        <f t="shared" si="8"/>
        <v>0.30929095354523228</v>
      </c>
    </row>
    <row r="379" spans="1:8" ht="15">
      <c r="A379" s="4595">
        <v>378</v>
      </c>
      <c r="B379" s="4597" t="s">
        <v>3845</v>
      </c>
      <c r="C379" s="4595" t="s">
        <v>3844</v>
      </c>
      <c r="D379" s="4595">
        <v>-2045</v>
      </c>
      <c r="E379" s="4597" t="s">
        <v>3846</v>
      </c>
      <c r="F379" s="4596">
        <v>32.72</v>
      </c>
      <c r="G379" s="4596">
        <v>10.119999999999999</v>
      </c>
      <c r="H379" s="4133">
        <f t="shared" si="8"/>
        <v>0.30929095354523228</v>
      </c>
    </row>
    <row r="380" spans="1:8" ht="15">
      <c r="A380" s="4595">
        <v>379</v>
      </c>
      <c r="B380" s="4597" t="s">
        <v>3845</v>
      </c>
      <c r="C380" s="4595" t="s">
        <v>3844</v>
      </c>
      <c r="D380" s="4595">
        <v>-2046</v>
      </c>
      <c r="E380" s="4597" t="s">
        <v>3846</v>
      </c>
      <c r="F380" s="4596">
        <v>32.72</v>
      </c>
      <c r="G380" s="4596">
        <v>10.119999999999999</v>
      </c>
      <c r="H380" s="4133">
        <f t="shared" si="8"/>
        <v>0.30929095354523228</v>
      </c>
    </row>
    <row r="381" spans="1:8" ht="15">
      <c r="A381" s="4595">
        <v>380</v>
      </c>
      <c r="B381" s="4597" t="s">
        <v>3845</v>
      </c>
      <c r="C381" s="4595" t="s">
        <v>3844</v>
      </c>
      <c r="D381" s="4595">
        <v>-2047</v>
      </c>
      <c r="E381" s="4597" t="s">
        <v>3846</v>
      </c>
      <c r="F381" s="4596">
        <v>32.72</v>
      </c>
      <c r="G381" s="4596">
        <v>10.119999999999999</v>
      </c>
      <c r="H381" s="4133">
        <f t="shared" si="8"/>
        <v>0.30929095354523228</v>
      </c>
    </row>
    <row r="382" spans="1:8" ht="15">
      <c r="A382" s="4595">
        <v>381</v>
      </c>
      <c r="B382" s="4597" t="s">
        <v>3845</v>
      </c>
      <c r="C382" s="4595" t="s">
        <v>3844</v>
      </c>
      <c r="D382" s="4595">
        <v>-2048</v>
      </c>
      <c r="E382" s="4597" t="s">
        <v>3846</v>
      </c>
      <c r="F382" s="4596">
        <v>32.72</v>
      </c>
      <c r="G382" s="4596">
        <v>10.119999999999999</v>
      </c>
      <c r="H382" s="4133">
        <f t="shared" si="8"/>
        <v>0.30929095354523228</v>
      </c>
    </row>
    <row r="383" spans="1:8" ht="15">
      <c r="A383" s="4595">
        <v>382</v>
      </c>
      <c r="B383" s="4597" t="s">
        <v>3845</v>
      </c>
      <c r="C383" s="4595" t="s">
        <v>3844</v>
      </c>
      <c r="D383" s="4595">
        <v>-2049</v>
      </c>
      <c r="E383" s="4597" t="s">
        <v>3846</v>
      </c>
      <c r="F383" s="4596">
        <v>32.72</v>
      </c>
      <c r="G383" s="4596">
        <v>10.119999999999999</v>
      </c>
      <c r="H383" s="4133">
        <f t="shared" si="8"/>
        <v>0.30929095354523228</v>
      </c>
    </row>
    <row r="384" spans="1:8" ht="15">
      <c r="A384" s="4595">
        <v>383</v>
      </c>
      <c r="B384" s="4597" t="s">
        <v>3845</v>
      </c>
      <c r="C384" s="4595" t="s">
        <v>3844</v>
      </c>
      <c r="D384" s="4595">
        <v>-2050</v>
      </c>
      <c r="E384" s="4597" t="s">
        <v>3846</v>
      </c>
      <c r="F384" s="4596">
        <v>32.72</v>
      </c>
      <c r="G384" s="4596">
        <v>10.119999999999999</v>
      </c>
      <c r="H384" s="4133">
        <f t="shared" si="8"/>
        <v>0.30929095354523228</v>
      </c>
    </row>
    <row r="385" spans="1:8" ht="15">
      <c r="A385" s="4595">
        <v>384</v>
      </c>
      <c r="B385" s="4597" t="s">
        <v>3845</v>
      </c>
      <c r="C385" s="4595" t="s">
        <v>3844</v>
      </c>
      <c r="D385" s="4595">
        <v>-2052</v>
      </c>
      <c r="E385" s="4597" t="s">
        <v>3846</v>
      </c>
      <c r="F385" s="4596">
        <v>32.72</v>
      </c>
      <c r="G385" s="4596">
        <v>10.119999999999999</v>
      </c>
      <c r="H385" s="4133">
        <f t="shared" si="8"/>
        <v>0.30929095354523228</v>
      </c>
    </row>
    <row r="386" spans="1:8" ht="15">
      <c r="A386" s="4595">
        <v>385</v>
      </c>
      <c r="B386" s="4597" t="s">
        <v>3845</v>
      </c>
      <c r="C386" s="4595" t="s">
        <v>3844</v>
      </c>
      <c r="D386" s="4595">
        <v>-2053</v>
      </c>
      <c r="E386" s="4597" t="s">
        <v>3846</v>
      </c>
      <c r="F386" s="4596">
        <v>32.72</v>
      </c>
      <c r="G386" s="4596">
        <v>10.119999999999999</v>
      </c>
      <c r="H386" s="4133">
        <f t="shared" ref="H386:H449" si="9">G386/F386</f>
        <v>0.30929095354523228</v>
      </c>
    </row>
    <row r="387" spans="1:8" ht="15">
      <c r="A387" s="4595">
        <v>386</v>
      </c>
      <c r="B387" s="4597" t="s">
        <v>3845</v>
      </c>
      <c r="C387" s="4595" t="s">
        <v>3844</v>
      </c>
      <c r="D387" s="4595">
        <v>-2054</v>
      </c>
      <c r="E387" s="4597" t="s">
        <v>3846</v>
      </c>
      <c r="F387" s="4596">
        <v>32.72</v>
      </c>
      <c r="G387" s="4596">
        <v>10.119999999999999</v>
      </c>
      <c r="H387" s="4133">
        <f t="shared" si="9"/>
        <v>0.30929095354523228</v>
      </c>
    </row>
    <row r="388" spans="1:8" ht="15">
      <c r="A388" s="4595">
        <v>387</v>
      </c>
      <c r="B388" s="4597" t="s">
        <v>3845</v>
      </c>
      <c r="C388" s="4595" t="s">
        <v>3844</v>
      </c>
      <c r="D388" s="4595">
        <v>-2055</v>
      </c>
      <c r="E388" s="4597" t="s">
        <v>3846</v>
      </c>
      <c r="F388" s="4596">
        <v>32.72</v>
      </c>
      <c r="G388" s="4596">
        <v>10.119999999999999</v>
      </c>
      <c r="H388" s="4133">
        <f t="shared" si="9"/>
        <v>0.30929095354523228</v>
      </c>
    </row>
    <row r="389" spans="1:8" ht="15">
      <c r="A389" s="4595">
        <v>388</v>
      </c>
      <c r="B389" s="4597" t="s">
        <v>3845</v>
      </c>
      <c r="C389" s="4595" t="s">
        <v>3844</v>
      </c>
      <c r="D389" s="4595">
        <v>-2056</v>
      </c>
      <c r="E389" s="4597" t="s">
        <v>3846</v>
      </c>
      <c r="F389" s="4596">
        <v>32.72</v>
      </c>
      <c r="G389" s="4596">
        <v>10.119999999999999</v>
      </c>
      <c r="H389" s="4133">
        <f t="shared" si="9"/>
        <v>0.30929095354523228</v>
      </c>
    </row>
    <row r="390" spans="1:8" ht="15">
      <c r="A390" s="4595">
        <v>389</v>
      </c>
      <c r="B390" s="4597" t="s">
        <v>3845</v>
      </c>
      <c r="C390" s="4595" t="s">
        <v>3844</v>
      </c>
      <c r="D390" s="4595">
        <v>-2057</v>
      </c>
      <c r="E390" s="4597" t="s">
        <v>3846</v>
      </c>
      <c r="F390" s="4596">
        <v>32.72</v>
      </c>
      <c r="G390" s="4596">
        <v>10.119999999999999</v>
      </c>
      <c r="H390" s="4133">
        <f t="shared" si="9"/>
        <v>0.30929095354523228</v>
      </c>
    </row>
    <row r="391" spans="1:8" ht="15">
      <c r="A391" s="4595">
        <v>390</v>
      </c>
      <c r="B391" s="4597" t="s">
        <v>3845</v>
      </c>
      <c r="C391" s="4595" t="s">
        <v>3844</v>
      </c>
      <c r="D391" s="4595">
        <v>-2058</v>
      </c>
      <c r="E391" s="4597" t="s">
        <v>3846</v>
      </c>
      <c r="F391" s="4596">
        <v>32.72</v>
      </c>
      <c r="G391" s="4596">
        <v>10.119999999999999</v>
      </c>
      <c r="H391" s="4133">
        <f t="shared" si="9"/>
        <v>0.30929095354523228</v>
      </c>
    </row>
    <row r="392" spans="1:8" ht="15">
      <c r="A392" s="4595">
        <v>391</v>
      </c>
      <c r="B392" s="4597" t="s">
        <v>3845</v>
      </c>
      <c r="C392" s="4595" t="s">
        <v>3844</v>
      </c>
      <c r="D392" s="4595">
        <v>-2059</v>
      </c>
      <c r="E392" s="4597" t="s">
        <v>3846</v>
      </c>
      <c r="F392" s="4596">
        <v>32.72</v>
      </c>
      <c r="G392" s="4596">
        <v>10.119999999999999</v>
      </c>
      <c r="H392" s="4133">
        <f t="shared" si="9"/>
        <v>0.30929095354523228</v>
      </c>
    </row>
    <row r="393" spans="1:8" ht="15">
      <c r="A393" s="4595">
        <v>392</v>
      </c>
      <c r="B393" s="4597" t="s">
        <v>3845</v>
      </c>
      <c r="C393" s="4595" t="s">
        <v>3844</v>
      </c>
      <c r="D393" s="4595">
        <v>-2060</v>
      </c>
      <c r="E393" s="4597" t="s">
        <v>3846</v>
      </c>
      <c r="F393" s="4596">
        <v>32.72</v>
      </c>
      <c r="G393" s="4596">
        <v>10.119999999999999</v>
      </c>
      <c r="H393" s="4133">
        <f t="shared" si="9"/>
        <v>0.30929095354523228</v>
      </c>
    </row>
    <row r="394" spans="1:8" ht="15">
      <c r="A394" s="4595">
        <v>393</v>
      </c>
      <c r="B394" s="4597" t="s">
        <v>3845</v>
      </c>
      <c r="C394" s="4595" t="s">
        <v>3844</v>
      </c>
      <c r="D394" s="4595">
        <v>-2061</v>
      </c>
      <c r="E394" s="4597" t="s">
        <v>3846</v>
      </c>
      <c r="F394" s="4596">
        <v>32.72</v>
      </c>
      <c r="G394" s="4596">
        <v>10.119999999999999</v>
      </c>
      <c r="H394" s="4133">
        <f t="shared" si="9"/>
        <v>0.30929095354523228</v>
      </c>
    </row>
    <row r="395" spans="1:8" ht="15">
      <c r="A395" s="4595">
        <v>394</v>
      </c>
      <c r="B395" s="4597" t="s">
        <v>3845</v>
      </c>
      <c r="C395" s="4595" t="s">
        <v>3844</v>
      </c>
      <c r="D395" s="4595">
        <v>-2062</v>
      </c>
      <c r="E395" s="4597" t="s">
        <v>3846</v>
      </c>
      <c r="F395" s="4596">
        <v>32.72</v>
      </c>
      <c r="G395" s="4596">
        <v>10.119999999999999</v>
      </c>
      <c r="H395" s="4133">
        <f t="shared" si="9"/>
        <v>0.30929095354523228</v>
      </c>
    </row>
    <row r="396" spans="1:8" ht="15">
      <c r="A396" s="4595">
        <v>395</v>
      </c>
      <c r="B396" s="4597" t="s">
        <v>3845</v>
      </c>
      <c r="C396" s="4595" t="s">
        <v>3844</v>
      </c>
      <c r="D396" s="4595">
        <v>-2063</v>
      </c>
      <c r="E396" s="4597" t="s">
        <v>3846</v>
      </c>
      <c r="F396" s="4596">
        <v>32.72</v>
      </c>
      <c r="G396" s="4596">
        <v>10.119999999999999</v>
      </c>
      <c r="H396" s="4133">
        <f t="shared" si="9"/>
        <v>0.30929095354523228</v>
      </c>
    </row>
    <row r="397" spans="1:8" ht="15">
      <c r="A397" s="4595">
        <v>396</v>
      </c>
      <c r="B397" s="4597" t="s">
        <v>3845</v>
      </c>
      <c r="C397" s="4595" t="s">
        <v>3844</v>
      </c>
      <c r="D397" s="4595">
        <v>-2064</v>
      </c>
      <c r="E397" s="4597" t="s">
        <v>3846</v>
      </c>
      <c r="F397" s="4596">
        <v>32.72</v>
      </c>
      <c r="G397" s="4596">
        <v>10.119999999999999</v>
      </c>
      <c r="H397" s="4133">
        <f t="shared" si="9"/>
        <v>0.30929095354523228</v>
      </c>
    </row>
    <row r="398" spans="1:8" ht="15">
      <c r="A398" s="4595">
        <v>397</v>
      </c>
      <c r="B398" s="4597" t="s">
        <v>3845</v>
      </c>
      <c r="C398" s="4595" t="s">
        <v>3844</v>
      </c>
      <c r="D398" s="4595">
        <v>-2065</v>
      </c>
      <c r="E398" s="4597" t="s">
        <v>3846</v>
      </c>
      <c r="F398" s="4596">
        <v>32.72</v>
      </c>
      <c r="G398" s="4596">
        <v>10.119999999999999</v>
      </c>
      <c r="H398" s="4133">
        <f t="shared" si="9"/>
        <v>0.30929095354523228</v>
      </c>
    </row>
    <row r="399" spans="1:8" ht="15">
      <c r="A399" s="4595">
        <v>398</v>
      </c>
      <c r="B399" s="4597" t="s">
        <v>3845</v>
      </c>
      <c r="C399" s="4595" t="s">
        <v>3844</v>
      </c>
      <c r="D399" s="4595">
        <v>-2066</v>
      </c>
      <c r="E399" s="4597" t="s">
        <v>3846</v>
      </c>
      <c r="F399" s="4596">
        <v>32.72</v>
      </c>
      <c r="G399" s="4596">
        <v>10.119999999999999</v>
      </c>
      <c r="H399" s="4133">
        <f t="shared" si="9"/>
        <v>0.30929095354523228</v>
      </c>
    </row>
    <row r="400" spans="1:8" ht="15">
      <c r="A400" s="4595">
        <v>399</v>
      </c>
      <c r="B400" s="4597" t="s">
        <v>3845</v>
      </c>
      <c r="C400" s="4595" t="s">
        <v>3844</v>
      </c>
      <c r="D400" s="4595">
        <v>-2069</v>
      </c>
      <c r="E400" s="4597" t="s">
        <v>3846</v>
      </c>
      <c r="F400" s="4596">
        <v>32.72</v>
      </c>
      <c r="G400" s="4596">
        <v>10.119999999999999</v>
      </c>
      <c r="H400" s="4133">
        <f t="shared" si="9"/>
        <v>0.30929095354523228</v>
      </c>
    </row>
    <row r="401" spans="1:8" ht="15">
      <c r="A401" s="4595">
        <v>400</v>
      </c>
      <c r="B401" s="4597" t="s">
        <v>3845</v>
      </c>
      <c r="C401" s="4595" t="s">
        <v>3844</v>
      </c>
      <c r="D401" s="4595">
        <v>-2070</v>
      </c>
      <c r="E401" s="4597" t="s">
        <v>3846</v>
      </c>
      <c r="F401" s="4596">
        <v>32.72</v>
      </c>
      <c r="G401" s="4596">
        <v>10.119999999999999</v>
      </c>
      <c r="H401" s="4133">
        <f t="shared" si="9"/>
        <v>0.30929095354523228</v>
      </c>
    </row>
    <row r="402" spans="1:8" ht="15">
      <c r="A402" s="4595">
        <v>401</v>
      </c>
      <c r="B402" s="4597" t="s">
        <v>3845</v>
      </c>
      <c r="C402" s="4595" t="s">
        <v>3844</v>
      </c>
      <c r="D402" s="4595">
        <v>-2071</v>
      </c>
      <c r="E402" s="4597" t="s">
        <v>3846</v>
      </c>
      <c r="F402" s="4596">
        <v>32.72</v>
      </c>
      <c r="G402" s="4596">
        <v>10.119999999999999</v>
      </c>
      <c r="H402" s="4133">
        <f t="shared" si="9"/>
        <v>0.30929095354523228</v>
      </c>
    </row>
    <row r="403" spans="1:8" ht="15">
      <c r="A403" s="4595">
        <v>402</v>
      </c>
      <c r="B403" s="4597" t="s">
        <v>3845</v>
      </c>
      <c r="C403" s="4595" t="s">
        <v>3844</v>
      </c>
      <c r="D403" s="4595">
        <v>-2072</v>
      </c>
      <c r="E403" s="4597" t="s">
        <v>3846</v>
      </c>
      <c r="F403" s="4596">
        <v>47.11</v>
      </c>
      <c r="G403" s="4596">
        <v>14.57</v>
      </c>
      <c r="H403" s="4133">
        <f t="shared" si="9"/>
        <v>0.30927616217363618</v>
      </c>
    </row>
    <row r="404" spans="1:8" ht="15">
      <c r="A404" s="4595">
        <v>403</v>
      </c>
      <c r="B404" s="4597" t="s">
        <v>3845</v>
      </c>
      <c r="C404" s="4595" t="s">
        <v>3844</v>
      </c>
      <c r="D404" s="4595">
        <v>-2073</v>
      </c>
      <c r="E404" s="4597" t="s">
        <v>3846</v>
      </c>
      <c r="F404" s="4596">
        <v>32.72</v>
      </c>
      <c r="G404" s="4596">
        <v>10.119999999999999</v>
      </c>
      <c r="H404" s="4133">
        <f>G404/F404</f>
        <v>0.30929095354523228</v>
      </c>
    </row>
    <row r="405" spans="1:8" ht="15">
      <c r="A405" s="4595">
        <v>404</v>
      </c>
      <c r="B405" s="4597" t="s">
        <v>3845</v>
      </c>
      <c r="C405" s="4595" t="s">
        <v>3844</v>
      </c>
      <c r="D405" s="4595">
        <v>-2074</v>
      </c>
      <c r="E405" s="4597" t="s">
        <v>3846</v>
      </c>
      <c r="F405" s="4596">
        <v>32.72</v>
      </c>
      <c r="G405" s="4596">
        <v>10.119999999999999</v>
      </c>
      <c r="H405" s="4133">
        <f t="shared" si="9"/>
        <v>0.30929095354523228</v>
      </c>
    </row>
    <row r="406" spans="1:8" ht="15">
      <c r="A406" s="4595">
        <v>405</v>
      </c>
      <c r="B406" s="4597" t="s">
        <v>3845</v>
      </c>
      <c r="C406" s="4595" t="s">
        <v>3844</v>
      </c>
      <c r="D406" s="4595">
        <v>-2075</v>
      </c>
      <c r="E406" s="4597" t="s">
        <v>3846</v>
      </c>
      <c r="F406" s="4596">
        <v>32.72</v>
      </c>
      <c r="G406" s="4596">
        <v>10.119999999999999</v>
      </c>
      <c r="H406" s="4133">
        <f t="shared" si="9"/>
        <v>0.30929095354523228</v>
      </c>
    </row>
    <row r="407" spans="1:8" ht="15">
      <c r="A407" s="4595">
        <v>406</v>
      </c>
      <c r="B407" s="4597" t="s">
        <v>3845</v>
      </c>
      <c r="C407" s="4595" t="s">
        <v>3844</v>
      </c>
      <c r="D407" s="4595">
        <v>-2076</v>
      </c>
      <c r="E407" s="4597" t="s">
        <v>3846</v>
      </c>
      <c r="F407" s="4596">
        <v>32.72</v>
      </c>
      <c r="G407" s="4596">
        <v>10.119999999999999</v>
      </c>
      <c r="H407" s="4133">
        <f t="shared" si="9"/>
        <v>0.30929095354523228</v>
      </c>
    </row>
    <row r="408" spans="1:8" ht="15">
      <c r="A408" s="4595">
        <v>407</v>
      </c>
      <c r="B408" s="4597" t="s">
        <v>3845</v>
      </c>
      <c r="C408" s="4595" t="s">
        <v>3844</v>
      </c>
      <c r="D408" s="4595">
        <v>-2080</v>
      </c>
      <c r="E408" s="4597" t="s">
        <v>3846</v>
      </c>
      <c r="F408" s="4596">
        <v>32.72</v>
      </c>
      <c r="G408" s="4596">
        <v>10.119999999999999</v>
      </c>
      <c r="H408" s="4133">
        <f t="shared" si="9"/>
        <v>0.30929095354523228</v>
      </c>
    </row>
    <row r="409" spans="1:8" ht="15">
      <c r="A409" s="4595">
        <v>408</v>
      </c>
      <c r="B409" s="4597" t="s">
        <v>3845</v>
      </c>
      <c r="C409" s="4595" t="s">
        <v>3844</v>
      </c>
      <c r="D409" s="4595">
        <v>-2081</v>
      </c>
      <c r="E409" s="4597" t="s">
        <v>3846</v>
      </c>
      <c r="F409" s="4596">
        <v>32.72</v>
      </c>
      <c r="G409" s="4596">
        <v>10.119999999999999</v>
      </c>
      <c r="H409" s="4133">
        <f t="shared" si="9"/>
        <v>0.30929095354523228</v>
      </c>
    </row>
    <row r="410" spans="1:8" ht="15">
      <c r="A410" s="4595">
        <v>409</v>
      </c>
      <c r="B410" s="4597" t="s">
        <v>3845</v>
      </c>
      <c r="C410" s="4595" t="s">
        <v>3844</v>
      </c>
      <c r="D410" s="4595">
        <v>-2082</v>
      </c>
      <c r="E410" s="4597" t="s">
        <v>3846</v>
      </c>
      <c r="F410" s="4596">
        <v>32.72</v>
      </c>
      <c r="G410" s="4596">
        <v>10.119999999999999</v>
      </c>
      <c r="H410" s="4133">
        <f t="shared" si="9"/>
        <v>0.30929095354523228</v>
      </c>
    </row>
    <row r="411" spans="1:8" ht="15">
      <c r="A411" s="4595">
        <v>410</v>
      </c>
      <c r="B411" s="4597" t="s">
        <v>3845</v>
      </c>
      <c r="C411" s="4595" t="s">
        <v>3844</v>
      </c>
      <c r="D411" s="4595">
        <v>-2084</v>
      </c>
      <c r="E411" s="4597" t="s">
        <v>3846</v>
      </c>
      <c r="F411" s="4596">
        <v>32.72</v>
      </c>
      <c r="G411" s="4596">
        <v>10.119999999999999</v>
      </c>
      <c r="H411" s="4133">
        <f t="shared" si="9"/>
        <v>0.30929095354523228</v>
      </c>
    </row>
    <row r="412" spans="1:8" ht="15">
      <c r="A412" s="4595">
        <v>411</v>
      </c>
      <c r="B412" s="4597" t="s">
        <v>3845</v>
      </c>
      <c r="C412" s="4595" t="s">
        <v>3844</v>
      </c>
      <c r="D412" s="4595">
        <v>-2085</v>
      </c>
      <c r="E412" s="4597" t="s">
        <v>3846</v>
      </c>
      <c r="F412" s="4596">
        <v>32.72</v>
      </c>
      <c r="G412" s="4596">
        <v>10.119999999999999</v>
      </c>
      <c r="H412" s="4133">
        <f t="shared" si="9"/>
        <v>0.30929095354523228</v>
      </c>
    </row>
    <row r="413" spans="1:8" ht="15">
      <c r="A413" s="4595">
        <v>412</v>
      </c>
      <c r="B413" s="4597" t="s">
        <v>3845</v>
      </c>
      <c r="C413" s="4595" t="s">
        <v>3844</v>
      </c>
      <c r="D413" s="4595">
        <v>-2086</v>
      </c>
      <c r="E413" s="4597" t="s">
        <v>3846</v>
      </c>
      <c r="F413" s="4596">
        <v>32.72</v>
      </c>
      <c r="G413" s="4596">
        <v>10.119999999999999</v>
      </c>
      <c r="H413" s="4133">
        <f t="shared" si="9"/>
        <v>0.30929095354523228</v>
      </c>
    </row>
    <row r="414" spans="1:8" ht="15">
      <c r="A414" s="4595">
        <v>413</v>
      </c>
      <c r="B414" s="4597" t="s">
        <v>3845</v>
      </c>
      <c r="C414" s="4595" t="s">
        <v>3844</v>
      </c>
      <c r="D414" s="4595">
        <v>-2088</v>
      </c>
      <c r="E414" s="4597" t="s">
        <v>3846</v>
      </c>
      <c r="F414" s="4596">
        <v>32.72</v>
      </c>
      <c r="G414" s="4596">
        <v>10.119999999999999</v>
      </c>
      <c r="H414" s="4133">
        <f t="shared" si="9"/>
        <v>0.30929095354523228</v>
      </c>
    </row>
    <row r="415" spans="1:8" ht="15">
      <c r="A415" s="4595">
        <v>414</v>
      </c>
      <c r="B415" s="4597" t="s">
        <v>3845</v>
      </c>
      <c r="C415" s="4595" t="s">
        <v>3844</v>
      </c>
      <c r="D415" s="4595">
        <v>-2089</v>
      </c>
      <c r="E415" s="4597" t="s">
        <v>3846</v>
      </c>
      <c r="F415" s="4596">
        <v>32.72</v>
      </c>
      <c r="G415" s="4596">
        <v>10.119999999999999</v>
      </c>
      <c r="H415" s="4133">
        <f t="shared" si="9"/>
        <v>0.30929095354523228</v>
      </c>
    </row>
    <row r="416" spans="1:8" ht="15">
      <c r="A416" s="4595">
        <v>415</v>
      </c>
      <c r="B416" s="4597" t="s">
        <v>3845</v>
      </c>
      <c r="C416" s="4595" t="s">
        <v>3844</v>
      </c>
      <c r="D416" s="4595">
        <v>-2090</v>
      </c>
      <c r="E416" s="4597" t="s">
        <v>3846</v>
      </c>
      <c r="F416" s="4596">
        <v>32.72</v>
      </c>
      <c r="G416" s="4596">
        <v>10.119999999999999</v>
      </c>
      <c r="H416" s="4133">
        <f t="shared" si="9"/>
        <v>0.30929095354523228</v>
      </c>
    </row>
    <row r="417" spans="1:8" ht="15">
      <c r="A417" s="4595">
        <v>416</v>
      </c>
      <c r="B417" s="4597" t="s">
        <v>3845</v>
      </c>
      <c r="C417" s="4595" t="s">
        <v>3844</v>
      </c>
      <c r="D417" s="4595">
        <v>-2091</v>
      </c>
      <c r="E417" s="4597" t="s">
        <v>3846</v>
      </c>
      <c r="F417" s="4596">
        <v>32.72</v>
      </c>
      <c r="G417" s="4596">
        <v>10.119999999999999</v>
      </c>
      <c r="H417" s="4133">
        <f t="shared" si="9"/>
        <v>0.30929095354523228</v>
      </c>
    </row>
    <row r="418" spans="1:8" ht="15">
      <c r="A418" s="4595">
        <v>417</v>
      </c>
      <c r="B418" s="4597" t="s">
        <v>3845</v>
      </c>
      <c r="C418" s="4595" t="s">
        <v>3844</v>
      </c>
      <c r="D418" s="4595">
        <v>-2092</v>
      </c>
      <c r="E418" s="4597" t="s">
        <v>3846</v>
      </c>
      <c r="F418" s="4596">
        <v>32.72</v>
      </c>
      <c r="G418" s="4596">
        <v>10.119999999999999</v>
      </c>
      <c r="H418" s="4133">
        <f t="shared" si="9"/>
        <v>0.30929095354523228</v>
      </c>
    </row>
    <row r="419" spans="1:8" ht="15">
      <c r="A419" s="4595">
        <v>418</v>
      </c>
      <c r="B419" s="4597" t="s">
        <v>3845</v>
      </c>
      <c r="C419" s="4595" t="s">
        <v>3844</v>
      </c>
      <c r="D419" s="4595">
        <v>-2093</v>
      </c>
      <c r="E419" s="4597" t="s">
        <v>3846</v>
      </c>
      <c r="F419" s="4596">
        <v>32.72</v>
      </c>
      <c r="G419" s="4596">
        <v>10.119999999999999</v>
      </c>
      <c r="H419" s="4133">
        <f t="shared" si="9"/>
        <v>0.30929095354523228</v>
      </c>
    </row>
    <row r="420" spans="1:8" ht="15">
      <c r="A420" s="4595">
        <v>419</v>
      </c>
      <c r="B420" s="4597" t="s">
        <v>3845</v>
      </c>
      <c r="C420" s="4595" t="s">
        <v>3844</v>
      </c>
      <c r="D420" s="4595">
        <v>-2094</v>
      </c>
      <c r="E420" s="4597" t="s">
        <v>3846</v>
      </c>
      <c r="F420" s="4596">
        <v>32.72</v>
      </c>
      <c r="G420" s="4596">
        <v>10.119999999999999</v>
      </c>
      <c r="H420" s="4133">
        <f t="shared" si="9"/>
        <v>0.30929095354523228</v>
      </c>
    </row>
    <row r="421" spans="1:8" ht="15">
      <c r="A421" s="4595">
        <v>420</v>
      </c>
      <c r="B421" s="4597" t="s">
        <v>3845</v>
      </c>
      <c r="C421" s="4595" t="s">
        <v>3844</v>
      </c>
      <c r="D421" s="4595">
        <v>-2095</v>
      </c>
      <c r="E421" s="4597" t="s">
        <v>3846</v>
      </c>
      <c r="F421" s="4596">
        <v>32.72</v>
      </c>
      <c r="G421" s="4596">
        <v>10.119999999999999</v>
      </c>
      <c r="H421" s="4133">
        <f t="shared" si="9"/>
        <v>0.30929095354523228</v>
      </c>
    </row>
    <row r="422" spans="1:8" ht="15">
      <c r="A422" s="4595">
        <v>421</v>
      </c>
      <c r="B422" s="4597" t="s">
        <v>3845</v>
      </c>
      <c r="C422" s="4595" t="s">
        <v>3844</v>
      </c>
      <c r="D422" s="4595">
        <v>-2096</v>
      </c>
      <c r="E422" s="4597" t="s">
        <v>3846</v>
      </c>
      <c r="F422" s="4596">
        <v>32.72</v>
      </c>
      <c r="G422" s="4596">
        <v>10.119999999999999</v>
      </c>
      <c r="H422" s="4133">
        <f t="shared" si="9"/>
        <v>0.30929095354523228</v>
      </c>
    </row>
    <row r="423" spans="1:8" ht="15">
      <c r="A423" s="4595">
        <v>422</v>
      </c>
      <c r="B423" s="4597" t="s">
        <v>3845</v>
      </c>
      <c r="C423" s="4595" t="s">
        <v>3844</v>
      </c>
      <c r="D423" s="4595">
        <v>-2097</v>
      </c>
      <c r="E423" s="4597" t="s">
        <v>3846</v>
      </c>
      <c r="F423" s="4596">
        <v>32.72</v>
      </c>
      <c r="G423" s="4596">
        <v>10.119999999999999</v>
      </c>
      <c r="H423" s="4133">
        <f t="shared" si="9"/>
        <v>0.30929095354523228</v>
      </c>
    </row>
    <row r="424" spans="1:8" ht="15">
      <c r="A424" s="4595">
        <v>423</v>
      </c>
      <c r="B424" s="4597" t="s">
        <v>3845</v>
      </c>
      <c r="C424" s="4595" t="s">
        <v>3844</v>
      </c>
      <c r="D424" s="4595">
        <v>-2098</v>
      </c>
      <c r="E424" s="4597" t="s">
        <v>3846</v>
      </c>
      <c r="F424" s="4596">
        <v>32.72</v>
      </c>
      <c r="G424" s="4596">
        <v>10.119999999999999</v>
      </c>
      <c r="H424" s="4133">
        <f t="shared" si="9"/>
        <v>0.30929095354523228</v>
      </c>
    </row>
    <row r="425" spans="1:8" ht="15">
      <c r="A425" s="4595">
        <v>424</v>
      </c>
      <c r="B425" s="4597" t="s">
        <v>3845</v>
      </c>
      <c r="C425" s="4595" t="s">
        <v>3844</v>
      </c>
      <c r="D425" s="4595">
        <v>-2099</v>
      </c>
      <c r="E425" s="4597" t="s">
        <v>3846</v>
      </c>
      <c r="F425" s="4596">
        <v>32.72</v>
      </c>
      <c r="G425" s="4596">
        <v>10.119999999999999</v>
      </c>
      <c r="H425" s="4133">
        <f t="shared" si="9"/>
        <v>0.30929095354523228</v>
      </c>
    </row>
    <row r="426" spans="1:8" ht="15">
      <c r="A426" s="4595">
        <v>425</v>
      </c>
      <c r="B426" s="4597" t="s">
        <v>3845</v>
      </c>
      <c r="C426" s="4595" t="s">
        <v>3844</v>
      </c>
      <c r="D426" s="4595">
        <v>-2100</v>
      </c>
      <c r="E426" s="4597" t="s">
        <v>3846</v>
      </c>
      <c r="F426" s="4596">
        <v>32.72</v>
      </c>
      <c r="G426" s="4596">
        <v>10.119999999999999</v>
      </c>
      <c r="H426" s="4133">
        <f t="shared" si="9"/>
        <v>0.30929095354523228</v>
      </c>
    </row>
    <row r="427" spans="1:8" ht="15">
      <c r="A427" s="4595">
        <v>426</v>
      </c>
      <c r="B427" s="4597" t="s">
        <v>3845</v>
      </c>
      <c r="C427" s="4595" t="s">
        <v>3844</v>
      </c>
      <c r="D427" s="4595">
        <v>-2101</v>
      </c>
      <c r="E427" s="4597" t="s">
        <v>3846</v>
      </c>
      <c r="F427" s="4596">
        <v>32.72</v>
      </c>
      <c r="G427" s="4596">
        <v>10.119999999999999</v>
      </c>
      <c r="H427" s="4133">
        <f t="shared" si="9"/>
        <v>0.30929095354523228</v>
      </c>
    </row>
    <row r="428" spans="1:8" ht="15">
      <c r="A428" s="4595">
        <v>427</v>
      </c>
      <c r="B428" s="4597" t="s">
        <v>3845</v>
      </c>
      <c r="C428" s="4595" t="s">
        <v>3844</v>
      </c>
      <c r="D428" s="4595">
        <v>-2102</v>
      </c>
      <c r="E428" s="4597" t="s">
        <v>3846</v>
      </c>
      <c r="F428" s="4596">
        <v>32.72</v>
      </c>
      <c r="G428" s="4596">
        <v>10.119999999999999</v>
      </c>
      <c r="H428" s="4133">
        <f t="shared" si="9"/>
        <v>0.30929095354523228</v>
      </c>
    </row>
    <row r="429" spans="1:8" ht="15">
      <c r="A429" s="4595">
        <v>428</v>
      </c>
      <c r="B429" s="4597" t="s">
        <v>3845</v>
      </c>
      <c r="C429" s="4595" t="s">
        <v>3844</v>
      </c>
      <c r="D429" s="4595">
        <v>-2103</v>
      </c>
      <c r="E429" s="4597" t="s">
        <v>3846</v>
      </c>
      <c r="F429" s="4596">
        <v>32.72</v>
      </c>
      <c r="G429" s="4596">
        <v>10.119999999999999</v>
      </c>
      <c r="H429" s="4133">
        <f t="shared" si="9"/>
        <v>0.30929095354523228</v>
      </c>
    </row>
    <row r="430" spans="1:8" ht="15">
      <c r="A430" s="4595">
        <v>429</v>
      </c>
      <c r="B430" s="4597" t="s">
        <v>3845</v>
      </c>
      <c r="C430" s="4595" t="s">
        <v>3844</v>
      </c>
      <c r="D430" s="4595">
        <v>-2104</v>
      </c>
      <c r="E430" s="4597" t="s">
        <v>3846</v>
      </c>
      <c r="F430" s="4596">
        <v>32.72</v>
      </c>
      <c r="G430" s="4596">
        <v>10.119999999999999</v>
      </c>
      <c r="H430" s="4133">
        <f t="shared" si="9"/>
        <v>0.30929095354523228</v>
      </c>
    </row>
    <row r="431" spans="1:8" ht="15">
      <c r="A431" s="4595">
        <v>430</v>
      </c>
      <c r="B431" s="4597" t="s">
        <v>3845</v>
      </c>
      <c r="C431" s="4595" t="s">
        <v>3844</v>
      </c>
      <c r="D431" s="4595">
        <v>-2105</v>
      </c>
      <c r="E431" s="4597" t="s">
        <v>3846</v>
      </c>
      <c r="F431" s="4596">
        <v>32.72</v>
      </c>
      <c r="G431" s="4596">
        <v>10.119999999999999</v>
      </c>
      <c r="H431" s="4133">
        <f t="shared" si="9"/>
        <v>0.30929095354523228</v>
      </c>
    </row>
    <row r="432" spans="1:8" ht="15">
      <c r="A432" s="4595">
        <v>431</v>
      </c>
      <c r="B432" s="4597" t="s">
        <v>3845</v>
      </c>
      <c r="C432" s="4595" t="s">
        <v>3844</v>
      </c>
      <c r="D432" s="4595">
        <v>-2106</v>
      </c>
      <c r="E432" s="4597" t="s">
        <v>3846</v>
      </c>
      <c r="F432" s="4596">
        <v>32.72</v>
      </c>
      <c r="G432" s="4596">
        <v>10.119999999999999</v>
      </c>
      <c r="H432" s="4133">
        <f t="shared" si="9"/>
        <v>0.30929095354523228</v>
      </c>
    </row>
    <row r="433" spans="1:8" ht="15">
      <c r="A433" s="4595">
        <v>432</v>
      </c>
      <c r="B433" s="4597" t="s">
        <v>3845</v>
      </c>
      <c r="C433" s="4595" t="s">
        <v>3844</v>
      </c>
      <c r="D433" s="4595">
        <v>-2107</v>
      </c>
      <c r="E433" s="4597" t="s">
        <v>3846</v>
      </c>
      <c r="F433" s="4596">
        <v>32.72</v>
      </c>
      <c r="G433" s="4596">
        <v>10.119999999999999</v>
      </c>
      <c r="H433" s="4133">
        <f t="shared" si="9"/>
        <v>0.30929095354523228</v>
      </c>
    </row>
    <row r="434" spans="1:8" ht="15">
      <c r="A434" s="4595">
        <v>433</v>
      </c>
      <c r="B434" s="4597" t="s">
        <v>3845</v>
      </c>
      <c r="C434" s="4595" t="s">
        <v>3844</v>
      </c>
      <c r="D434" s="4595">
        <v>-2108</v>
      </c>
      <c r="E434" s="4597" t="s">
        <v>3846</v>
      </c>
      <c r="F434" s="4596">
        <v>32.72</v>
      </c>
      <c r="G434" s="4596">
        <v>10.119999999999999</v>
      </c>
      <c r="H434" s="4133">
        <f t="shared" si="9"/>
        <v>0.30929095354523228</v>
      </c>
    </row>
    <row r="435" spans="1:8" ht="15">
      <c r="A435" s="4595">
        <v>434</v>
      </c>
      <c r="B435" s="4597" t="s">
        <v>3845</v>
      </c>
      <c r="C435" s="4595" t="s">
        <v>3844</v>
      </c>
      <c r="D435" s="4595">
        <v>-2109</v>
      </c>
      <c r="E435" s="4597" t="s">
        <v>3846</v>
      </c>
      <c r="F435" s="4596">
        <v>32.72</v>
      </c>
      <c r="G435" s="4596">
        <v>10.119999999999999</v>
      </c>
      <c r="H435" s="4133">
        <f t="shared" si="9"/>
        <v>0.30929095354523228</v>
      </c>
    </row>
    <row r="436" spans="1:8" ht="15">
      <c r="A436" s="4595">
        <v>435</v>
      </c>
      <c r="B436" s="4597" t="s">
        <v>3845</v>
      </c>
      <c r="C436" s="4595" t="s">
        <v>3844</v>
      </c>
      <c r="D436" s="4595">
        <v>-2110</v>
      </c>
      <c r="E436" s="4597" t="s">
        <v>3846</v>
      </c>
      <c r="F436" s="4596">
        <v>32.72</v>
      </c>
      <c r="G436" s="4596">
        <v>10.119999999999999</v>
      </c>
      <c r="H436" s="4133">
        <f t="shared" si="9"/>
        <v>0.30929095354523228</v>
      </c>
    </row>
    <row r="437" spans="1:8" ht="15">
      <c r="A437" s="4595">
        <v>436</v>
      </c>
      <c r="B437" s="4597" t="s">
        <v>3845</v>
      </c>
      <c r="C437" s="4595" t="s">
        <v>3844</v>
      </c>
      <c r="D437" s="4595">
        <v>-2111</v>
      </c>
      <c r="E437" s="4597" t="s">
        <v>3846</v>
      </c>
      <c r="F437" s="4596">
        <v>32.72</v>
      </c>
      <c r="G437" s="4596">
        <v>10.119999999999999</v>
      </c>
      <c r="H437" s="4133">
        <f t="shared" si="9"/>
        <v>0.30929095354523228</v>
      </c>
    </row>
    <row r="438" spans="1:8" ht="15">
      <c r="A438" s="4595">
        <v>437</v>
      </c>
      <c r="B438" s="4597" t="s">
        <v>3845</v>
      </c>
      <c r="C438" s="4595" t="s">
        <v>3844</v>
      </c>
      <c r="D438" s="4595">
        <v>-2112</v>
      </c>
      <c r="E438" s="4597" t="s">
        <v>3846</v>
      </c>
      <c r="F438" s="4596">
        <v>32.72</v>
      </c>
      <c r="G438" s="4596">
        <v>10.119999999999999</v>
      </c>
      <c r="H438" s="4133">
        <f t="shared" si="9"/>
        <v>0.30929095354523228</v>
      </c>
    </row>
    <row r="439" spans="1:8" ht="15">
      <c r="A439" s="4595">
        <v>438</v>
      </c>
      <c r="B439" s="4597" t="s">
        <v>3845</v>
      </c>
      <c r="C439" s="4595" t="s">
        <v>3844</v>
      </c>
      <c r="D439" s="4595">
        <v>-2113</v>
      </c>
      <c r="E439" s="4597" t="s">
        <v>3846</v>
      </c>
      <c r="F439" s="4596">
        <v>32.72</v>
      </c>
      <c r="G439" s="4596">
        <v>10.119999999999999</v>
      </c>
      <c r="H439" s="4133">
        <f t="shared" si="9"/>
        <v>0.30929095354523228</v>
      </c>
    </row>
    <row r="440" spans="1:8" ht="15">
      <c r="A440" s="4595">
        <v>439</v>
      </c>
      <c r="B440" s="4597" t="s">
        <v>3845</v>
      </c>
      <c r="C440" s="4595" t="s">
        <v>3844</v>
      </c>
      <c r="D440" s="4595">
        <v>-2114</v>
      </c>
      <c r="E440" s="4597" t="s">
        <v>3846</v>
      </c>
      <c r="F440" s="4596">
        <v>32.72</v>
      </c>
      <c r="G440" s="4596">
        <v>10.119999999999999</v>
      </c>
      <c r="H440" s="4133">
        <f t="shared" si="9"/>
        <v>0.30929095354523228</v>
      </c>
    </row>
    <row r="441" spans="1:8" ht="15">
      <c r="A441" s="4595">
        <v>440</v>
      </c>
      <c r="B441" s="4597" t="s">
        <v>3845</v>
      </c>
      <c r="C441" s="4595" t="s">
        <v>3844</v>
      </c>
      <c r="D441" s="4595">
        <v>-2116</v>
      </c>
      <c r="E441" s="4597" t="s">
        <v>3846</v>
      </c>
      <c r="F441" s="4596">
        <v>32.72</v>
      </c>
      <c r="G441" s="4596">
        <v>10.119999999999999</v>
      </c>
      <c r="H441" s="4133">
        <f t="shared" si="9"/>
        <v>0.30929095354523228</v>
      </c>
    </row>
    <row r="442" spans="1:8" ht="15">
      <c r="A442" s="4595">
        <v>441</v>
      </c>
      <c r="B442" s="4597" t="s">
        <v>3845</v>
      </c>
      <c r="C442" s="4595" t="s">
        <v>3844</v>
      </c>
      <c r="D442" s="4595">
        <v>-2117</v>
      </c>
      <c r="E442" s="4597" t="s">
        <v>3846</v>
      </c>
      <c r="F442" s="4596">
        <v>32.72</v>
      </c>
      <c r="G442" s="4596">
        <v>10.119999999999999</v>
      </c>
      <c r="H442" s="4133">
        <f t="shared" si="9"/>
        <v>0.30929095354523228</v>
      </c>
    </row>
    <row r="443" spans="1:8" ht="15">
      <c r="A443" s="4595">
        <v>442</v>
      </c>
      <c r="B443" s="4597" t="s">
        <v>3845</v>
      </c>
      <c r="C443" s="4595" t="s">
        <v>3844</v>
      </c>
      <c r="D443" s="4595">
        <v>-2118</v>
      </c>
      <c r="E443" s="4597" t="s">
        <v>3846</v>
      </c>
      <c r="F443" s="4596">
        <v>32.72</v>
      </c>
      <c r="G443" s="4596">
        <v>10.119999999999999</v>
      </c>
      <c r="H443" s="4133">
        <f t="shared" si="9"/>
        <v>0.30929095354523228</v>
      </c>
    </row>
    <row r="444" spans="1:8" ht="15">
      <c r="A444" s="4595">
        <v>443</v>
      </c>
      <c r="B444" s="4597" t="s">
        <v>3845</v>
      </c>
      <c r="C444" s="4595" t="s">
        <v>3844</v>
      </c>
      <c r="D444" s="4595">
        <v>-2119</v>
      </c>
      <c r="E444" s="4597" t="s">
        <v>3846</v>
      </c>
      <c r="F444" s="4596">
        <v>32.72</v>
      </c>
      <c r="G444" s="4596">
        <v>10.119999999999999</v>
      </c>
      <c r="H444" s="4133">
        <f t="shared" si="9"/>
        <v>0.30929095354523228</v>
      </c>
    </row>
    <row r="445" spans="1:8" ht="15">
      <c r="A445" s="4595">
        <v>444</v>
      </c>
      <c r="B445" s="4597" t="s">
        <v>3845</v>
      </c>
      <c r="C445" s="4595" t="s">
        <v>3844</v>
      </c>
      <c r="D445" s="4595">
        <v>-2120</v>
      </c>
      <c r="E445" s="4597" t="s">
        <v>3846</v>
      </c>
      <c r="F445" s="4596">
        <v>32.72</v>
      </c>
      <c r="G445" s="4596">
        <v>10.119999999999999</v>
      </c>
      <c r="H445" s="4133">
        <f t="shared" si="9"/>
        <v>0.30929095354523228</v>
      </c>
    </row>
    <row r="446" spans="1:8" ht="15">
      <c r="A446" s="4595">
        <v>445</v>
      </c>
      <c r="B446" s="4597" t="s">
        <v>3845</v>
      </c>
      <c r="C446" s="4595" t="s">
        <v>3844</v>
      </c>
      <c r="D446" s="4595">
        <v>-2121</v>
      </c>
      <c r="E446" s="4597" t="s">
        <v>3846</v>
      </c>
      <c r="F446" s="4596">
        <v>32.72</v>
      </c>
      <c r="G446" s="4596">
        <v>10.119999999999999</v>
      </c>
      <c r="H446" s="4133">
        <f t="shared" si="9"/>
        <v>0.30929095354523228</v>
      </c>
    </row>
    <row r="447" spans="1:8" ht="15">
      <c r="A447" s="4595">
        <v>446</v>
      </c>
      <c r="B447" s="4597" t="s">
        <v>3845</v>
      </c>
      <c r="C447" s="4595" t="s">
        <v>3844</v>
      </c>
      <c r="D447" s="4595">
        <v>-2122</v>
      </c>
      <c r="E447" s="4597" t="s">
        <v>3846</v>
      </c>
      <c r="F447" s="4596">
        <v>32.72</v>
      </c>
      <c r="G447" s="4596">
        <v>10.119999999999999</v>
      </c>
      <c r="H447" s="4133">
        <f t="shared" si="9"/>
        <v>0.30929095354523228</v>
      </c>
    </row>
    <row r="448" spans="1:8" ht="15">
      <c r="A448" s="4595">
        <v>447</v>
      </c>
      <c r="B448" s="4597" t="s">
        <v>3845</v>
      </c>
      <c r="C448" s="4595" t="s">
        <v>3844</v>
      </c>
      <c r="D448" s="4595">
        <v>-2123</v>
      </c>
      <c r="E448" s="4597" t="s">
        <v>3846</v>
      </c>
      <c r="F448" s="4596">
        <v>32.72</v>
      </c>
      <c r="G448" s="4596">
        <v>10.119999999999999</v>
      </c>
      <c r="H448" s="4133">
        <f t="shared" si="9"/>
        <v>0.30929095354523228</v>
      </c>
    </row>
    <row r="449" spans="1:8" ht="15">
      <c r="A449" s="4595">
        <v>448</v>
      </c>
      <c r="B449" s="4597" t="s">
        <v>3845</v>
      </c>
      <c r="C449" s="4595" t="s">
        <v>3844</v>
      </c>
      <c r="D449" s="4595">
        <v>-2124</v>
      </c>
      <c r="E449" s="4597" t="s">
        <v>3846</v>
      </c>
      <c r="F449" s="4596">
        <v>32.72</v>
      </c>
      <c r="G449" s="4596">
        <v>10.119999999999999</v>
      </c>
      <c r="H449" s="4133">
        <f t="shared" si="9"/>
        <v>0.30929095354523228</v>
      </c>
    </row>
    <row r="450" spans="1:8" ht="15">
      <c r="A450" s="4595">
        <v>449</v>
      </c>
      <c r="B450" s="4597" t="s">
        <v>3845</v>
      </c>
      <c r="C450" s="4595" t="s">
        <v>3844</v>
      </c>
      <c r="D450" s="4595">
        <v>-2125</v>
      </c>
      <c r="E450" s="4597" t="s">
        <v>3846</v>
      </c>
      <c r="F450" s="4596">
        <v>32.72</v>
      </c>
      <c r="G450" s="4596">
        <v>10.119999999999999</v>
      </c>
      <c r="H450" s="4133">
        <f t="shared" ref="H450:H464" si="10">G450/F450</f>
        <v>0.30929095354523228</v>
      </c>
    </row>
    <row r="451" spans="1:8" ht="15">
      <c r="A451" s="4595">
        <v>450</v>
      </c>
      <c r="B451" s="4597" t="s">
        <v>3845</v>
      </c>
      <c r="C451" s="4595" t="s">
        <v>3844</v>
      </c>
      <c r="D451" s="4595">
        <v>-2126</v>
      </c>
      <c r="E451" s="4597" t="s">
        <v>3846</v>
      </c>
      <c r="F451" s="4596">
        <v>32.72</v>
      </c>
      <c r="G451" s="4596">
        <v>10.119999999999999</v>
      </c>
      <c r="H451" s="4133">
        <f t="shared" si="10"/>
        <v>0.30929095354523228</v>
      </c>
    </row>
    <row r="452" spans="1:8" ht="15">
      <c r="A452" s="4595">
        <v>451</v>
      </c>
      <c r="B452" s="4597" t="s">
        <v>3845</v>
      </c>
      <c r="C452" s="4595" t="s">
        <v>3844</v>
      </c>
      <c r="D452" s="4595">
        <v>-2127</v>
      </c>
      <c r="E452" s="4597" t="s">
        <v>3846</v>
      </c>
      <c r="F452" s="4596">
        <v>32.72</v>
      </c>
      <c r="G452" s="4596">
        <v>10.119999999999999</v>
      </c>
      <c r="H452" s="4133">
        <f t="shared" si="10"/>
        <v>0.30929095354523228</v>
      </c>
    </row>
    <row r="453" spans="1:8" ht="15">
      <c r="A453" s="4595">
        <v>452</v>
      </c>
      <c r="B453" s="4597" t="s">
        <v>3845</v>
      </c>
      <c r="C453" s="4595" t="s">
        <v>3844</v>
      </c>
      <c r="D453" s="4595">
        <v>-2128</v>
      </c>
      <c r="E453" s="4597" t="s">
        <v>3846</v>
      </c>
      <c r="F453" s="4596">
        <v>32.72</v>
      </c>
      <c r="G453" s="4596">
        <v>10.119999999999999</v>
      </c>
      <c r="H453" s="4133">
        <f t="shared" si="10"/>
        <v>0.30929095354523228</v>
      </c>
    </row>
    <row r="454" spans="1:8" ht="15">
      <c r="A454" s="4595">
        <v>453</v>
      </c>
      <c r="B454" s="4597" t="s">
        <v>3845</v>
      </c>
      <c r="C454" s="4595" t="s">
        <v>3844</v>
      </c>
      <c r="D454" s="4595">
        <v>-2129</v>
      </c>
      <c r="E454" s="4597" t="s">
        <v>3846</v>
      </c>
      <c r="F454" s="4596">
        <v>32.72</v>
      </c>
      <c r="G454" s="4596">
        <v>10.119999999999999</v>
      </c>
      <c r="H454" s="4133">
        <f t="shared" si="10"/>
        <v>0.30929095354523228</v>
      </c>
    </row>
    <row r="455" spans="1:8" ht="15">
      <c r="A455" s="4595">
        <v>454</v>
      </c>
      <c r="B455" s="4597" t="s">
        <v>3845</v>
      </c>
      <c r="C455" s="4595" t="s">
        <v>3844</v>
      </c>
      <c r="D455" s="4595">
        <v>-2130</v>
      </c>
      <c r="E455" s="4597" t="s">
        <v>3846</v>
      </c>
      <c r="F455" s="4596">
        <v>32.72</v>
      </c>
      <c r="G455" s="4596">
        <v>10.119999999999999</v>
      </c>
      <c r="H455" s="4133">
        <f t="shared" si="10"/>
        <v>0.30929095354523228</v>
      </c>
    </row>
    <row r="456" spans="1:8" ht="15">
      <c r="A456" s="4595">
        <v>455</v>
      </c>
      <c r="B456" s="4597" t="s">
        <v>3845</v>
      </c>
      <c r="C456" s="4595" t="s">
        <v>3844</v>
      </c>
      <c r="D456" s="4595">
        <v>-2131</v>
      </c>
      <c r="E456" s="4597" t="s">
        <v>3846</v>
      </c>
      <c r="F456" s="4596">
        <v>32.72</v>
      </c>
      <c r="G456" s="4596">
        <v>10.119999999999999</v>
      </c>
      <c r="H456" s="4133">
        <f t="shared" si="10"/>
        <v>0.30929095354523228</v>
      </c>
    </row>
    <row r="457" spans="1:8" ht="15">
      <c r="A457" s="4595">
        <v>456</v>
      </c>
      <c r="B457" s="4597" t="s">
        <v>3845</v>
      </c>
      <c r="C457" s="4595" t="s">
        <v>3844</v>
      </c>
      <c r="D457" s="4595">
        <v>-2132</v>
      </c>
      <c r="E457" s="4597" t="s">
        <v>3846</v>
      </c>
      <c r="F457" s="4596">
        <v>32.72</v>
      </c>
      <c r="G457" s="4596">
        <v>10.119999999999999</v>
      </c>
      <c r="H457" s="4133">
        <f t="shared" si="10"/>
        <v>0.30929095354523228</v>
      </c>
    </row>
    <row r="458" spans="1:8" ht="15">
      <c r="A458" s="4595">
        <v>457</v>
      </c>
      <c r="B458" s="4597" t="s">
        <v>3845</v>
      </c>
      <c r="C458" s="4595" t="s">
        <v>3844</v>
      </c>
      <c r="D458" s="4595">
        <v>-2133</v>
      </c>
      <c r="E458" s="4597" t="s">
        <v>3846</v>
      </c>
      <c r="F458" s="4596">
        <v>32.72</v>
      </c>
      <c r="G458" s="4596">
        <v>10.119999999999999</v>
      </c>
      <c r="H458" s="4133">
        <f t="shared" si="10"/>
        <v>0.30929095354523228</v>
      </c>
    </row>
    <row r="459" spans="1:8" ht="15">
      <c r="A459" s="4595">
        <v>458</v>
      </c>
      <c r="B459" s="4597" t="s">
        <v>3845</v>
      </c>
      <c r="C459" s="4595" t="s">
        <v>3844</v>
      </c>
      <c r="D459" s="4595">
        <v>-2134</v>
      </c>
      <c r="E459" s="4597" t="s">
        <v>3846</v>
      </c>
      <c r="F459" s="4596">
        <v>32.72</v>
      </c>
      <c r="G459" s="4596">
        <v>10.119999999999999</v>
      </c>
      <c r="H459" s="4133">
        <f t="shared" si="10"/>
        <v>0.30929095354523228</v>
      </c>
    </row>
    <row r="460" spans="1:8" ht="15">
      <c r="A460" s="4595">
        <v>459</v>
      </c>
      <c r="B460" s="4597" t="s">
        <v>3845</v>
      </c>
      <c r="C460" s="4595" t="s">
        <v>3844</v>
      </c>
      <c r="D460" s="4595">
        <v>-2135</v>
      </c>
      <c r="E460" s="4597" t="s">
        <v>3846</v>
      </c>
      <c r="F460" s="4596">
        <v>32.72</v>
      </c>
      <c r="G460" s="4596">
        <v>10.119999999999999</v>
      </c>
      <c r="H460" s="4133">
        <f t="shared" si="10"/>
        <v>0.30929095354523228</v>
      </c>
    </row>
    <row r="461" spans="1:8" ht="15">
      <c r="A461" s="4595">
        <v>460</v>
      </c>
      <c r="B461" s="4597" t="s">
        <v>3845</v>
      </c>
      <c r="C461" s="4595" t="s">
        <v>3844</v>
      </c>
      <c r="D461" s="4595">
        <v>-2136</v>
      </c>
      <c r="E461" s="4597" t="s">
        <v>3846</v>
      </c>
      <c r="F461" s="4596">
        <v>32.72</v>
      </c>
      <c r="G461" s="4596">
        <v>10.119999999999999</v>
      </c>
      <c r="H461" s="4133">
        <f t="shared" si="10"/>
        <v>0.30929095354523228</v>
      </c>
    </row>
    <row r="462" spans="1:8" ht="15">
      <c r="A462" s="4595">
        <v>461</v>
      </c>
      <c r="B462" s="4597" t="s">
        <v>3845</v>
      </c>
      <c r="C462" s="4595" t="s">
        <v>3844</v>
      </c>
      <c r="D462" s="4595">
        <v>-2137</v>
      </c>
      <c r="E462" s="4597" t="s">
        <v>3846</v>
      </c>
      <c r="F462" s="4596">
        <v>32.72</v>
      </c>
      <c r="G462" s="4596">
        <v>10.119999999999999</v>
      </c>
      <c r="H462" s="4133">
        <f t="shared" si="10"/>
        <v>0.30929095354523228</v>
      </c>
    </row>
    <row r="463" spans="1:8" ht="15">
      <c r="A463" s="4595">
        <v>462</v>
      </c>
      <c r="B463" s="4597" t="s">
        <v>3845</v>
      </c>
      <c r="C463" s="4595" t="s">
        <v>3844</v>
      </c>
      <c r="D463" s="4595">
        <v>-2139</v>
      </c>
      <c r="E463" s="4597" t="s">
        <v>3846</v>
      </c>
      <c r="F463" s="4596">
        <v>32.72</v>
      </c>
      <c r="G463" s="4596">
        <v>10.119999999999999</v>
      </c>
      <c r="H463" s="4133">
        <f t="shared" si="10"/>
        <v>0.30929095354523228</v>
      </c>
    </row>
    <row r="464" spans="1:8" ht="15">
      <c r="A464" s="4595">
        <v>463</v>
      </c>
      <c r="B464" s="4597" t="s">
        <v>3845</v>
      </c>
      <c r="C464" s="4595" t="s">
        <v>3844</v>
      </c>
      <c r="D464" s="4595">
        <v>-2140</v>
      </c>
      <c r="E464" s="4597" t="s">
        <v>3846</v>
      </c>
      <c r="F464" s="4596">
        <v>32.72</v>
      </c>
      <c r="G464" s="4596">
        <v>10.119999999999999</v>
      </c>
      <c r="H464" s="4133">
        <f t="shared" si="10"/>
        <v>0.30929095354523228</v>
      </c>
    </row>
    <row r="465" spans="1:8" ht="15">
      <c r="A465" s="4598"/>
      <c r="B465" s="4599" t="s">
        <v>4036</v>
      </c>
      <c r="C465" s="4598"/>
      <c r="D465" s="4598"/>
      <c r="E465" s="4597"/>
      <c r="F465" s="4596">
        <f>SUM(F2:F464)</f>
        <v>24968.190000000293</v>
      </c>
      <c r="G465" s="4596">
        <f>SUM(G2:G464)</f>
        <v>7721.0099999999693</v>
      </c>
      <c r="H465" s="4133">
        <f>G465/F465</f>
        <v>0.30923386917513357</v>
      </c>
    </row>
    <row r="466" spans="1:8" ht="15">
      <c r="A466" s="4128"/>
      <c r="B466" s="4128"/>
      <c r="C466" s="4128"/>
      <c r="D466" s="4128"/>
      <c r="E466" s="4128"/>
      <c r="F466" s="4131">
        <v>24968.19</v>
      </c>
      <c r="G466" s="4131">
        <v>7720.15</v>
      </c>
      <c r="H466" s="4133">
        <f>G466/F466</f>
        <v>0.30919942534881384</v>
      </c>
    </row>
    <row r="467" spans="1:8" ht="15">
      <c r="A467" s="4128"/>
      <c r="B467" s="4128"/>
      <c r="C467" s="4128"/>
      <c r="D467" s="4128"/>
      <c r="E467" s="4128"/>
      <c r="F467" s="4132">
        <f>F465-F466</f>
        <v>2.9467628337442875E-10</v>
      </c>
      <c r="G467" s="4131">
        <f>G465-G466</f>
        <v>0.85999999996965926</v>
      </c>
      <c r="H467" s="4133"/>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6" t="s">
        <v>1116</v>
      </c>
      <c r="B2" s="4246"/>
      <c r="C2" s="4246"/>
      <c r="D2" s="548" t="s">
        <v>1092</v>
      </c>
      <c r="E2" s="1199" t="s">
        <v>1093</v>
      </c>
      <c r="F2" s="1972"/>
      <c r="G2" s="1966"/>
      <c r="H2" s="1967"/>
      <c r="I2" s="1738" t="s">
        <v>1117</v>
      </c>
      <c r="J2" s="1972"/>
      <c r="K2" s="1972"/>
      <c r="L2" s="1972"/>
      <c r="M2" s="1972"/>
      <c r="N2" s="1973"/>
      <c r="O2" s="1972"/>
      <c r="P2" s="1972"/>
    </row>
    <row r="3" spans="1:16" ht="15.75" thickBot="1">
      <c r="A3" s="4247" t="s">
        <v>1090</v>
      </c>
      <c r="B3" s="4247"/>
      <c r="C3" s="4247"/>
      <c r="D3" s="4024">
        <f>'数据-基础表'!AY6</f>
        <v>7720.15</v>
      </c>
      <c r="E3" s="4024">
        <f>'数据-基础表'!AZ5</f>
        <v>24968.190000000002</v>
      </c>
      <c r="F3" s="1972"/>
      <c r="G3" s="24"/>
      <c r="H3" s="25" t="s">
        <v>1091</v>
      </c>
      <c r="I3" s="2683">
        <f>ROUND('数据-基础表'!B3/'数据-基础表'!A3,2)</f>
        <v>3.23</v>
      </c>
      <c r="J3" s="1972"/>
      <c r="K3" s="1972"/>
      <c r="L3" s="1972"/>
      <c r="M3" s="1972"/>
      <c r="N3" s="1973"/>
      <c r="O3" s="1972"/>
      <c r="P3" s="1972"/>
    </row>
    <row r="4" spans="1:16" ht="15">
      <c r="A4" s="4248"/>
      <c r="B4" s="4249"/>
      <c r="C4" s="4250"/>
      <c r="D4" s="1201" t="s">
        <v>1092</v>
      </c>
      <c r="E4" s="1202" t="s">
        <v>1093</v>
      </c>
      <c r="F4" s="1972"/>
      <c r="G4" s="1968" t="s">
        <v>1118</v>
      </c>
      <c r="H4" s="25" t="s">
        <v>1098</v>
      </c>
      <c r="I4" s="2683">
        <f>ROUND(SUMIF('数据-基础表'!I9:AS9,"地上",'数据-基础表'!I5:AS5)/'数据-基础表'!A3,2)</f>
        <v>1.4</v>
      </c>
      <c r="J4" s="1972"/>
      <c r="K4" s="1972"/>
      <c r="L4" s="1972"/>
      <c r="M4" s="1972"/>
      <c r="N4" s="1973"/>
      <c r="O4" s="1972"/>
      <c r="P4" s="1972"/>
    </row>
    <row r="5" spans="1:16">
      <c r="A5" s="24" t="s">
        <v>1094</v>
      </c>
      <c r="B5" s="4251" t="s">
        <v>1095</v>
      </c>
      <c r="C5" s="4251"/>
      <c r="D5" s="4006">
        <f>ROUND($D$3*E5/$E$3,2)</f>
        <v>3339.57</v>
      </c>
      <c r="E5" s="3897">
        <f>SUMIF('数据-基础表'!$11:$11,"住宅",'数据-基础表'!$5:$5)</f>
        <v>10800.690000000002</v>
      </c>
      <c r="F5" s="1972"/>
      <c r="G5" s="24"/>
      <c r="H5" s="25" t="s">
        <v>1091</v>
      </c>
      <c r="I5" s="2683">
        <f>ROUND(E31/D31,2)</f>
        <v>3.23</v>
      </c>
      <c r="J5" s="1972"/>
      <c r="K5" s="1972"/>
      <c r="L5" s="1972"/>
      <c r="M5" s="1972"/>
      <c r="N5" s="1972"/>
      <c r="O5" s="1972"/>
      <c r="P5" s="1972"/>
    </row>
    <row r="6" spans="1:16" ht="15" thickBot="1">
      <c r="A6" s="1204"/>
      <c r="B6" s="4251" t="s">
        <v>1096</v>
      </c>
      <c r="C6" s="4251"/>
      <c r="D6" s="4006">
        <f>ROUND($D$3*E6/$E$3,2)</f>
        <v>4380.58</v>
      </c>
      <c r="E6" s="3897">
        <f>E3-E5</f>
        <v>14167.5</v>
      </c>
      <c r="F6" s="1972"/>
      <c r="G6" s="1206" t="s">
        <v>1097</v>
      </c>
      <c r="H6" s="26" t="s">
        <v>1098</v>
      </c>
      <c r="I6" s="2684">
        <f>ROUND(F31/D31,2)</f>
        <v>1.4</v>
      </c>
      <c r="J6" s="1972"/>
      <c r="K6" s="1972"/>
      <c r="L6" s="1972"/>
      <c r="M6" s="1972"/>
      <c r="N6" s="1972"/>
      <c r="O6" s="1972"/>
      <c r="P6" s="1972"/>
    </row>
    <row r="7" spans="1:16" ht="15.75" thickBot="1">
      <c r="A7" s="4243"/>
      <c r="B7" s="4244"/>
      <c r="C7" s="4245"/>
      <c r="D7" s="1201" t="s">
        <v>1092</v>
      </c>
      <c r="E7" s="1205" t="s">
        <v>1099</v>
      </c>
      <c r="F7" s="1972"/>
      <c r="G7" s="1969" t="s">
        <v>1100</v>
      </c>
      <c r="H7" s="1970"/>
      <c r="I7" s="2685">
        <v>2.1</v>
      </c>
      <c r="J7" s="1972"/>
      <c r="K7" s="1972"/>
      <c r="L7" s="1972"/>
      <c r="M7" s="1972"/>
      <c r="N7" s="1972"/>
      <c r="O7" s="1972"/>
      <c r="P7" s="1972"/>
    </row>
    <row r="8" spans="1:16">
      <c r="A8" s="24" t="s">
        <v>1101</v>
      </c>
      <c r="B8" s="26" t="s">
        <v>1102</v>
      </c>
      <c r="C8" s="25" t="s">
        <v>1103</v>
      </c>
      <c r="D8" s="4006">
        <f t="shared" ref="D8:D15" si="0">ROUND($D$3*E8/$E$3,2)</f>
        <v>3339.57</v>
      </c>
      <c r="E8" s="3897">
        <f>SUMIF('数据-基础表'!BB10:BK10,"地上",'数据-基础表'!BB5:BK5)</f>
        <v>10800.690000000002</v>
      </c>
      <c r="F8" s="1972"/>
      <c r="G8" s="1972"/>
      <c r="H8" s="1972"/>
      <c r="I8" s="1972"/>
      <c r="J8" s="1972"/>
      <c r="K8" s="1972"/>
      <c r="L8" s="1972"/>
      <c r="M8" s="1972"/>
      <c r="N8" s="1972"/>
      <c r="O8" s="1972"/>
      <c r="P8" s="1972"/>
    </row>
    <row r="9" spans="1:16">
      <c r="A9" s="1206"/>
      <c r="B9" s="1207"/>
      <c r="C9" s="25" t="s">
        <v>1104</v>
      </c>
      <c r="D9" s="4006">
        <f t="shared" si="0"/>
        <v>0</v>
      </c>
      <c r="E9" s="4025"/>
      <c r="F9" s="1972"/>
      <c r="G9" s="1972"/>
      <c r="H9" s="1972"/>
      <c r="I9" s="1972"/>
      <c r="J9" s="1972"/>
      <c r="K9" s="1972"/>
      <c r="L9" s="1972"/>
      <c r="M9" s="1972"/>
      <c r="N9" s="1972"/>
      <c r="O9" s="1972"/>
      <c r="P9" s="1972"/>
    </row>
    <row r="10" spans="1:16">
      <c r="A10" s="1206"/>
      <c r="B10" s="1207"/>
      <c r="C10" s="25" t="s">
        <v>1113</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6">
        <f t="shared" si="0"/>
        <v>1530.98</v>
      </c>
      <c r="E12" s="3897">
        <f>SUMPRODUCT(('数据-基础表'!BB10:BK10="地下")*('数据-基础表'!BB11:BK11="仓储")*('数据-基础表'!BB5:BK5))</f>
        <v>4951.4299999999994</v>
      </c>
      <c r="F12" s="1972"/>
      <c r="G12" s="1972"/>
      <c r="H12" s="1972"/>
      <c r="I12" s="1972"/>
      <c r="J12" s="1972"/>
      <c r="K12" s="1972"/>
      <c r="L12" s="1972"/>
      <c r="M12" s="1972"/>
      <c r="N12" s="1972"/>
      <c r="O12" s="1972"/>
      <c r="P12" s="1972"/>
    </row>
    <row r="13" spans="1:16">
      <c r="A13" s="1206"/>
      <c r="B13" s="1207"/>
      <c r="C13" s="25" t="s">
        <v>1107</v>
      </c>
      <c r="D13" s="4006">
        <f t="shared" si="0"/>
        <v>2849.6</v>
      </c>
      <c r="E13" s="3897">
        <f>SUMPRODUCT(('数据-基础表'!BB10:BK10="地下")*('数据-基础表'!BB11:BK11="车库")*('数据-基础表'!BB5:BK5))</f>
        <v>9216.07</v>
      </c>
      <c r="F13" s="1972"/>
      <c r="G13" s="1972"/>
      <c r="H13" s="1972"/>
      <c r="I13" s="1972"/>
      <c r="J13" s="1972"/>
      <c r="K13" s="1972"/>
      <c r="L13" s="1972"/>
      <c r="M13" s="1972"/>
      <c r="N13" s="1972"/>
      <c r="O13" s="1972"/>
      <c r="P13" s="1972"/>
    </row>
    <row r="14" spans="1:16">
      <c r="A14" s="1206"/>
      <c r="B14" s="1207"/>
      <c r="C14" s="25" t="s">
        <v>1119</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5">
        <f>SUM(D8:D15)</f>
        <v>7720.15</v>
      </c>
      <c r="E16" s="4016">
        <f>SUM(E8:E15)</f>
        <v>24968.190000000002</v>
      </c>
      <c r="F16" s="1972"/>
      <c r="G16" s="1972"/>
      <c r="H16" s="1208" t="s">
        <v>1120</v>
      </c>
      <c r="I16" s="1209"/>
      <c r="J16" s="796"/>
      <c r="K16" s="4240" t="s">
        <v>1120</v>
      </c>
      <c r="L16" s="4241"/>
      <c r="M16" s="4241"/>
      <c r="N16" s="4241"/>
      <c r="O16" s="4241"/>
      <c r="P16" s="4242"/>
    </row>
    <row r="17" spans="1:19" ht="15">
      <c r="A17" s="1210" t="s">
        <v>1121</v>
      </c>
      <c r="B17" s="1211" t="s">
        <v>1122</v>
      </c>
      <c r="C17" s="1212" t="s">
        <v>1123</v>
      </c>
      <c r="D17" s="1213" t="s">
        <v>1111</v>
      </c>
      <c r="E17" s="1214" t="s">
        <v>1112</v>
      </c>
      <c r="F17" s="1215"/>
      <c r="G17" s="1216"/>
      <c r="H17" s="1217" t="s">
        <v>1124</v>
      </c>
      <c r="I17" s="1218" t="s">
        <v>1109</v>
      </c>
      <c r="J17" s="796"/>
      <c r="K17" s="4237" t="s">
        <v>1125</v>
      </c>
      <c r="L17" s="4238"/>
      <c r="M17" s="4239"/>
      <c r="N17" s="4237" t="s">
        <v>1126</v>
      </c>
      <c r="O17" s="4238"/>
      <c r="P17" s="4239"/>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tr">
        <f>'数据-基础表'!C13</f>
        <v>住宅</v>
      </c>
      <c r="D19" s="4006">
        <f>ROUND($D$3*E19/$E$3,2)</f>
        <v>3339.57</v>
      </c>
      <c r="E19" s="4006">
        <f t="shared" ref="E19:E26" si="1">SUM(F19:G19)</f>
        <v>10800.690000000002</v>
      </c>
      <c r="F19" s="4007">
        <f>'数据-基础表'!I13</f>
        <v>10800.690000000002</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3339.57</v>
      </c>
      <c r="S19" s="4006">
        <f t="shared" si="5"/>
        <v>10800.690000000002</v>
      </c>
    </row>
    <row r="20" spans="1:19">
      <c r="A20" s="1226"/>
      <c r="B20" s="26" t="s">
        <v>1138</v>
      </c>
      <c r="C20" s="2550" t="str">
        <f>'数据-基础表'!C14</f>
        <v>地下仓储</v>
      </c>
      <c r="D20" s="4006">
        <f t="shared" ref="D20:D26" si="6">ROUND($D$3*E20/$E$3,2)</f>
        <v>1530.98</v>
      </c>
      <c r="E20" s="4006">
        <f t="shared" si="1"/>
        <v>4951.4299999999994</v>
      </c>
      <c r="F20" s="4007"/>
      <c r="G20" s="3865">
        <f>'数据-基础表'!K14</f>
        <v>4951.4299999999994</v>
      </c>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1530.98</v>
      </c>
      <c r="S20" s="4006">
        <f t="shared" si="5"/>
        <v>4951.4299999999994</v>
      </c>
    </row>
    <row r="21" spans="1:19">
      <c r="A21" s="1226"/>
      <c r="B21" s="26" t="s">
        <v>1138</v>
      </c>
      <c r="C21" s="2550" t="str">
        <f>'数据-基础表'!C15</f>
        <v>地下车库</v>
      </c>
      <c r="D21" s="4006">
        <f t="shared" si="6"/>
        <v>2849.6</v>
      </c>
      <c r="E21" s="4006">
        <f t="shared" si="1"/>
        <v>9216.07</v>
      </c>
      <c r="F21" s="4007"/>
      <c r="G21" s="3865">
        <f>'数据-基础表'!M15</f>
        <v>9216.07</v>
      </c>
      <c r="H21" s="4008">
        <f t="shared" si="7"/>
        <v>0</v>
      </c>
      <c r="I21" s="3897">
        <f t="shared" si="2"/>
        <v>0</v>
      </c>
      <c r="J21" s="796"/>
      <c r="K21" s="4008">
        <f t="shared" si="3"/>
        <v>0</v>
      </c>
      <c r="L21" s="4006">
        <f t="shared" si="4"/>
        <v>0</v>
      </c>
      <c r="M21" s="3897">
        <f t="shared" si="8"/>
        <v>0</v>
      </c>
      <c r="N21" s="4020"/>
      <c r="O21" s="4021"/>
      <c r="P21" s="3897">
        <f t="shared" si="9"/>
        <v>0</v>
      </c>
      <c r="R21" s="4006">
        <f t="shared" si="5"/>
        <v>2849.6</v>
      </c>
      <c r="S21" s="4006">
        <f t="shared" si="5"/>
        <v>9216.07</v>
      </c>
    </row>
    <row r="22" spans="1:19">
      <c r="A22" s="1226"/>
      <c r="B22" s="26" t="s">
        <v>1138</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1138</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1138</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1138</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1138</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5.75" thickBot="1">
      <c r="A27" s="1226"/>
      <c r="B27" s="25"/>
      <c r="C27" s="1227" t="s">
        <v>1139</v>
      </c>
      <c r="D27" s="173">
        <f>SUM(D19:D26)</f>
        <v>7720.15</v>
      </c>
      <c r="E27" s="173">
        <f>IF(SUM(E19:E26)='数据-基础表'!BA5,SUM(E19:E26),IF(F27="地上面积有误","面积有误","地下面积有误"))</f>
        <v>24968.190000000002</v>
      </c>
      <c r="F27" s="173">
        <f>IF(SUM(F19:F26)=E8,SUM(F19:F26),"地上面积有误")</f>
        <v>10800.690000000002</v>
      </c>
      <c r="G27" s="3895">
        <f>SUM(G19:G26)</f>
        <v>14167.5</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7720.15</v>
      </c>
      <c r="S27" s="4006">
        <f>IF(SUM(S19:S26)=$E$3,SUM(S19:S26),SUM(S19:S26)&amp;"误差"&amp;ROUND(SUM(S19:S26)-E3,2))</f>
        <v>24968.190000000002</v>
      </c>
    </row>
    <row r="28" spans="1:19">
      <c r="A28" s="1226"/>
      <c r="B28" s="26" t="s">
        <v>1140</v>
      </c>
      <c r="C28" s="30" t="s">
        <v>1141</v>
      </c>
      <c r="D28" s="4006">
        <f>ROUND($D$3*E28/$E$3,2)</f>
        <v>0</v>
      </c>
      <c r="E28" s="4006">
        <f>SUM(F28:G28)</f>
        <v>0</v>
      </c>
      <c r="F28" s="3755">
        <f>'数据-基础表'!BQ5+'数据-基础表'!BS5</f>
        <v>0</v>
      </c>
      <c r="G28" s="4014">
        <f>'数据-基础表'!BR5+'数据-基础表'!BT5</f>
        <v>0</v>
      </c>
      <c r="H28" s="1972"/>
      <c r="I28" s="1972"/>
      <c r="J28" s="1972"/>
      <c r="K28" s="1972"/>
      <c r="L28" s="1972"/>
      <c r="M28" s="1972"/>
      <c r="N28" s="1972"/>
      <c r="O28" s="1972"/>
      <c r="P28" s="1972"/>
    </row>
    <row r="29" spans="1:19">
      <c r="A29" s="1226"/>
      <c r="B29" s="26" t="s">
        <v>1140</v>
      </c>
      <c r="C29" s="1228" t="s">
        <v>1142</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5">
        <f>SUM(G28:G29)</f>
        <v>0</v>
      </c>
      <c r="H30" s="1972"/>
      <c r="I30" s="1972"/>
      <c r="J30" s="1972"/>
      <c r="K30" s="1972"/>
      <c r="L30" s="1972"/>
      <c r="M30" s="1972"/>
      <c r="N30" s="1972"/>
      <c r="O30" s="1972"/>
      <c r="P30" s="1972"/>
    </row>
    <row r="31" spans="1:19" ht="15.75" thickBot="1">
      <c r="A31" s="1230"/>
      <c r="B31" s="45"/>
      <c r="C31" s="562" t="s">
        <v>1143</v>
      </c>
      <c r="D31" s="4017">
        <f>D27+D30</f>
        <v>7720.15</v>
      </c>
      <c r="E31" s="4017">
        <f>E27+E30</f>
        <v>24968.190000000002</v>
      </c>
      <c r="F31" s="4018">
        <f>F27+F30</f>
        <v>10800.690000000002</v>
      </c>
      <c r="G31" s="4019">
        <f>G27+G30</f>
        <v>14167.5</v>
      </c>
      <c r="H31" s="1972"/>
      <c r="I31" s="1972"/>
      <c r="J31" s="1972"/>
      <c r="K31" s="1972"/>
      <c r="L31" s="1972"/>
      <c r="M31" s="1972"/>
      <c r="N31" s="1972"/>
      <c r="O31" s="1972"/>
      <c r="P31" s="1972"/>
    </row>
    <row r="32" spans="1:19">
      <c r="A32" s="1203"/>
      <c r="B32" s="1203" t="s">
        <v>1144</v>
      </c>
      <c r="C32" s="1203"/>
      <c r="D32" s="3844"/>
      <c r="E32" s="3844">
        <f>SUMIF(C19:C26,"*住宅*",E19:E26)</f>
        <v>10800.690000000002</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46043</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3934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3630</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3276</v>
      </c>
      <c r="D6" s="3474">
        <f>SUMIF(项目基本情况!C$12:I$12,C6,项目基本情况!C$14:I$14)</f>
        <v>70</v>
      </c>
      <c r="E6" s="575">
        <f>IF(B6="","",SUMIF(项目基本情况!C$12:I$12,C6,项目基本情况!C$13:I$13))</f>
        <v>71169</v>
      </c>
      <c r="F6" s="3476">
        <f>SUMIF(项目基本情况!C$12:I$12,C6,项目基本情况!C$15:I$15)</f>
        <v>68.83</v>
      </c>
      <c r="G6" s="3477">
        <f t="shared" ref="G6:G13" si="0">IF(ISERROR(ROUND(POWER(1+H6,D6-F6)*(POWER(1+H6,F6)-1)/(POWER(1+H6,D6)-1),4)),0,ROUND(POWER(1+H6,D6-F6)*(POWER(1+H6,F6)-1)/(POWER(1+H6,D6)-1),4))</f>
        <v>0.998</v>
      </c>
      <c r="H6" s="3478">
        <v>0.05</v>
      </c>
      <c r="I6" s="3478">
        <v>5.5E-2</v>
      </c>
      <c r="J6" s="3479">
        <v>7.0000000000000007E-2</v>
      </c>
      <c r="K6" s="4026">
        <f>SUMIF('数据-汇总表'!C$19:C$33,A6,'数据-汇总表'!E$19:E$33)</f>
        <v>10800.690000000002</v>
      </c>
      <c r="L6" s="4027">
        <v>10000</v>
      </c>
      <c r="M6" s="4028">
        <f t="shared" ref="M6:M14" si="1">ROUND(K6*L6/10000,0)</f>
        <v>10801</v>
      </c>
      <c r="N6" s="3466">
        <v>0.55000000000000004</v>
      </c>
      <c r="O6" s="4028">
        <f>IF($N$5="成新度","——",ROUND(M6*N6,0))</f>
        <v>5941</v>
      </c>
      <c r="P6" s="3854">
        <f>IF($N$5="成新度","——",M6-O6)</f>
        <v>4860</v>
      </c>
      <c r="Q6" s="3467">
        <v>0.1</v>
      </c>
      <c r="R6" s="4042">
        <f ca="1">SUMIF('数据-汇总表'!C$19:C$33,A6,'数据-汇总表'!R$19:R$27)</f>
        <v>3339.57</v>
      </c>
      <c r="S6" s="4006">
        <f>IF('数据-汇总表'!$I$17="按面积比例",SUMIF('数据-汇总表'!C$19:C$33,A6,'数据-汇总表'!K$19:K$33),SUMIF('数据-汇总表'!C$19:C$33,A6,'数据-汇总表'!N$19:N$33))</f>
        <v>0</v>
      </c>
      <c r="T6" s="4043">
        <f>ROUND($L$14*S6/10000,0)</f>
        <v>0</v>
      </c>
      <c r="U6" s="4047"/>
      <c r="V6" s="36"/>
      <c r="W6" s="36"/>
      <c r="X6" s="712"/>
      <c r="Y6" s="37"/>
      <c r="Z6" s="4052"/>
      <c r="AA6" s="35"/>
      <c r="AB6" s="35"/>
      <c r="AC6" s="712"/>
      <c r="AD6" s="38"/>
      <c r="AE6" s="713">
        <f ca="1">IF(AN6="",0,SUMIF(INDIRECT("'"&amp;AN6&amp;"'"&amp;"!E:E"),$AE$5,INDIRECT("'"&amp;AN6&amp;"'"&amp;"!F:F")))</f>
        <v>0</v>
      </c>
      <c r="AF6" s="4054"/>
      <c r="AG6" s="52">
        <f>IF(AF6="",0,AE6-AF6)</f>
        <v>0</v>
      </c>
      <c r="AH6" s="4047"/>
      <c r="AI6" s="4055"/>
      <c r="AJ6" s="4054"/>
      <c r="AK6" s="39"/>
      <c r="AL6" s="40"/>
      <c r="AM6" s="41"/>
      <c r="AN6" s="1261"/>
      <c r="AO6" s="4006" t="e">
        <f ca="1">SUMIF(INDIRECT("'"&amp;AN6&amp;"'"&amp;"!A:A"),"总价",INDIRECT("'"&amp;AN6&amp;"'"&amp;"!B:B"))</f>
        <v>#REF!</v>
      </c>
      <c r="AP6" s="4006">
        <f>IF(C6="住宅",K6*L6,0)</f>
        <v>108006900.00000003</v>
      </c>
      <c r="AQ6" s="4006">
        <f>ROUND($L$14*$N$14*S6/10000,0)</f>
        <v>0</v>
      </c>
      <c r="AR6" s="4006">
        <f>ROUND($L$14*(1-$N$14)*S6/10000,0)</f>
        <v>0</v>
      </c>
      <c r="AS6" s="4006">
        <f>ROUND(1-1/(1+H6)^F6,3)</f>
        <v>0.96499999999999997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地下仓储</v>
      </c>
      <c r="B7" s="1259" t="str">
        <f t="shared" ref="B7:B13" si="2">IF(A7=0,"","经营性")</f>
        <v>经营性</v>
      </c>
      <c r="C7" s="1260" t="s">
        <v>3225</v>
      </c>
      <c r="D7" s="3474">
        <f>SUMIF(项目基本情况!C$12:I$12,C7,项目基本情况!C$14:I$14)</f>
        <v>50</v>
      </c>
      <c r="E7" s="575">
        <f>IF(B7="","",SUMIF(项目基本情况!C$12:I$12,C7,项目基本情况!C$13:I$13))</f>
        <v>63864</v>
      </c>
      <c r="F7" s="3476">
        <f>SUMIF(项目基本情况!C$12:I$12,C7,项目基本情况!C$15:I$15)</f>
        <v>48.82</v>
      </c>
      <c r="G7" s="3477">
        <f t="shared" si="0"/>
        <v>0.99429999999999996</v>
      </c>
      <c r="H7" s="3478">
        <v>0.05</v>
      </c>
      <c r="I7" s="3478">
        <v>5.5E-2</v>
      </c>
      <c r="J7" s="3479">
        <v>7.0000000000000007E-2</v>
      </c>
      <c r="K7" s="4026">
        <f>SUMIF('数据-汇总表'!C$19:C$33,A7,'数据-汇总表'!E$19:E$33)</f>
        <v>4951.4299999999994</v>
      </c>
      <c r="L7" s="4027">
        <v>5500</v>
      </c>
      <c r="M7" s="4028">
        <f t="shared" si="1"/>
        <v>2723</v>
      </c>
      <c r="N7" s="3466">
        <v>0.55000000000000004</v>
      </c>
      <c r="O7" s="4028">
        <f t="shared" ref="O7:O14" si="3">IF($N$5="成新度","——",ROUND(M7*N7,0))</f>
        <v>1498</v>
      </c>
      <c r="P7" s="3854">
        <f t="shared" ref="P7:P14" si="4">IF($N$5="成新度","——",M7-O7)</f>
        <v>1225</v>
      </c>
      <c r="Q7" s="3467">
        <v>0.05</v>
      </c>
      <c r="R7" s="4042">
        <f ca="1">SUMIF('数据-汇总表'!C$19:C$33,A7,'数据-汇总表'!R$19:R$27)</f>
        <v>1530.98</v>
      </c>
      <c r="S7" s="4006">
        <f>IF('数据-汇总表'!$I$17="按面积比例",SUMIF('数据-汇总表'!C$19:C$33,A7,'数据-汇总表'!K$19:K$33),SUMIF('数据-汇总表'!C$19:C$33,A7,'数据-汇总表'!N$19:N$33))</f>
        <v>0</v>
      </c>
      <c r="T7" s="4043">
        <f t="shared" ref="T7:T13" si="5">ROUND($L$14*S7/10000,0)</f>
        <v>0</v>
      </c>
      <c r="U7" s="4047">
        <v>3</v>
      </c>
      <c r="V7" s="36">
        <v>0.02</v>
      </c>
      <c r="W7" s="36">
        <v>0.1</v>
      </c>
      <c r="X7" s="712"/>
      <c r="Y7" s="37">
        <v>1</v>
      </c>
      <c r="Z7" s="4052"/>
      <c r="AA7" s="35"/>
      <c r="AB7" s="35"/>
      <c r="AC7" s="712"/>
      <c r="AD7" s="38"/>
      <c r="AE7" s="713">
        <f t="shared" ref="AE7:AE13" ca="1" si="6">IF(AN7="",0,SUMIF(INDIRECT("'"&amp;AN7&amp;"'"&amp;"!E:E"),$AE$5,INDIRECT("'"&amp;AN7&amp;"'"&amp;"!F:F")))</f>
        <v>47.92</v>
      </c>
      <c r="AF7" s="4054"/>
      <c r="AG7" s="52">
        <f t="shared" ref="AG7:AG13" si="7">IF(AF7="",0,AE7-AF7)</f>
        <v>0</v>
      </c>
      <c r="AH7" s="4047"/>
      <c r="AI7" s="4055">
        <v>365</v>
      </c>
      <c r="AJ7" s="4054"/>
      <c r="AK7" s="39">
        <v>2E-3</v>
      </c>
      <c r="AL7" s="40">
        <v>1E-3</v>
      </c>
      <c r="AM7" s="41">
        <v>0.01</v>
      </c>
      <c r="AN7" s="1261" t="s">
        <v>3937</v>
      </c>
      <c r="AO7" s="4006">
        <f t="shared" ref="AO7:AO13" ca="1" si="8">SUMIF(INDIRECT("'"&amp;AN7&amp;"'"&amp;"!A:A"),"总价",INDIRECT("'"&amp;AN7&amp;"'"&amp;"!B:B"))</f>
        <v>8404</v>
      </c>
      <c r="AP7" s="4006">
        <f t="shared" ref="AP7:AP13" si="9">IF(C7="住宅",K7*L7,0)</f>
        <v>0</v>
      </c>
      <c r="AQ7" s="4006">
        <f t="shared" ref="AQ7:AQ13" si="10">ROUND($L$14*$N$14*S7/10000,0)</f>
        <v>0</v>
      </c>
      <c r="AR7" s="4006">
        <f t="shared" ref="AR7:AR13" si="11">ROUND($L$14*(1-$N$14)*S7/10000,0)</f>
        <v>0</v>
      </c>
      <c r="AS7" s="4006">
        <f t="shared" ref="AS7:AS13" si="12">ROUND(1-1/(1+H7)^F7,3)</f>
        <v>0.90800000000000003</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t="str">
        <f>'数据-汇总表'!C21</f>
        <v>地下车库</v>
      </c>
      <c r="B8" s="1259" t="str">
        <f t="shared" si="2"/>
        <v>经营性</v>
      </c>
      <c r="C8" s="1260" t="s">
        <v>3224</v>
      </c>
      <c r="D8" s="3474">
        <f>SUMIF(项目基本情况!C$12:I$12,C8,项目基本情况!C$14:I$14)</f>
        <v>50</v>
      </c>
      <c r="E8" s="575">
        <f>IF(B8="","",SUMIF(项目基本情况!C$12:I$12,C8,项目基本情况!C$13:I$13))</f>
        <v>63864</v>
      </c>
      <c r="F8" s="3476">
        <f>SUMIF(项目基本情况!C$12:I$12,C8,项目基本情况!C$15:I$15)</f>
        <v>48.82</v>
      </c>
      <c r="G8" s="3477">
        <f t="shared" si="0"/>
        <v>0.99429999999999996</v>
      </c>
      <c r="H8" s="3478">
        <v>0.05</v>
      </c>
      <c r="I8" s="3478">
        <v>5.5E-2</v>
      </c>
      <c r="J8" s="3479">
        <v>7.0000000000000007E-2</v>
      </c>
      <c r="K8" s="4026">
        <f>SUMIF('数据-汇总表'!C$19:C$33,A8,'数据-汇总表'!E$19:E$33)</f>
        <v>9216.07</v>
      </c>
      <c r="L8" s="4027">
        <v>5500</v>
      </c>
      <c r="M8" s="4028">
        <f>ROUND(K8*L8/10000,0)</f>
        <v>5069</v>
      </c>
      <c r="N8" s="3466">
        <v>0.55000000000000004</v>
      </c>
      <c r="O8" s="4028">
        <f t="shared" si="3"/>
        <v>2788</v>
      </c>
      <c r="P8" s="3854">
        <f t="shared" si="4"/>
        <v>2281</v>
      </c>
      <c r="Q8" s="3467">
        <v>0.05</v>
      </c>
      <c r="R8" s="4042">
        <f ca="1">SUMIF('数据-汇总表'!C$19:C$33,A8,'数据-汇总表'!R$19:R$27)</f>
        <v>2849.6</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f>面积!Y281</f>
        <v>280</v>
      </c>
      <c r="AI8" s="4055"/>
      <c r="AJ8" s="4054"/>
      <c r="AK8" s="510"/>
      <c r="AL8" s="511"/>
      <c r="AM8" s="512"/>
      <c r="AN8" s="1261"/>
      <c r="AO8" s="4006" t="e">
        <f t="shared" ca="1" si="8"/>
        <v>#REF!</v>
      </c>
      <c r="AP8" s="4006">
        <f t="shared" si="9"/>
        <v>0</v>
      </c>
      <c r="AQ8" s="4006">
        <f t="shared" si="10"/>
        <v>0</v>
      </c>
      <c r="AR8" s="4006">
        <f t="shared" si="11"/>
        <v>0</v>
      </c>
      <c r="AS8" s="4006">
        <f t="shared" si="12"/>
        <v>0.90800000000000003</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6">
        <f>SUMIF('数据-汇总表'!C$19:C$33,A9,'数据-汇总表'!E$19:E$33)</f>
        <v>0</v>
      </c>
      <c r="L9" s="4027"/>
      <c r="M9" s="4028">
        <f t="shared" si="1"/>
        <v>0</v>
      </c>
      <c r="N9" s="3466"/>
      <c r="O9" s="4028">
        <f t="shared" si="3"/>
        <v>0</v>
      </c>
      <c r="P9" s="3854">
        <f t="shared" si="4"/>
        <v>0</v>
      </c>
      <c r="Q9" s="3468"/>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6">
        <f>SUMIF('数据-汇总表'!C$19:C$33,A10,'数据-汇总表'!E$19:E$33)</f>
        <v>0</v>
      </c>
      <c r="L10" s="4027"/>
      <c r="M10" s="4028">
        <f t="shared" si="1"/>
        <v>0</v>
      </c>
      <c r="N10" s="3466"/>
      <c r="O10" s="4028">
        <f t="shared" si="3"/>
        <v>0</v>
      </c>
      <c r="P10" s="3854">
        <f t="shared" si="4"/>
        <v>0</v>
      </c>
      <c r="Q10" s="3468"/>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6">
        <f>SUMIF('数据-汇总表'!C$19:C$33,A11,'数据-汇总表'!E$19:E$33)</f>
        <v>0</v>
      </c>
      <c r="L11" s="4029"/>
      <c r="M11" s="4028">
        <f t="shared" si="1"/>
        <v>0</v>
      </c>
      <c r="N11" s="3466"/>
      <c r="O11" s="4028">
        <f t="shared" si="3"/>
        <v>0</v>
      </c>
      <c r="P11" s="3854">
        <f t="shared" si="4"/>
        <v>0</v>
      </c>
      <c r="Q11" s="3468"/>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6">
        <f>SUMIF('数据-汇总表'!C$19:C$33,A12,'数据-汇总表'!E$19:E$33)</f>
        <v>0</v>
      </c>
      <c r="L12" s="4029"/>
      <c r="M12" s="4028">
        <f>ROUND(K12*L12/10000,0)</f>
        <v>0</v>
      </c>
      <c r="N12" s="3466"/>
      <c r="O12" s="4028">
        <f t="shared" si="3"/>
        <v>0</v>
      </c>
      <c r="P12" s="3854">
        <f t="shared" si="4"/>
        <v>0</v>
      </c>
      <c r="Q12" s="3468"/>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6">
        <f>SUMIF('数据-汇总表'!C$19:C$33,A13,'数据-汇总表'!E$19:E$33)</f>
        <v>0</v>
      </c>
      <c r="L13" s="4029"/>
      <c r="M13" s="4028">
        <f>ROUND(K13*L13/10000,0)</f>
        <v>0</v>
      </c>
      <c r="N13" s="3469"/>
      <c r="O13" s="4028">
        <f t="shared" si="3"/>
        <v>0</v>
      </c>
      <c r="P13" s="3854">
        <f t="shared" si="4"/>
        <v>0</v>
      </c>
      <c r="Q13" s="3468"/>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6">
        <f>SUMIF('数据-汇总表'!C$19:C$33,A14,'数据-汇总表'!E$19:E$33)</f>
        <v>0</v>
      </c>
      <c r="L14" s="4029"/>
      <c r="M14" s="4028">
        <f t="shared" si="1"/>
        <v>0</v>
      </c>
      <c r="N14" s="3469"/>
      <c r="O14" s="4028">
        <f t="shared" si="3"/>
        <v>0</v>
      </c>
      <c r="P14" s="3854">
        <f t="shared" si="4"/>
        <v>0</v>
      </c>
      <c r="Q14" s="3470"/>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6">
        <f>SUMIF('数据-汇总表'!C$19:C$33,A15,'数据-汇总表'!E$19:E$33)</f>
        <v>0</v>
      </c>
      <c r="L15" s="4028"/>
      <c r="M15" s="4028"/>
      <c r="N15" s="3471"/>
      <c r="O15" s="4028"/>
      <c r="P15" s="3854"/>
      <c r="Q15" s="3470"/>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f>ROUND(SUMPRODUCT(G6:G13,K6:K13)/SUMPRODUCT((G6:G13&gt;0)*(K6:K13)),4)</f>
        <v>0.99590000000000001</v>
      </c>
      <c r="H16" s="3483">
        <f>ROUND(SUMPRODUCT(H6:H13,K6:K13)/SUMPRODUCT((H6:H13&gt;0)*(K6:K13)),3)</f>
        <v>0.05</v>
      </c>
      <c r="I16" s="3484"/>
      <c r="J16" s="3484"/>
      <c r="K16" s="4030">
        <f>SUM(K6:K15)</f>
        <v>24968.190000000002</v>
      </c>
      <c r="L16" s="4031">
        <f>ROUND(M16*10000/SUM(K6:K14),0)</f>
        <v>7447</v>
      </c>
      <c r="M16" s="4031">
        <f>SUM(M6:M14)</f>
        <v>18593</v>
      </c>
      <c r="N16" s="3472">
        <f>ROUND(SUMPRODUCT(M6:M14,N6:N14)/M16,3)</f>
        <v>0.55000000000000004</v>
      </c>
      <c r="O16" s="4031">
        <f>SUM(O6:O14)</f>
        <v>10227</v>
      </c>
      <c r="P16" s="4031">
        <f>SUM(P6:P14)</f>
        <v>8366</v>
      </c>
      <c r="Q16" s="3473">
        <f>ROUND(SUMPRODUCT(Q6:Q13,K6:K13)/SUMPRODUCT((Q6:Q13&gt;0)*(K6:K13)),2)</f>
        <v>7.0000000000000007E-2</v>
      </c>
      <c r="R16" s="4044">
        <f ca="1">SUM(R6:R13)</f>
        <v>7720.15</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3"/>
      <c r="AP16" s="3503"/>
      <c r="AQ16" s="3503"/>
      <c r="AR16" s="3503"/>
      <c r="AS16" s="4006">
        <f>ROUND(SUMPRODUCT(AS6:AS13,K6:K13)/SUMPRODUCT((AS6:AS13&gt;0)*(K6:K13)),3)</f>
        <v>0.93300000000000005</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7" t="s">
        <v>1196</v>
      </c>
      <c r="B19" s="4032">
        <v>0</v>
      </c>
      <c r="C19" s="2091" t="s">
        <v>2200</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3">
        <v>2</v>
      </c>
      <c r="C20" s="2092" t="s">
        <v>2199</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3">
        <f>ROUNDDOWN(B20*N16,1)</f>
        <v>1.1000000000000001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4">
        <f>B19+B20</f>
        <v>2</v>
      </c>
      <c r="C22" s="1972"/>
      <c r="D22" s="1985"/>
      <c r="E22" s="1972"/>
      <c r="F22" s="1972"/>
      <c r="G22" s="1972"/>
      <c r="H22" s="1972"/>
      <c r="I22" s="1972">
        <v>11000</v>
      </c>
      <c r="J22" s="1972">
        <v>0.09</v>
      </c>
      <c r="K22" s="1983">
        <f>I22/(1+J22)</f>
        <v>10091.743119266055</v>
      </c>
      <c r="L22" s="1983">
        <f>L6-L7</f>
        <v>4500</v>
      </c>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4">
        <f>B19+B21</f>
        <v>1.1000000000000001</v>
      </c>
      <c r="C23" s="1972"/>
      <c r="D23" s="1985"/>
      <c r="E23" s="1972"/>
      <c r="F23" s="1972"/>
      <c r="G23" s="1972"/>
      <c r="H23" s="1972"/>
      <c r="I23" s="1972">
        <v>6000</v>
      </c>
      <c r="J23" s="1972">
        <v>0.09</v>
      </c>
      <c r="K23" s="1983">
        <f>I23/(1+J23)</f>
        <v>5504.5871559633024</v>
      </c>
      <c r="L23" s="1983">
        <f>L6-L22</f>
        <v>5500</v>
      </c>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5">
        <f>B20-B21</f>
        <v>0.89999999999999991</v>
      </c>
      <c r="C24" s="1972"/>
      <c r="D24" s="1985"/>
      <c r="E24" s="1972"/>
      <c r="F24" s="1972"/>
      <c r="G24" s="1972"/>
      <c r="H24" s="1972"/>
      <c r="I24" s="1972">
        <v>6000</v>
      </c>
      <c r="J24" s="1972">
        <v>0.09</v>
      </c>
      <c r="K24" s="1983">
        <f>I24/(1+J24)</f>
        <v>5504.5871559633024</v>
      </c>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6">
        <v>160</v>
      </c>
      <c r="C27" s="2093" t="s">
        <v>2202</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8">
        <v>0</v>
      </c>
      <c r="C29" s="2094" t="s">
        <v>2195</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39">
        <v>120</v>
      </c>
      <c r="C30" s="1989">
        <f>常用公式!R11</f>
        <v>126</v>
      </c>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4">
        <f>B30-B32</f>
        <v>100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0">
        <v>20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40">
        <v>2.5000000000000001E-2</v>
      </c>
      <c r="C33" s="4157" t="s">
        <v>4015</v>
      </c>
      <c r="D33" s="1985"/>
      <c r="E33" s="1972"/>
      <c r="F33" s="1972"/>
      <c r="G33" s="1972"/>
      <c r="H33" s="1972">
        <f>B33*L16</f>
        <v>186.17500000000001</v>
      </c>
      <c r="I33" s="1972"/>
      <c r="J33" s="1972"/>
      <c r="K33" s="1983"/>
      <c r="L33" s="1983">
        <f>H33/L23</f>
        <v>3.3850000000000005E-2</v>
      </c>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0.03</v>
      </c>
      <c r="C34" s="2095" t="s">
        <v>4016</v>
      </c>
      <c r="D34" s="1993"/>
      <c r="E34" s="1991"/>
      <c r="F34" s="1972"/>
      <c r="G34" s="1972"/>
      <c r="H34" s="4155" t="s">
        <v>4012</v>
      </c>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7">
        <v>360</v>
      </c>
      <c r="C35" s="3836" t="s">
        <v>4017</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8" t="s">
        <v>3297</v>
      </c>
      <c r="B36" s="3485">
        <v>1.2999999999999999E-2</v>
      </c>
      <c r="C36" s="3836" t="s">
        <v>4018</v>
      </c>
      <c r="D36" s="1988"/>
      <c r="E36" s="1973"/>
      <c r="F36" s="1973"/>
      <c r="G36" s="1972"/>
      <c r="H36" s="1972">
        <f>B36*L16</f>
        <v>96.810999999999993</v>
      </c>
      <c r="I36" s="1972"/>
      <c r="J36" s="1972"/>
      <c r="K36" s="1983"/>
      <c r="L36" s="1983">
        <f>H36/L23</f>
        <v>1.7602E-2</v>
      </c>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79" t="s">
        <v>3298</v>
      </c>
      <c r="B37" s="3486">
        <v>1.6E-2</v>
      </c>
      <c r="C37" s="3836" t="s">
        <v>4019</v>
      </c>
      <c r="D37" s="1985"/>
      <c r="E37" s="1972"/>
      <c r="F37" s="1972"/>
      <c r="G37" s="1972"/>
      <c r="H37" s="1972">
        <f>B37*L16</f>
        <v>119.152</v>
      </c>
      <c r="I37" s="1972"/>
      <c r="J37" s="1972"/>
      <c r="K37" s="1983"/>
      <c r="L37" s="1983">
        <f>H37/L23</f>
        <v>2.1663999999999999E-2</v>
      </c>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0.02</v>
      </c>
      <c r="C38" s="2095" t="s">
        <v>3272</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3273</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2208</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0" t="s">
        <v>3290</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3274</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2196</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2197</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v>0</v>
      </c>
      <c r="C48" s="2097" t="s">
        <v>2203</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2196</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2198</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3</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t="s">
        <v>301</v>
      </c>
      <c r="C54" s="1973" t="s">
        <v>1229</v>
      </c>
      <c r="D54" s="2096" t="s">
        <v>2201</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5">
        <v>30</v>
      </c>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5">
        <v>24</v>
      </c>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5">
        <v>18</v>
      </c>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5">
        <v>12</v>
      </c>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5">
        <v>3</v>
      </c>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5">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52" t="s">
        <v>2187</v>
      </c>
      <c r="B1" s="4253"/>
      <c r="C1" s="4253"/>
      <c r="D1" s="4253"/>
      <c r="E1" s="4253"/>
      <c r="F1" s="4253"/>
      <c r="G1" s="4253"/>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20" sqref="H2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24968.190000000002</v>
      </c>
      <c r="C1" s="1995"/>
      <c r="D1" s="1995"/>
      <c r="E1" s="1995"/>
      <c r="F1" s="1995"/>
      <c r="G1" s="1996"/>
      <c r="H1" s="1996"/>
      <c r="I1" s="1996"/>
      <c r="J1" s="1996"/>
      <c r="K1" s="1996"/>
    </row>
    <row r="2" spans="1:11" ht="16.5">
      <c r="A2" s="1884" t="s">
        <v>641</v>
      </c>
      <c r="B2" s="1884">
        <f>SUM(C14:C23)</f>
        <v>7720.15</v>
      </c>
      <c r="C2" s="1995"/>
      <c r="D2" s="1995"/>
      <c r="E2" s="1995"/>
      <c r="F2" s="1995"/>
      <c r="G2" s="1996"/>
      <c r="H2" s="1996"/>
      <c r="I2" s="1996"/>
      <c r="J2" s="1996"/>
      <c r="K2" s="1996"/>
    </row>
    <row r="3" spans="1:11" ht="16.5">
      <c r="A3" s="1884" t="s">
        <v>650</v>
      </c>
      <c r="B3" s="1886">
        <f>项目基本情况!D3</f>
        <v>46043</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114945</v>
      </c>
      <c r="C5" s="1884">
        <f ca="1">ROUND(B5*10000/$B$1,0)</f>
        <v>46037</v>
      </c>
      <c r="D5" s="1884">
        <f ca="1">ROUND(B5*10000/$B$2,0)</f>
        <v>148890</v>
      </c>
      <c r="E5" s="1995"/>
      <c r="F5" s="1996"/>
      <c r="G5" s="1996"/>
      <c r="H5" s="1996"/>
      <c r="I5" s="1996"/>
      <c r="J5" s="1996"/>
      <c r="K5" s="1996"/>
    </row>
    <row r="6" spans="1:11" ht="16.5">
      <c r="A6" s="1884" t="s">
        <v>644</v>
      </c>
      <c r="B6" s="1884">
        <f ca="1">SUM(G14:G23)</f>
        <v>114945</v>
      </c>
      <c r="C6" s="1884">
        <f ca="1">ROUND(B6*10000/$B$1,0)</f>
        <v>46037</v>
      </c>
      <c r="D6" s="1884">
        <f ca="1">ROUND(B6*10000/$B$2,0)</f>
        <v>148890</v>
      </c>
      <c r="E6" s="1995"/>
      <c r="F6" s="1996"/>
      <c r="G6" s="1996"/>
      <c r="H6" s="1996"/>
      <c r="I6" s="1996"/>
      <c r="J6" s="1996"/>
      <c r="K6" s="1996"/>
    </row>
    <row r="7" spans="1:11" ht="16.5">
      <c r="A7" s="1884" t="s">
        <v>652</v>
      </c>
      <c r="B7" s="1884">
        <f>SUM(H14:H23)</f>
        <v>0</v>
      </c>
      <c r="C7" s="1884" t="str">
        <f>IF(B7=H14,结果表!H110,ROUND(B7*10000/$B$1,0))</f>
        <v>——</v>
      </c>
      <c r="D7" s="1884">
        <f>ROUND(B7*10000/$B$2,0)</f>
        <v>0</v>
      </c>
      <c r="E7" s="1995"/>
      <c r="F7" s="1996"/>
      <c r="G7" s="1996"/>
      <c r="H7" s="1996"/>
      <c r="I7" s="1996"/>
      <c r="J7" s="1996"/>
      <c r="K7" s="1996"/>
    </row>
    <row r="8" spans="1:11" ht="16.5">
      <c r="A8" s="1884" t="s">
        <v>581</v>
      </c>
      <c r="B8" s="1884">
        <f>SUM(I14:I23)</f>
        <v>0</v>
      </c>
      <c r="C8" s="1884" t="str">
        <f>IF(B8=I14,结果表!H112,ROUND(B8*10000/$B$1,0))</f>
        <v>——</v>
      </c>
      <c r="D8" s="1884">
        <f>ROUND(B8*10000/$B$2,0)</f>
        <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3245</v>
      </c>
      <c r="D10" s="1884" t="s">
        <v>3246</v>
      </c>
      <c r="E10" s="3842"/>
      <c r="F10" s="2569" t="s">
        <v>3247</v>
      </c>
      <c r="G10" s="3843"/>
      <c r="H10" s="1996"/>
      <c r="I10" s="1996"/>
      <c r="J10" s="1996"/>
      <c r="K10" s="1996"/>
    </row>
    <row r="11" spans="1:11" ht="16.5">
      <c r="A11" s="1884" t="s">
        <v>658</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39">
        <f>'数据-汇总表'!E3</f>
        <v>24968.190000000002</v>
      </c>
      <c r="C14" s="3839">
        <f>'数据-汇总表'!D3</f>
        <v>7720.15</v>
      </c>
      <c r="D14" s="3839">
        <f ca="1">结果表!H101</f>
        <v>114945</v>
      </c>
      <c r="E14" s="3839">
        <f ca="1">ROUND(D14*10000/B14,0)</f>
        <v>46037</v>
      </c>
      <c r="F14" s="3839">
        <f ca="1">ROUND(D14*10000/C14,0)</f>
        <v>148890</v>
      </c>
      <c r="G14" s="3839">
        <f ca="1">D14</f>
        <v>114945</v>
      </c>
      <c r="H14" s="3839"/>
      <c r="I14" s="3839"/>
      <c r="J14" s="1996"/>
      <c r="K14" s="1996"/>
    </row>
    <row r="15" spans="1:11" ht="16.5">
      <c r="A15" s="1889" t="s">
        <v>637</v>
      </c>
      <c r="B15" s="3840"/>
      <c r="C15" s="3840"/>
      <c r="D15" s="3840"/>
      <c r="E15" s="3839" t="e">
        <f t="shared" ref="E15:E23" si="0">ROUND(D15*10000/B15,0)</f>
        <v>#DIV/0!</v>
      </c>
      <c r="F15" s="3839" t="e">
        <f t="shared" ref="F15:F23" si="1">ROUND(D15*10000/C15,0)</f>
        <v>#DIV/0!</v>
      </c>
      <c r="G15" s="3841"/>
      <c r="H15" s="3841"/>
      <c r="I15" s="3840"/>
      <c r="J15" s="1996"/>
      <c r="K15" s="1996"/>
    </row>
    <row r="16" spans="1:11" ht="16.5">
      <c r="A16" s="1889" t="s">
        <v>636</v>
      </c>
      <c r="B16" s="3840"/>
      <c r="C16" s="3840"/>
      <c r="D16" s="3840"/>
      <c r="E16" s="3839" t="e">
        <f t="shared" si="0"/>
        <v>#DIV/0!</v>
      </c>
      <c r="F16" s="3839" t="e">
        <f t="shared" si="1"/>
        <v>#DIV/0!</v>
      </c>
      <c r="G16" s="3841"/>
      <c r="H16" s="3841"/>
      <c r="I16" s="3840"/>
      <c r="J16" s="1996"/>
      <c r="K16" s="1996"/>
    </row>
    <row r="17" spans="1:11" ht="16.5">
      <c r="A17" s="1889" t="s">
        <v>635</v>
      </c>
      <c r="B17" s="3840"/>
      <c r="C17" s="3840"/>
      <c r="D17" s="3840"/>
      <c r="E17" s="3839" t="e">
        <f t="shared" si="0"/>
        <v>#DIV/0!</v>
      </c>
      <c r="F17" s="3839" t="e">
        <f t="shared" si="1"/>
        <v>#DIV/0!</v>
      </c>
      <c r="G17" s="3841"/>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6" zoomScaleNormal="100" zoomScaleSheetLayoutView="100" zoomScalePageLayoutView="80" workbookViewId="0">
      <selection activeCell="E118" sqref="E118"/>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t="s">
        <v>4010</v>
      </c>
      <c r="H1" s="1289" t="str">
        <f>IF(G1="现房","——","估价对象范围")</f>
        <v>估价对象范围</v>
      </c>
      <c r="I1" s="1290" t="s">
        <v>4011</v>
      </c>
    </row>
    <row r="2" spans="1:12" ht="21.75" customHeight="1" thickBot="1">
      <c r="A2" s="4328" t="str">
        <f>项目基本情况!S2</f>
        <v>北京市出让国有建设用地使用权及在建建筑物房地产</v>
      </c>
      <c r="B2" s="4329"/>
      <c r="C2" s="4329"/>
      <c r="D2" s="4329"/>
      <c r="E2" s="4329"/>
      <c r="F2" s="4329"/>
      <c r="G2" s="4329"/>
      <c r="H2" s="4329"/>
      <c r="I2" s="4330"/>
    </row>
    <row r="3" spans="1:12" ht="12.75">
      <c r="A3" s="4332" t="s">
        <v>1247</v>
      </c>
      <c r="B3" s="4333"/>
      <c r="C3" s="4333"/>
      <c r="D3" s="4333"/>
      <c r="E3" s="4333"/>
      <c r="F3" s="4333"/>
      <c r="G3" s="4333"/>
      <c r="H3" s="4333"/>
      <c r="I3" s="4333"/>
    </row>
    <row r="4" spans="1:12" ht="14.25">
      <c r="A4" s="1292" t="s">
        <v>1248</v>
      </c>
      <c r="B4" s="1293" t="s">
        <v>1249</v>
      </c>
      <c r="C4" s="3756" t="s">
        <v>3989</v>
      </c>
      <c r="D4" s="3756" t="s">
        <v>3990</v>
      </c>
      <c r="E4" s="4337" t="s">
        <v>1250</v>
      </c>
      <c r="F4" s="4338"/>
      <c r="G4" s="4338"/>
      <c r="H4" s="4338"/>
      <c r="I4" s="4339"/>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71" t="s">
        <v>1251</v>
      </c>
      <c r="B5" s="4331">
        <v>25</v>
      </c>
      <c r="C5" s="4334"/>
      <c r="D5" s="4322"/>
      <c r="E5" s="49" t="s">
        <v>1252</v>
      </c>
      <c r="F5" s="1294"/>
      <c r="G5" s="1294"/>
      <c r="H5" s="1294"/>
      <c r="I5" s="961"/>
    </row>
    <row r="6" spans="1:12" ht="12.75">
      <c r="A6" s="4271"/>
      <c r="B6" s="4331"/>
      <c r="C6" s="4336"/>
      <c r="D6" s="4322"/>
      <c r="E6" s="49" t="s">
        <v>1253</v>
      </c>
      <c r="F6" s="1294"/>
      <c r="G6" s="1294"/>
      <c r="H6" s="1294"/>
      <c r="I6" s="961"/>
    </row>
    <row r="7" spans="1:12" ht="12.75">
      <c r="A7" s="4271"/>
      <c r="B7" s="4331"/>
      <c r="C7" s="4335"/>
      <c r="D7" s="4322"/>
      <c r="E7" s="49" t="s">
        <v>1254</v>
      </c>
      <c r="F7" s="1294"/>
      <c r="G7" s="1294"/>
      <c r="H7" s="1294"/>
      <c r="I7" s="961"/>
    </row>
    <row r="8" spans="1:12" ht="12.75">
      <c r="A8" s="4271" t="s">
        <v>1255</v>
      </c>
      <c r="B8" s="4331">
        <v>15</v>
      </c>
      <c r="C8" s="4334"/>
      <c r="D8" s="4322"/>
      <c r="E8" s="49" t="s">
        <v>1256</v>
      </c>
      <c r="F8" s="1294"/>
      <c r="G8" s="1294"/>
      <c r="H8" s="1294"/>
      <c r="I8" s="961"/>
    </row>
    <row r="9" spans="1:12" ht="12.75">
      <c r="A9" s="4271"/>
      <c r="B9" s="4331"/>
      <c r="C9" s="4335"/>
      <c r="D9" s="4322"/>
      <c r="E9" s="49" t="s">
        <v>1257</v>
      </c>
      <c r="F9" s="1294"/>
      <c r="G9" s="1294"/>
      <c r="H9" s="1294"/>
      <c r="I9" s="961"/>
    </row>
    <row r="10" spans="1:12" ht="12.75">
      <c r="A10" s="4271" t="s">
        <v>1258</v>
      </c>
      <c r="B10" s="4331">
        <v>15</v>
      </c>
      <c r="C10" s="4334"/>
      <c r="D10" s="4322"/>
      <c r="E10" s="49" t="s">
        <v>1259</v>
      </c>
      <c r="F10" s="1294"/>
      <c r="G10" s="1294"/>
      <c r="H10" s="1294"/>
      <c r="I10" s="961"/>
    </row>
    <row r="11" spans="1:12" ht="12.75">
      <c r="A11" s="4271"/>
      <c r="B11" s="4331"/>
      <c r="C11" s="4335"/>
      <c r="D11" s="4322"/>
      <c r="E11" s="49" t="s">
        <v>1260</v>
      </c>
      <c r="F11" s="1294"/>
      <c r="G11" s="1294"/>
      <c r="H11" s="1294"/>
      <c r="I11" s="961"/>
    </row>
    <row r="12" spans="1:12" ht="12.75">
      <c r="A12" s="4271" t="s">
        <v>1261</v>
      </c>
      <c r="B12" s="4331">
        <v>15</v>
      </c>
      <c r="C12" s="4334"/>
      <c r="D12" s="4322"/>
      <c r="E12" s="49" t="s">
        <v>1262</v>
      </c>
      <c r="F12" s="1294"/>
      <c r="G12" s="1294"/>
      <c r="H12" s="1294"/>
      <c r="I12" s="961"/>
    </row>
    <row r="13" spans="1:12" ht="12.75">
      <c r="A13" s="4271"/>
      <c r="B13" s="4331"/>
      <c r="C13" s="4335"/>
      <c r="D13" s="4322"/>
      <c r="E13" s="49" t="s">
        <v>1263</v>
      </c>
      <c r="F13" s="1294"/>
      <c r="G13" s="1294"/>
      <c r="H13" s="1294"/>
      <c r="I13" s="961"/>
    </row>
    <row r="14" spans="1:12" ht="12.75">
      <c r="A14" s="4271" t="s">
        <v>1264</v>
      </c>
      <c r="B14" s="4331">
        <v>30</v>
      </c>
      <c r="C14" s="4334">
        <v>5</v>
      </c>
      <c r="D14" s="4322">
        <v>5</v>
      </c>
      <c r="E14" s="49" t="s">
        <v>1265</v>
      </c>
      <c r="F14" s="1294"/>
      <c r="G14" s="1294"/>
      <c r="H14" s="1294"/>
      <c r="I14" s="961"/>
    </row>
    <row r="15" spans="1:12" ht="12.75">
      <c r="A15" s="4271"/>
      <c r="B15" s="4331"/>
      <c r="C15" s="4336"/>
      <c r="D15" s="4322"/>
      <c r="E15" s="49" t="s">
        <v>1266</v>
      </c>
      <c r="F15" s="1294"/>
      <c r="G15" s="1294"/>
      <c r="H15" s="1294"/>
      <c r="I15" s="961"/>
    </row>
    <row r="16" spans="1:12" ht="12.75">
      <c r="A16" s="4271"/>
      <c r="B16" s="4331"/>
      <c r="C16" s="4335"/>
      <c r="D16" s="4322"/>
      <c r="E16" s="49" t="s">
        <v>1267</v>
      </c>
      <c r="F16" s="1294"/>
      <c r="G16" s="1294"/>
      <c r="H16" s="1294"/>
      <c r="I16" s="961"/>
    </row>
    <row r="17" spans="1:36" ht="15">
      <c r="A17" s="1295" t="s">
        <v>1268</v>
      </c>
      <c r="B17" s="3755"/>
      <c r="C17" s="3844">
        <f>SUM(C5:C16)</f>
        <v>5</v>
      </c>
      <c r="D17" s="3844">
        <f>SUM(D5:D16)</f>
        <v>5</v>
      </c>
      <c r="E17" s="47"/>
      <c r="F17" s="47"/>
      <c r="G17" s="47"/>
      <c r="H17" s="47"/>
      <c r="I17" s="47"/>
      <c r="K17" s="187"/>
      <c r="L17" s="187" t="s">
        <v>1269</v>
      </c>
      <c r="M17" s="187" t="s">
        <v>1270</v>
      </c>
    </row>
    <row r="18" spans="1:36" ht="31.9" customHeight="1" thickBot="1">
      <c r="A18" s="1296" t="s">
        <v>1271</v>
      </c>
      <c r="B18" s="1219"/>
      <c r="C18" s="3845">
        <f>ROUND(C17/SUM(C17:D17),2)</f>
        <v>0.5</v>
      </c>
      <c r="D18" s="3845">
        <f>1-C18</f>
        <v>0.5</v>
      </c>
      <c r="E18" s="4345" t="s">
        <v>2041</v>
      </c>
      <c r="F18" s="4346"/>
      <c r="G18" s="4346"/>
      <c r="H18" s="4346"/>
      <c r="I18" s="4346"/>
      <c r="K18" s="187" t="s">
        <v>1272</v>
      </c>
      <c r="L18" s="2768">
        <f>IF(C1="",'数据-汇总表'!E3,SUMIF(项目类型,C1,'数据-汇总表'!E17:E26)+SUMIF(项目类型,C1,'数据-汇总表'!I17:I26))</f>
        <v>24968.190000000002</v>
      </c>
      <c r="M18" s="2768">
        <f>IF(C1="",'数据-汇总表'!E3,SUMIF(项目类型,C1,'数据-汇总表'!E17:E26))</f>
        <v>24968.190000000002</v>
      </c>
    </row>
    <row r="19" spans="1:36" ht="15">
      <c r="A19" s="1297" t="s">
        <v>1273</v>
      </c>
      <c r="B19" s="1298" t="s">
        <v>1274</v>
      </c>
      <c r="C19" s="3846">
        <f ca="1">SUMIF(INDIRECT("'"&amp;C4&amp;"'"&amp;"!A:A"),结果表!B19,INDIRECT("'"&amp;C4&amp;"'"&amp;"!B:B"))</f>
        <v>118555</v>
      </c>
      <c r="D19" s="3847">
        <f ca="1">SUMIF(INDIRECT("'"&amp;D4&amp;"'"&amp;"!A:A"),结果表!B19,INDIRECT("'"&amp;D4&amp;"'"&amp;"!B:B"))</f>
        <v>111334</v>
      </c>
      <c r="E19" s="1297" t="s">
        <v>1275</v>
      </c>
      <c r="F19" s="1298" t="s">
        <v>1274</v>
      </c>
      <c r="G19" s="3853">
        <f ca="1">ROUND(C19*$C$18+D19*$D$18,0)</f>
        <v>114945</v>
      </c>
      <c r="H19" s="1299" t="s">
        <v>1276</v>
      </c>
      <c r="I19" s="47">
        <f ca="1">ROUND(C19*$C$18+D19*$D$18,4)</f>
        <v>114944.5</v>
      </c>
      <c r="J19" s="503">
        <f ca="1">I19/假设开发法!M6</f>
        <v>0.82181874079476069</v>
      </c>
      <c r="K19" s="187" t="s">
        <v>1277</v>
      </c>
      <c r="L19" s="2768">
        <f>IF(C1="",'数据-汇总表'!D3,SUMIF(项目类型,C1,'数据-汇总表'!D17:D26)+SUMIF(项目类型,C1,'数据-汇总表'!H17:H27))</f>
        <v>7720.15</v>
      </c>
      <c r="M19" s="2768">
        <f>IF(C1="",'数据-汇总表'!D3,SUMIF(项目类型,C1,'数据-汇总表'!D17:D26))</f>
        <v>7720.15</v>
      </c>
    </row>
    <row r="20" spans="1:36" ht="15">
      <c r="A20" s="1300"/>
      <c r="B20" s="25" t="s">
        <v>1278</v>
      </c>
      <c r="C20" s="3848">
        <f ca="1">SUMIF(INDIRECT("'"&amp;C4&amp;"'"&amp;"!A:A"),结果表!B20,INDIRECT("'"&amp;C4&amp;"'"&amp;"!B:B"))</f>
        <v>47482</v>
      </c>
      <c r="D20" s="3849">
        <f ca="1">SUMIF(INDIRECT("'"&amp;D4&amp;"'"&amp;"!A:A"),结果表!B20,INDIRECT("'"&amp;D4&amp;"'"&amp;"!B:B"))</f>
        <v>44590</v>
      </c>
      <c r="E20" s="1300"/>
      <c r="F20" s="25" t="s">
        <v>1278</v>
      </c>
      <c r="G20" s="3854">
        <f ca="1">ROUND(C20*$C$18+D20*$D$18,0)</f>
        <v>46036</v>
      </c>
      <c r="H20" s="555" t="s">
        <v>1279</v>
      </c>
      <c r="I20" s="47"/>
    </row>
    <row r="21" spans="1:36" ht="15" customHeight="1" thickBot="1">
      <c r="A21" s="313"/>
      <c r="B21" s="3572" t="s">
        <v>3651</v>
      </c>
      <c r="C21" s="3850">
        <f ca="1">SUMIF(INDIRECT("'"&amp;C4&amp;"'"&amp;"!A:A"),结果表!B21,INDIRECT("'"&amp;C4&amp;"'"&amp;"!B:B"))</f>
        <v>0</v>
      </c>
      <c r="D21" s="3851">
        <f ca="1">SUMIF(INDIRECT("'"&amp;D4&amp;"'"&amp;"!A:A"),结果表!B21,INDIRECT("'"&amp;D4&amp;"'"&amp;"!B:B"))</f>
        <v>144212</v>
      </c>
      <c r="E21" s="1300"/>
      <c r="F21" s="26" t="s">
        <v>1280</v>
      </c>
      <c r="G21" s="3854">
        <f ca="1">ROUND(C21*$C$18+D21*$D$18,0)</f>
        <v>72106</v>
      </c>
      <c r="H21" s="555" t="s">
        <v>1279</v>
      </c>
      <c r="I21" s="47"/>
    </row>
    <row r="22" spans="1:36" ht="15" thickBot="1">
      <c r="A22" s="1237" t="s">
        <v>1281</v>
      </c>
      <c r="B22" s="1301"/>
      <c r="C22" s="2678"/>
      <c r="D22" s="3852">
        <f ca="1">IF(C19&lt;D19,D19/C19-1,C19/D19-1)</f>
        <v>6.4858893060520506E-2</v>
      </c>
      <c r="E22" s="3563"/>
      <c r="F22" s="3565"/>
      <c r="G22" s="3855">
        <f ca="1">ROUND(G19/('数据-汇总表'!D3/666.67),0)</f>
        <v>9926</v>
      </c>
      <c r="H22" s="3564" t="s">
        <v>3649</v>
      </c>
      <c r="I22" s="47"/>
    </row>
    <row r="23" spans="1:36" ht="13.5" thickBot="1">
      <c r="A23" s="475"/>
      <c r="B23" s="475"/>
      <c r="C23" s="475"/>
      <c r="D23" s="475"/>
      <c r="E23" s="47"/>
      <c r="F23" s="47"/>
      <c r="G23" s="47"/>
      <c r="H23" s="47"/>
      <c r="I23" s="47"/>
    </row>
    <row r="24" spans="1:36" ht="14.25">
      <c r="A24" s="4365" t="s">
        <v>1282</v>
      </c>
      <c r="B24" s="1298" t="s">
        <v>1274</v>
      </c>
      <c r="C24" s="3853">
        <f>IF(B30=0,0,D30)</f>
        <v>0</v>
      </c>
      <c r="D24" s="3856"/>
      <c r="E24" s="47"/>
      <c r="F24" s="47"/>
      <c r="G24" s="47"/>
      <c r="H24" s="47"/>
      <c r="I24" s="47"/>
    </row>
    <row r="25" spans="1:36" ht="14.25">
      <c r="A25" s="4366"/>
      <c r="B25" s="3573" t="s">
        <v>3652</v>
      </c>
      <c r="C25" s="3857">
        <f>IF(B30=0,0,C30)</f>
        <v>0</v>
      </c>
      <c r="D25" s="3858"/>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1287</v>
      </c>
      <c r="B30" s="3859"/>
      <c r="C30" s="3859"/>
      <c r="D30" s="3859"/>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1">
        <f ca="1">IF(D32="总价",G19-C24,G20-C25)</f>
        <v>114945</v>
      </c>
      <c r="D32" s="1304" t="s">
        <v>3991</v>
      </c>
      <c r="E32" s="47"/>
      <c r="F32" s="47"/>
      <c r="G32" s="47"/>
      <c r="H32" s="47"/>
      <c r="I32" s="47"/>
    </row>
    <row r="33" spans="1:19" ht="15">
      <c r="A33" s="544" t="s">
        <v>1289</v>
      </c>
      <c r="B33" s="49"/>
      <c r="C33" s="1305" t="s">
        <v>3992</v>
      </c>
      <c r="D33" s="1306" t="s">
        <v>3989</v>
      </c>
      <c r="E33" s="1307" t="s">
        <v>1290</v>
      </c>
      <c r="F33" s="1308" t="str">
        <f>IF(D32="楼面单价","取值（单价）","取值（总价）")</f>
        <v>取值（总价）</v>
      </c>
      <c r="G33" s="47"/>
      <c r="H33" s="47"/>
      <c r="I33" s="47"/>
    </row>
    <row r="34" spans="1:19" ht="15">
      <c r="A34" s="1309"/>
      <c r="B34" s="1310" t="s">
        <v>1291</v>
      </c>
      <c r="C34" s="3862">
        <f ca="1">IF(C33="自定义",F34,C32-C35)</f>
        <v>100922</v>
      </c>
      <c r="D34" s="3863">
        <f ca="1">IF(C33="自定义",ROUND(C34/C32,3),IF(C33="收益比率",SUMIF(INDIRECT("'"&amp;D33&amp;"'"&amp;"!b:b"),"土地收益比率",INDIRECT("'"&amp;D33&amp;"'"&amp;"!c:c")),SUMIF(INDIRECT("'"&amp;D33&amp;"'"&amp;"!b:b"),"土地成本比率",INDIRECT("'"&amp;D33&amp;"'"&amp;"!c:c"))))</f>
        <v>0.878</v>
      </c>
      <c r="E34" s="1311" t="s">
        <v>1292</v>
      </c>
      <c r="F34" s="3865"/>
      <c r="G34" s="47"/>
      <c r="H34" s="47"/>
      <c r="I34" s="47"/>
    </row>
    <row r="35" spans="1:19" ht="15.75" thickBot="1">
      <c r="A35" s="1312"/>
      <c r="B35" s="1313" t="s">
        <v>1293</v>
      </c>
      <c r="C35" s="3864">
        <f ca="1">IF(C33="自定义",F35,ROUND(C32*D35,0))</f>
        <v>14023</v>
      </c>
      <c r="D35" s="3851">
        <f ca="1">IF(C33="自定义",ROUND(C35/C32,3),IF(C33="收益比率",SUMIF(INDIRECT("'"&amp;D33&amp;"'"&amp;"!b:b"),"建筑物收益比率",INDIRECT("'"&amp;D33&amp;"'"&amp;"!c:c")),SUMIF(INDIRECT("'"&amp;D33&amp;"'"&amp;"!b:b"),"建筑物成本比率",INDIRECT("'"&amp;D33&amp;"'"&amp;"!c:c"))))</f>
        <v>0.122</v>
      </c>
      <c r="E35" s="1314" t="s">
        <v>1294</v>
      </c>
      <c r="F35" s="3866"/>
      <c r="G35" s="47"/>
      <c r="H35" s="47"/>
      <c r="I35" s="47"/>
    </row>
    <row r="36" spans="1:19" ht="15.75" thickBot="1">
      <c r="A36" s="4323" t="s">
        <v>1295</v>
      </c>
      <c r="B36" s="1315" t="s">
        <v>1296</v>
      </c>
      <c r="C36" s="3867"/>
      <c r="D36" s="1316" t="s">
        <v>4006</v>
      </c>
      <c r="E36" s="1240"/>
      <c r="F36" s="1317"/>
      <c r="G36" s="47"/>
      <c r="H36" s="47"/>
      <c r="I36" s="47"/>
    </row>
    <row r="37" spans="1:19" ht="15.75" thickBot="1">
      <c r="A37" s="4324"/>
      <c r="B37" s="1228" t="s">
        <v>1297</v>
      </c>
      <c r="C37" s="3868"/>
      <c r="D37" s="796"/>
      <c r="E37" s="796"/>
      <c r="F37" s="1317"/>
      <c r="G37" s="47"/>
      <c r="H37" s="47"/>
      <c r="I37" s="47"/>
    </row>
    <row r="38" spans="1:19" ht="15.75" thickBot="1">
      <c r="A38" s="4325"/>
      <c r="B38" s="1318" t="s">
        <v>1298</v>
      </c>
      <c r="C38" s="3869"/>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0"/>
      <c r="C40" s="3871"/>
      <c r="D40" s="3871"/>
      <c r="E40" s="3865"/>
      <c r="F40" s="1317"/>
      <c r="G40" s="47"/>
      <c r="H40" s="47"/>
      <c r="I40" s="47"/>
    </row>
    <row r="41" spans="1:19" ht="14.25">
      <c r="A41" s="1323" t="s">
        <v>1306</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62" t="s">
        <v>1309</v>
      </c>
      <c r="B45" s="4363"/>
      <c r="C45" s="4364"/>
      <c r="D45" s="56">
        <f ca="1">ROUND(H101*F45,0)</f>
        <v>114945</v>
      </c>
      <c r="E45" s="57" t="s">
        <v>1310</v>
      </c>
      <c r="F45" s="58">
        <v>1</v>
      </c>
      <c r="G45" s="59" t="s">
        <v>1311</v>
      </c>
      <c r="H45" s="47"/>
      <c r="I45" s="47"/>
      <c r="J45" s="4256" t="s">
        <v>1312</v>
      </c>
      <c r="K45" s="4256"/>
      <c r="L45" s="4256"/>
      <c r="M45" s="4256"/>
      <c r="N45" s="4256"/>
      <c r="O45" s="4256"/>
    </row>
    <row r="46" spans="1:19" ht="14.25" customHeight="1">
      <c r="A46" s="4359" t="s">
        <v>1313</v>
      </c>
      <c r="B46" s="4360"/>
      <c r="C46" s="4360"/>
      <c r="D46" s="4360"/>
      <c r="E46" s="4360"/>
      <c r="F46" s="4360"/>
      <c r="G46" s="4361"/>
      <c r="H46" s="1331"/>
      <c r="I46" s="60"/>
      <c r="J46" s="1892">
        <v>1</v>
      </c>
      <c r="K46" s="4257" t="s">
        <v>1314</v>
      </c>
      <c r="L46" s="4257"/>
      <c r="M46" s="4258"/>
      <c r="N46" s="4258"/>
      <c r="O46" s="4258"/>
    </row>
    <row r="47" spans="1:19" ht="12" customHeight="1">
      <c r="A47" s="61" t="s">
        <v>1315</v>
      </c>
      <c r="B47" s="62"/>
      <c r="C47" s="63"/>
      <c r="D47" s="756" t="s">
        <v>1316</v>
      </c>
      <c r="E47" s="187" t="s">
        <v>1317</v>
      </c>
      <c r="F47" s="64" t="s">
        <v>1318</v>
      </c>
      <c r="G47" s="1907" t="s">
        <v>1319</v>
      </c>
      <c r="H47" s="1908"/>
      <c r="I47" s="60"/>
      <c r="J47" s="1892">
        <v>2</v>
      </c>
      <c r="K47" s="4257" t="s">
        <v>1320</v>
      </c>
      <c r="L47" s="4257"/>
      <c r="M47" s="4259">
        <f>'数据-取费表'!B2</f>
        <v>46043</v>
      </c>
      <c r="N47" s="4259"/>
      <c r="O47" s="4259"/>
    </row>
    <row r="48" spans="1:19" ht="25.5">
      <c r="A48" s="4326" t="s">
        <v>1321</v>
      </c>
      <c r="B48" s="4327"/>
      <c r="C48" s="4327"/>
      <c r="D48" s="3874">
        <f ca="1">ROUND(IF(H48="情况1",0,IF(H48="情况2",D52,IF(H48="情况3",D53,IF(H48="情况4",D54))))*(1+'数据-取费表'!B44),0)</f>
        <v>10630</v>
      </c>
      <c r="E48" s="936" t="str">
        <f>IF(H48="情况4","(销售额-原购置价)×税（费）率","销售额×税（费）率")</f>
        <v>销售额×税（费）率</v>
      </c>
      <c r="F48" s="3748">
        <f>IF(H48="情况1","免征",'数据-取费表'!B42)</f>
        <v>0</v>
      </c>
      <c r="G48" s="1909" t="s">
        <v>1322</v>
      </c>
      <c r="H48" s="1910" t="s">
        <v>4007</v>
      </c>
      <c r="I48" s="1331"/>
      <c r="J48" s="1892">
        <v>3</v>
      </c>
      <c r="K48" s="4257" t="s">
        <v>1323</v>
      </c>
      <c r="L48" s="4257"/>
      <c r="M48" s="4260">
        <f ca="1">H101</f>
        <v>114945</v>
      </c>
      <c r="N48" s="4260"/>
      <c r="O48" s="4260"/>
      <c r="R48" s="3589" t="s">
        <v>3666</v>
      </c>
      <c r="S48" s="3590"/>
    </row>
    <row r="49" spans="1:35" ht="25.5" customHeight="1">
      <c r="A49" s="3749" t="s">
        <v>1324</v>
      </c>
      <c r="B49" s="4309" t="s">
        <v>1325</v>
      </c>
      <c r="C49" s="4309"/>
      <c r="D49" s="3875">
        <v>0</v>
      </c>
      <c r="E49" s="208" t="s">
        <v>1326</v>
      </c>
      <c r="F49" s="3743" t="s">
        <v>26</v>
      </c>
      <c r="G49" s="4292"/>
      <c r="H49" s="3584" t="s">
        <v>2044</v>
      </c>
      <c r="I49" s="3585"/>
      <c r="J49" s="1892">
        <v>4</v>
      </c>
      <c r="K49" s="4257" t="str">
        <f>IF(项目基本情况!E8="房地产抵押价值","房地产抵押价值","抵押担保权已注销时的房地产抵押价值")</f>
        <v>房地产抵押价值</v>
      </c>
      <c r="L49" s="4257"/>
      <c r="M49" s="4260">
        <f ca="1">IF(项目基本情况!E8="房地产抵押价值",H107,H109)</f>
        <v>114945</v>
      </c>
      <c r="N49" s="4260"/>
      <c r="O49" s="4260"/>
      <c r="R49" s="3591" t="s">
        <v>3667</v>
      </c>
      <c r="S49" s="3589" t="s">
        <v>3668</v>
      </c>
    </row>
    <row r="50" spans="1:35" ht="25.5" customHeight="1">
      <c r="A50" s="3750"/>
      <c r="B50" s="4309" t="s">
        <v>1327</v>
      </c>
      <c r="C50" s="4309"/>
      <c r="D50" s="3876"/>
      <c r="E50" s="215"/>
      <c r="F50" s="3743"/>
      <c r="G50" s="4293"/>
      <c r="H50" s="1339" t="s">
        <v>2045</v>
      </c>
      <c r="I50" s="3585"/>
      <c r="J50" s="4256" t="s">
        <v>1328</v>
      </c>
      <c r="K50" s="4256"/>
      <c r="L50" s="4256"/>
      <c r="M50" s="4256"/>
      <c r="N50" s="4256"/>
      <c r="O50" s="4256"/>
      <c r="R50" s="3591" t="s">
        <v>3669</v>
      </c>
      <c r="S50" s="3589" t="s">
        <v>3670</v>
      </c>
    </row>
    <row r="51" spans="1:35" ht="20.45" customHeight="1">
      <c r="A51" s="3751"/>
      <c r="B51" s="4309" t="s">
        <v>1329</v>
      </c>
      <c r="C51" s="4309"/>
      <c r="D51" s="741"/>
      <c r="E51" s="211"/>
      <c r="F51" s="3743"/>
      <c r="G51" s="4294"/>
      <c r="H51" s="1339" t="s">
        <v>2046</v>
      </c>
      <c r="I51" s="3585"/>
      <c r="J51" s="1893" t="s">
        <v>1330</v>
      </c>
      <c r="K51" s="4257" t="s">
        <v>1331</v>
      </c>
      <c r="L51" s="4257"/>
      <c r="M51" s="1893" t="s">
        <v>1332</v>
      </c>
      <c r="N51" s="1893" t="s">
        <v>1333</v>
      </c>
      <c r="O51" s="1893" t="s">
        <v>1334</v>
      </c>
      <c r="R51" s="3591" t="s">
        <v>3671</v>
      </c>
      <c r="S51" s="3590" t="s">
        <v>3672</v>
      </c>
    </row>
    <row r="52" spans="1:35" ht="24" customHeight="1">
      <c r="A52" s="1744" t="s">
        <v>1335</v>
      </c>
      <c r="B52" s="4309" t="s">
        <v>1336</v>
      </c>
      <c r="C52" s="4309"/>
      <c r="D52" s="741">
        <f ca="1">ROUND(D45*F52/(1+F52),0)</f>
        <v>3348</v>
      </c>
      <c r="E52" s="936" t="s">
        <v>1337</v>
      </c>
      <c r="F52" s="1911">
        <v>0.03</v>
      </c>
      <c r="G52" s="931" t="s">
        <v>3714</v>
      </c>
      <c r="H52" s="1905"/>
      <c r="I52" s="1332"/>
      <c r="J52" s="1892">
        <v>1</v>
      </c>
      <c r="K52" s="4287" t="s">
        <v>1338</v>
      </c>
      <c r="L52" s="4287"/>
      <c r="M52" s="3878">
        <f ca="1">D48</f>
        <v>10630</v>
      </c>
      <c r="N52" s="1892" t="str">
        <f>E48</f>
        <v>销售额×税（费）率</v>
      </c>
      <c r="O52" s="3779">
        <f>F48</f>
        <v>0</v>
      </c>
      <c r="R52" s="3589" t="s">
        <v>3673</v>
      </c>
      <c r="S52" s="3589" t="s">
        <v>3677</v>
      </c>
    </row>
    <row r="53" spans="1:35" ht="12" customHeight="1">
      <c r="A53" s="1744" t="s">
        <v>1339</v>
      </c>
      <c r="B53" s="4310" t="s">
        <v>2192</v>
      </c>
      <c r="C53" s="4311"/>
      <c r="D53" s="741">
        <f ca="1">IF(G53="2016年5月1日之前项目",ROUND(D45*F53/(1+F53),0),H63)</f>
        <v>9491</v>
      </c>
      <c r="E53" s="936" t="str">
        <f>IF(G53="2016年5月1日之前项目","全额计税","进销项计算")</f>
        <v>进销项计算</v>
      </c>
      <c r="F53" s="1911">
        <f>IF(G53="2016年5月1日之前项目",5%,9%)</f>
        <v>0.09</v>
      </c>
      <c r="G53" s="3837" t="s">
        <v>3966</v>
      </c>
      <c r="H53" s="1905"/>
      <c r="I53" s="1332"/>
      <c r="J53" s="1892">
        <v>2</v>
      </c>
      <c r="K53" s="4287" t="s">
        <v>1340</v>
      </c>
      <c r="L53" s="4287"/>
      <c r="M53" s="3878">
        <f t="shared" ref="M53:O54" ca="1" si="0">D55</f>
        <v>57</v>
      </c>
      <c r="N53" s="1892" t="str">
        <f t="shared" si="0"/>
        <v>销售额×税（费）率</v>
      </c>
      <c r="O53" s="3779">
        <f t="shared" si="0"/>
        <v>5.0000000000000001E-4</v>
      </c>
      <c r="R53" s="3589" t="s">
        <v>3674</v>
      </c>
      <c r="S53" s="3590" t="s">
        <v>3681</v>
      </c>
    </row>
    <row r="54" spans="1:35" ht="12" customHeight="1">
      <c r="A54" s="1744" t="s">
        <v>1341</v>
      </c>
      <c r="B54" s="4310" t="s">
        <v>2193</v>
      </c>
      <c r="C54" s="4311"/>
      <c r="D54" s="741">
        <f ca="1">IF(G54="2016年5月1日之前项目",C68,H63)</f>
        <v>9491</v>
      </c>
      <c r="E54" s="3763" t="str">
        <f>IF(G54="2016年5月1日之前项目","差额计税","进销项计算")</f>
        <v>进销项计算</v>
      </c>
      <c r="F54" s="1911">
        <f>IF(G54="2016年5月1日之前项目",5%,9%)</f>
        <v>0.09</v>
      </c>
      <c r="G54" s="3837" t="s">
        <v>3966</v>
      </c>
      <c r="H54" s="1913"/>
      <c r="I54" s="1332"/>
      <c r="J54" s="1892">
        <v>3</v>
      </c>
      <c r="K54" s="4287" t="s">
        <v>1342</v>
      </c>
      <c r="L54" s="4287"/>
      <c r="M54" s="3878">
        <f t="shared" ca="1" si="0"/>
        <v>37108</v>
      </c>
      <c r="N54" s="1892" t="str">
        <f t="shared" si="0"/>
        <v>增值额×税（费）率</v>
      </c>
      <c r="O54" s="3780" t="str">
        <f t="shared" si="0"/>
        <v>——</v>
      </c>
      <c r="P54" s="47"/>
      <c r="R54" s="3591" t="s">
        <v>3675</v>
      </c>
      <c r="S54" s="3590" t="s">
        <v>3678</v>
      </c>
    </row>
    <row r="55" spans="1:35" ht="24" customHeight="1">
      <c r="A55" s="4340" t="s">
        <v>1343</v>
      </c>
      <c r="B55" s="4327"/>
      <c r="C55" s="4327"/>
      <c r="D55" s="3874">
        <f ca="1">IF(H55="个人住宅",0,ROUND(D45*I55,0))</f>
        <v>57</v>
      </c>
      <c r="E55" s="936" t="s">
        <v>1344</v>
      </c>
      <c r="F55" s="1911">
        <f>IF(H55="正常",I55,"免征")</f>
        <v>5.0000000000000001E-4</v>
      </c>
      <c r="G55" s="1912"/>
      <c r="H55" s="1910" t="s">
        <v>3966</v>
      </c>
      <c r="I55" s="65">
        <f>'数据-取费表'!B50</f>
        <v>5.0000000000000001E-4</v>
      </c>
      <c r="J55" s="1892" t="str">
        <f>IF(H59="非个人房产","",4)</f>
        <v/>
      </c>
      <c r="K55" s="4287" t="str">
        <f>IF(H59="非个人房产","——","个人所得税")</f>
        <v>——</v>
      </c>
      <c r="L55" s="4287"/>
      <c r="M55" s="3879" t="str">
        <f>D59</f>
        <v>——</v>
      </c>
      <c r="N55" s="1515" t="str">
        <f>E59</f>
        <v>——</v>
      </c>
      <c r="O55" s="3781" t="str">
        <f>F59</f>
        <v>——</v>
      </c>
      <c r="R55" s="3591" t="s">
        <v>3676</v>
      </c>
      <c r="S55" s="3590" t="s">
        <v>3679</v>
      </c>
    </row>
    <row r="56" spans="1:35" ht="24.75">
      <c r="A56" s="4340" t="s">
        <v>1345</v>
      </c>
      <c r="B56" s="4327"/>
      <c r="C56" s="4327"/>
      <c r="D56" s="3874">
        <f ca="1">IF(H56="个人住宅",D57,IF(H56="正常",D58,ROUND(D45*F56,0)))</f>
        <v>37108</v>
      </c>
      <c r="E56" s="936" t="s">
        <v>1346</v>
      </c>
      <c r="F56" s="1911" t="str">
        <f>IF(H56="正常",F58,IF(H56="按预征率计算",5%,"免征"))</f>
        <v>——</v>
      </c>
      <c r="G56" s="1914" t="s">
        <v>1347</v>
      </c>
      <c r="H56" s="1915" t="s">
        <v>3966</v>
      </c>
      <c r="I56" s="1333"/>
      <c r="J56" s="1892" t="str">
        <f>IF(项目基本情况!K6="上海银行",IF(J55="",4,J55+1),"")</f>
        <v/>
      </c>
      <c r="K56" s="4263" t="str">
        <f>IF(项目基本情况!K6="上海银行","其他处置费用","")</f>
        <v/>
      </c>
      <c r="L56" s="4264"/>
      <c r="M56" s="3878" t="str">
        <f>IF(项目基本情况!K6="上海银行",M69,"")</f>
        <v/>
      </c>
      <c r="N56" s="4263" t="str">
        <f>IF(项目基本情况!K6="上海银行","包含处置中涉及的律师、诉讼、拍卖、评估等费用","")</f>
        <v/>
      </c>
      <c r="O56" s="4267"/>
      <c r="R56" s="3590"/>
      <c r="S56" s="3590" t="s">
        <v>3680</v>
      </c>
    </row>
    <row r="57" spans="1:35" ht="12.75">
      <c r="A57" s="1744" t="s">
        <v>1324</v>
      </c>
      <c r="B57" s="4310" t="s">
        <v>1348</v>
      </c>
      <c r="C57" s="4311"/>
      <c r="D57" s="3875">
        <v>0</v>
      </c>
      <c r="E57" s="208" t="s">
        <v>1326</v>
      </c>
      <c r="F57" s="187"/>
      <c r="G57" s="1912"/>
      <c r="H57" s="1916"/>
      <c r="I57" s="1333"/>
      <c r="J57" s="4287">
        <f>IF(AND(J55="",J56=""),4,IF(项目基本情况!K6="上海银行",结果表!J56+1,结果表!J55+1))</f>
        <v>4</v>
      </c>
      <c r="K57" s="4287" t="s">
        <v>1349</v>
      </c>
      <c r="L57" s="1894" t="s">
        <v>1350</v>
      </c>
      <c r="M57" s="1895"/>
      <c r="N57" s="3880">
        <f ca="1">SUMIF(M52:M56,"&lt;9e307")</f>
        <v>47795</v>
      </c>
      <c r="O57" s="1896"/>
      <c r="P57" s="1998">
        <f ca="1">N57/M49</f>
        <v>0.41580756013745707</v>
      </c>
      <c r="R57" s="4350" t="s">
        <v>3726</v>
      </c>
      <c r="S57" s="4351"/>
    </row>
    <row r="58" spans="1:35" ht="24.75">
      <c r="A58" s="1744" t="s">
        <v>1335</v>
      </c>
      <c r="B58" s="4310" t="s">
        <v>1351</v>
      </c>
      <c r="C58" s="4309"/>
      <c r="D58" s="3874">
        <f ca="1">IF(H58="转让取得",C81,C97)</f>
        <v>37108</v>
      </c>
      <c r="E58" s="936" t="s">
        <v>1346</v>
      </c>
      <c r="F58" s="187" t="s">
        <v>26</v>
      </c>
      <c r="G58" s="1912"/>
      <c r="H58" s="1915" t="s">
        <v>4008</v>
      </c>
      <c r="I58" s="1333"/>
      <c r="J58" s="4287"/>
      <c r="K58" s="4287"/>
      <c r="L58" s="1894" t="s">
        <v>1352</v>
      </c>
      <c r="M58" s="1897"/>
      <c r="N58" s="1898" t="str">
        <f ca="1">NUMBERSTRING(INT(N57*10000),2)&amp;"元整"</f>
        <v>肆亿柒仟柒佰玖拾伍万元整</v>
      </c>
      <c r="O58" s="1899"/>
      <c r="R58" s="4352"/>
      <c r="S58" s="4353"/>
    </row>
    <row r="59" spans="1:35" ht="24.75" thickBot="1">
      <c r="A59" s="4290" t="s">
        <v>1353</v>
      </c>
      <c r="B59" s="4291"/>
      <c r="C59" s="4291"/>
      <c r="D59" s="3877"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586" t="str">
        <f>IF(OR(H59="非个人房产",H59="个人住宅（满五唯一有凭证）"),"——",IF(H59="个人其他（有凭证）",20%,1%))</f>
        <v>——</v>
      </c>
      <c r="G59" s="1917" t="s">
        <v>1347</v>
      </c>
      <c r="H59" s="3587" t="s">
        <v>4009</v>
      </c>
      <c r="I59" s="3588" t="s">
        <v>2047</v>
      </c>
      <c r="J59" s="4288">
        <f>J57+1</f>
        <v>5</v>
      </c>
      <c r="K59" s="4287" t="s">
        <v>1354</v>
      </c>
      <c r="L59" s="1892" t="s">
        <v>1350</v>
      </c>
      <c r="M59" s="1900"/>
      <c r="N59" s="2679">
        <f ca="1">M49-N57</f>
        <v>67150</v>
      </c>
      <c r="O59" s="1901"/>
      <c r="R59" s="3589" t="s">
        <v>3682</v>
      </c>
      <c r="S59" s="3589" t="s">
        <v>3683</v>
      </c>
    </row>
    <row r="60" spans="1:35" ht="12" customHeight="1" thickBot="1">
      <c r="A60" s="1334"/>
      <c r="B60" s="475"/>
      <c r="C60" s="475"/>
      <c r="D60" s="475"/>
      <c r="E60" s="1147"/>
      <c r="F60" s="1333"/>
      <c r="G60" s="1333"/>
      <c r="H60" s="60"/>
      <c r="I60" s="47"/>
      <c r="J60" s="4289"/>
      <c r="K60" s="4287"/>
      <c r="L60" s="1894" t="s">
        <v>1352</v>
      </c>
      <c r="M60" s="1897"/>
      <c r="N60" s="1898" t="str">
        <f ca="1">NUMBERSTRING(INT(N59*10000),2)&amp;"元整"</f>
        <v>陆亿柒仟壹佰伍拾万元整</v>
      </c>
      <c r="O60" s="1899"/>
      <c r="R60" s="3589" t="s">
        <v>3684</v>
      </c>
      <c r="S60" s="3589" t="s">
        <v>3725</v>
      </c>
    </row>
    <row r="61" spans="1:35" ht="14.25" thickBot="1">
      <c r="A61" s="4357" t="s">
        <v>3723</v>
      </c>
      <c r="B61" s="4358"/>
      <c r="C61" s="4358"/>
      <c r="D61" s="4358"/>
      <c r="E61" s="3770"/>
      <c r="F61" s="4347" t="s">
        <v>3724</v>
      </c>
      <c r="G61" s="4348"/>
      <c r="H61" s="4348"/>
      <c r="I61" s="4349"/>
      <c r="J61" s="3752">
        <f>J59+1</f>
        <v>6</v>
      </c>
      <c r="K61" s="4287" t="s">
        <v>1355</v>
      </c>
      <c r="L61" s="4287"/>
      <c r="M61" s="1902"/>
      <c r="N61" s="2680">
        <f ca="1">ROUND(N59*10000/'数据-汇总表'!E3,0)</f>
        <v>26894</v>
      </c>
      <c r="O61" s="1903"/>
    </row>
    <row r="62" spans="1:35" ht="13.5" customHeight="1">
      <c r="A62" s="3777" t="s">
        <v>3737</v>
      </c>
      <c r="B62" s="3778" t="s">
        <v>3738</v>
      </c>
      <c r="C62" s="2465" t="s">
        <v>3736</v>
      </c>
      <c r="D62" s="3764" t="s">
        <v>3727</v>
      </c>
      <c r="E62" s="3771" t="s">
        <v>3729</v>
      </c>
      <c r="F62" s="3783" t="s">
        <v>3739</v>
      </c>
      <c r="G62" s="3784" t="s">
        <v>3718</v>
      </c>
      <c r="H62" s="3785" t="s">
        <v>3740</v>
      </c>
      <c r="I62" s="3786" t="s">
        <v>3720</v>
      </c>
    </row>
    <row r="63" spans="1:35" ht="12.75">
      <c r="A63" s="71" t="s">
        <v>328</v>
      </c>
      <c r="B63" s="3773" t="s">
        <v>3731</v>
      </c>
      <c r="C63" s="3881">
        <f ca="1">ROUND(C64+C65,0)</f>
        <v>114945</v>
      </c>
      <c r="D63" s="3765"/>
      <c r="E63" s="4354" t="s">
        <v>3728</v>
      </c>
      <c r="F63" s="1744">
        <v>1</v>
      </c>
      <c r="G63" s="2852" t="s">
        <v>3715</v>
      </c>
      <c r="H63" s="3349">
        <f ca="1">H64-H66</f>
        <v>9491</v>
      </c>
      <c r="I63" s="2784"/>
      <c r="J63" s="4265" t="s">
        <v>1359</v>
      </c>
      <c r="K63" s="925" t="s">
        <v>1360</v>
      </c>
      <c r="L63" s="3900">
        <f ca="1">IF(M49&gt;10000,M49*0.5%,IF(AND(M49&gt;1000,M49&lt;=10000),M49*1%,IF(AND(M49&gt;100,M49&lt;=1000),M49*3%,IF(AND(M49&gt;10,M49&lt;=100),M49*5%,M49*8%))))</f>
        <v>574.72500000000002</v>
      </c>
      <c r="M63" s="2768">
        <f ca="1">ROUND(L63,1)</f>
        <v>574.70000000000005</v>
      </c>
      <c r="N63" s="1904"/>
      <c r="Z63" s="1291"/>
      <c r="AI63" s="1234"/>
    </row>
    <row r="64" spans="1:35" ht="14.25" customHeight="1">
      <c r="A64" s="67" t="s">
        <v>323</v>
      </c>
      <c r="B64" s="3774" t="s">
        <v>3732</v>
      </c>
      <c r="C64" s="3754">
        <f ca="1">D45</f>
        <v>114945</v>
      </c>
      <c r="D64" s="3766"/>
      <c r="E64" s="4355"/>
      <c r="F64" s="1744">
        <v>2</v>
      </c>
      <c r="G64" s="2852" t="s">
        <v>3716</v>
      </c>
      <c r="H64" s="3349">
        <f ca="1">ROUND(H65*I64/(1+I64),0)</f>
        <v>9491</v>
      </c>
      <c r="I64" s="3787">
        <v>0.09</v>
      </c>
      <c r="J64" s="4265"/>
      <c r="K64" s="925" t="s">
        <v>1361</v>
      </c>
      <c r="L64" s="3900">
        <f ca="1">IF(M49&gt;2000,M49*0.5%,IF(AND(M49&gt;1000,M49&lt;=2000),M49*0.6%,IF(AND(M49&gt;500,M49&lt;=1000),M49*0.7%,IF(AND(M49&gt;200,M49&lt;=500),M49*0.8%,IF(AND(M49&gt;100,M49&lt;=200),M49*0.9%,IF(AND(M49&gt;50,M49&lt;=100),M49*1%,IF(AND(M49&gt;20,M49&lt;=50),M49*1.5%,IF(AND(M49&gt;10,M49&lt;=20),M49*2%,IF(AND(M49&gt;1,M49&lt;=10),M49*2.5%)))))))))</f>
        <v>574.72500000000002</v>
      </c>
      <c r="M64" s="2768">
        <f t="shared" ref="M64:M65" ca="1" si="1">ROUND(L64,1)</f>
        <v>574.70000000000005</v>
      </c>
      <c r="N64" s="1905" t="s">
        <v>1362</v>
      </c>
      <c r="Z64" s="1291"/>
      <c r="AI64" s="1234"/>
    </row>
    <row r="65" spans="1:35" ht="14.25" customHeight="1">
      <c r="A65" s="67" t="s">
        <v>324</v>
      </c>
      <c r="B65" s="3774" t="s">
        <v>3733</v>
      </c>
      <c r="C65" s="3882"/>
      <c r="D65" s="3767"/>
      <c r="E65" s="4355"/>
      <c r="F65" s="67" t="s">
        <v>323</v>
      </c>
      <c r="G65" s="3788" t="s">
        <v>3719</v>
      </c>
      <c r="H65" s="3349">
        <f ca="1">D45</f>
        <v>114945</v>
      </c>
      <c r="I65" s="2784"/>
      <c r="J65" s="4265"/>
      <c r="K65" s="925" t="s">
        <v>1363</v>
      </c>
      <c r="L65" s="3900">
        <f ca="1">IF(M49&gt;1000,M49*0.1%,IF(AND(M49&gt;500,M49&lt;=1000),M49*0.5%,IF(AND(M49&gt;50,M49&lt;=500),M49*1%,IF(AND(M49&gt;1,M49&lt;=50),M49*1.5%))))</f>
        <v>114.94500000000001</v>
      </c>
      <c r="M65" s="2768">
        <f t="shared" ca="1" si="1"/>
        <v>114.9</v>
      </c>
      <c r="N65" s="1905" t="s">
        <v>1362</v>
      </c>
      <c r="Z65" s="1291"/>
      <c r="AI65" s="1234"/>
    </row>
    <row r="66" spans="1:35" ht="14.25" customHeight="1">
      <c r="A66" s="71" t="s">
        <v>325</v>
      </c>
      <c r="B66" s="3775" t="s">
        <v>3734</v>
      </c>
      <c r="C66" s="3882"/>
      <c r="D66" s="3768"/>
      <c r="E66" s="4355"/>
      <c r="F66" s="2515">
        <v>3</v>
      </c>
      <c r="G66" s="2852" t="s">
        <v>3717</v>
      </c>
      <c r="H66" s="2768">
        <f>ROUND(H67*I67,0)+ROUND(H68*I68,0)</f>
        <v>0</v>
      </c>
      <c r="I66" s="2784"/>
      <c r="J66" s="4265"/>
      <c r="K66" s="925" t="s">
        <v>1364</v>
      </c>
      <c r="L66" s="3900">
        <f ca="1">M49*0.5%</f>
        <v>574.72500000000002</v>
      </c>
      <c r="M66" s="2768">
        <f ca="1">IF(L66&gt;0.5,0.5,ROUND(L66,0))</f>
        <v>0.5</v>
      </c>
      <c r="N66" s="1905" t="s">
        <v>1365</v>
      </c>
      <c r="Z66" s="1291"/>
      <c r="AI66" s="1234"/>
    </row>
    <row r="67" spans="1:35" ht="14.25" customHeight="1">
      <c r="A67" s="71" t="s">
        <v>326</v>
      </c>
      <c r="B67" s="3772" t="s">
        <v>3730</v>
      </c>
      <c r="C67" s="3754">
        <f ca="1">C63-C66</f>
        <v>114945</v>
      </c>
      <c r="D67" s="3767"/>
      <c r="E67" s="4355"/>
      <c r="F67" s="67" t="s">
        <v>323</v>
      </c>
      <c r="G67" s="3788" t="s">
        <v>3721</v>
      </c>
      <c r="H67" s="3871"/>
      <c r="I67" s="3787">
        <v>0.09</v>
      </c>
      <c r="J67" s="4265"/>
      <c r="K67" s="925" t="s">
        <v>1366</v>
      </c>
      <c r="L67" s="3900">
        <f ca="1">IF(M49&gt;=10000,(8.25+(M49-10000)*0.01%),IF(AND(M49&gt;=8000,M49&lt;10000),(7.85+(M49-8000)*0.02%),IF(AND(M49&gt;=5000,M49&lt;8000),(6.65+(M49-5000)*0.04%),IF(AND(M49&gt;=2000,M49&lt;5000),(4.25+(PM49-2000)*0.08%),IF(AND(M49&gt;=1000,M49&lt;2000),(2.75+(M49-1000)*0.15%),IF(AND(M49&gt;=100,M49&lt;1000),(0.5+(M49-100)*0.25%),IF(AND(M49&gt;0,M49&lt;100),M49*0.5%)))))))</f>
        <v>18.744500000000002</v>
      </c>
      <c r="M67" s="2768">
        <f ca="1">ROUND(L67*0.9,1)</f>
        <v>16.899999999999999</v>
      </c>
      <c r="N67" s="1904"/>
      <c r="Z67" s="1291"/>
      <c r="AI67" s="1234"/>
    </row>
    <row r="68" spans="1:35" ht="14.25" customHeight="1" thickBot="1">
      <c r="A68" s="73" t="s">
        <v>327</v>
      </c>
      <c r="B68" s="3776" t="s">
        <v>3735</v>
      </c>
      <c r="C68" s="3760">
        <f ca="1">IF(C67&lt;=0,0,ROUND(C67*D68,0))</f>
        <v>5747</v>
      </c>
      <c r="D68" s="3769">
        <v>0.05</v>
      </c>
      <c r="E68" s="4356"/>
      <c r="F68" s="3782" t="s">
        <v>324</v>
      </c>
      <c r="G68" s="3789" t="s">
        <v>3722</v>
      </c>
      <c r="H68" s="3873"/>
      <c r="I68" s="3790">
        <v>0.06</v>
      </c>
      <c r="J68" s="4265"/>
      <c r="K68" s="925" t="s">
        <v>1367</v>
      </c>
      <c r="L68" s="3900">
        <f ca="1">IF(M49&gt;10000,M49*0.5%,IF(AND(M49&gt;5000,M49&lt;=10000),M49*1%,IF(AND(M49&gt;1000,M49&lt;=5000),M49*2%,IF(AND(M49&gt;200,M49&lt;=1000),M49*3%,M49*5%))))</f>
        <v>574.72500000000002</v>
      </c>
      <c r="M68" s="2768">
        <f ca="1">ROUND(L68,1)</f>
        <v>574.70000000000005</v>
      </c>
      <c r="N68" s="1904"/>
      <c r="Z68" s="1291"/>
      <c r="AI68" s="1234"/>
    </row>
    <row r="69" spans="1:35" ht="16.5" customHeight="1">
      <c r="A69" s="1335"/>
      <c r="B69" s="1336"/>
      <c r="C69" s="1337"/>
      <c r="D69" s="1338"/>
      <c r="E69" s="1339"/>
      <c r="F69" s="1147"/>
      <c r="G69" s="1147"/>
      <c r="H69" s="1148"/>
      <c r="I69" s="475"/>
      <c r="J69" s="4266"/>
      <c r="K69" s="925" t="s">
        <v>1368</v>
      </c>
      <c r="L69" s="3900"/>
      <c r="M69" s="2768">
        <f ca="1">ROUND(SUM(M63:M68),0)</f>
        <v>1856</v>
      </c>
      <c r="N69" s="1906">
        <f ca="1">M69/M49</f>
        <v>1.6146852842663883E-2</v>
      </c>
      <c r="Z69" s="1291"/>
      <c r="AI69" s="1234"/>
    </row>
    <row r="70" spans="1:35" s="474" customFormat="1" ht="15" thickBot="1">
      <c r="A70" s="4313" t="s">
        <v>1369</v>
      </c>
      <c r="B70" s="4314"/>
      <c r="C70" s="4314"/>
      <c r="D70" s="4314"/>
      <c r="E70" s="4314"/>
      <c r="F70" s="4314"/>
      <c r="G70" s="4314"/>
      <c r="H70" s="4314"/>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5" t="s">
        <v>1356</v>
      </c>
      <c r="B71" s="4306"/>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3">
        <f ca="1">ROUND(D45/(1+D72),0)</f>
        <v>105454</v>
      </c>
      <c r="D72" s="3753">
        <v>0.09</v>
      </c>
      <c r="E72" s="8" t="s">
        <v>3713</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3">
        <f ca="1">C74+C78</f>
        <v>12654</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3713</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2"/>
      <c r="D75" s="3754" t="s">
        <v>24</v>
      </c>
      <c r="E75" s="80" t="s">
        <v>1374</v>
      </c>
      <c r="F75" s="1919"/>
      <c r="G75" s="80" t="s">
        <v>1375</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10" t="s">
        <v>1377</v>
      </c>
      <c r="F76" s="4309"/>
      <c r="G76" s="4309"/>
      <c r="H76" s="4312"/>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12654</v>
      </c>
      <c r="D78" s="3759">
        <f>'数据-取费表'!B44</f>
        <v>0.12000000000000001</v>
      </c>
      <c r="E78" s="4302" t="s">
        <v>1381</v>
      </c>
      <c r="F78" s="4303"/>
      <c r="G78" s="4303"/>
      <c r="H78" s="430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3">
        <f ca="1">C72-C73</f>
        <v>92800</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3">
        <f ca="1">IF(C79&lt;=0,0,C79/C73)</f>
        <v>7.3336494389125972</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4">
        <f ca="1">ROUND(IF(C79&lt;=0,0,IF(C80&gt;=200%,C79*60%-C73*35%,IF(C80&gt;=100%,C79*50%-C73*15%,IF(C80&gt;=50%,C79*40%-C73*5%,IF(C80&lt;50%,C79*30%,0))))),0)</f>
        <v>51251</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3" t="s">
        <v>1385</v>
      </c>
      <c r="B83" s="4314"/>
      <c r="C83" s="4314"/>
      <c r="D83" s="4314"/>
      <c r="E83" s="4314"/>
      <c r="F83" s="4314"/>
      <c r="G83" s="4314"/>
      <c r="H83" s="4314"/>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5" t="s">
        <v>1356</v>
      </c>
      <c r="B84" s="4306"/>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3">
        <f ca="1">ROUND(D45/(1+D85),0)</f>
        <v>105454</v>
      </c>
      <c r="D85" s="3753">
        <v>0.09</v>
      </c>
      <c r="E85" s="8" t="s">
        <v>3713</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3">
        <f ca="1">IF(H88="仅含出让金",C87+C90+C91+C92+C93+C94,C87+C91+C92+C93+C94)</f>
        <v>27541</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2"/>
      <c r="D88" s="3759"/>
      <c r="E88" s="89" t="s">
        <v>1388</v>
      </c>
      <c r="F88" s="1740"/>
      <c r="G88" s="90" t="s">
        <v>1389</v>
      </c>
      <c r="H88" s="1347" t="s">
        <v>3711</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2"/>
      <c r="D90" s="3759"/>
      <c r="E90" s="89" t="str">
        <f>IF(H88="-","土地取得成本中已包含该笔费用"," ")</f>
        <v xml:space="preserve"> </v>
      </c>
      <c r="F90" s="1740"/>
      <c r="G90" s="4268" t="s">
        <v>2039</v>
      </c>
      <c r="H90" s="4269"/>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 ca="1">IF(H91="——",成本法!C9,I91)</f>
        <v>11452</v>
      </c>
      <c r="D91" s="3759"/>
      <c r="E91" s="4302" t="s">
        <v>1394</v>
      </c>
      <c r="F91" s="4303"/>
      <c r="G91" s="4303"/>
      <c r="H91" s="3746" t="s">
        <v>41</v>
      </c>
      <c r="I91" s="3886"/>
      <c r="J91" s="1341" t="s">
        <v>3710</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 ca="1">ROUND((C87+C90+C91)*D92,0)</f>
        <v>1145</v>
      </c>
      <c r="D92" s="3762">
        <v>0.1</v>
      </c>
      <c r="E92" s="4302" t="s">
        <v>1397</v>
      </c>
      <c r="F92" s="4303"/>
      <c r="G92" s="4303"/>
      <c r="H92" s="4304"/>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12654</v>
      </c>
      <c r="D93" s="3759">
        <f>'数据-取费表'!B44</f>
        <v>0.12000000000000001</v>
      </c>
      <c r="E93" s="4341" t="s">
        <v>3712</v>
      </c>
      <c r="F93" s="4303"/>
      <c r="G93" s="4303"/>
      <c r="H93" s="4304"/>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2">
        <f ca="1">ROUND((C87+C90+C91)*D94,0)</f>
        <v>2290</v>
      </c>
      <c r="D94" s="3759">
        <v>0.2</v>
      </c>
      <c r="E94" s="4342" t="s">
        <v>1401</v>
      </c>
      <c r="F94" s="4343"/>
      <c r="G94" s="4343"/>
      <c r="H94" s="4344"/>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3">
        <f ca="1">ROUND(C85-C86,0)</f>
        <v>77913</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3">
        <f ca="1">IF(C95&lt;=0,0,C95/C86)</f>
        <v>2.8289822446534258</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4">
        <f ca="1">ROUND(IF(C95&lt;=0,0,IF(C96&gt;=200%,C95*60%-C86*35%,IF(C96&gt;=100%,C95*50%-C86*15%,IF(C96&gt;=50%,C95*40%-C86*5%,IF(C96&lt;50%,C95*30%,0))))),0)</f>
        <v>37108</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8" t="s">
        <v>1403</v>
      </c>
      <c r="B100" s="4249"/>
      <c r="C100" s="4249"/>
      <c r="D100" s="4270"/>
      <c r="E100" s="4249" t="s">
        <v>1404</v>
      </c>
      <c r="F100" s="4249"/>
      <c r="G100" s="4249"/>
      <c r="H100" s="4270"/>
      <c r="I100" s="47"/>
    </row>
    <row r="101" spans="1:35" ht="18.75" customHeight="1">
      <c r="A101" s="4295" t="s">
        <v>1405</v>
      </c>
      <c r="B101" s="4296"/>
      <c r="C101" s="1921" t="str">
        <f>C4</f>
        <v>成本法</v>
      </c>
      <c r="D101" s="1922" t="str">
        <f>D4</f>
        <v>假设开发法</v>
      </c>
      <c r="E101" s="4261" t="s">
        <v>1406</v>
      </c>
      <c r="F101" s="4262"/>
      <c r="G101" s="1348" t="s">
        <v>1407</v>
      </c>
      <c r="H101" s="3895">
        <f ca="1">H118</f>
        <v>114945</v>
      </c>
      <c r="I101" s="47"/>
    </row>
    <row r="102" spans="1:35" ht="18.75" customHeight="1">
      <c r="A102" s="4297" t="s">
        <v>1408</v>
      </c>
      <c r="B102" s="1920" t="s">
        <v>1407</v>
      </c>
      <c r="C102" s="3887">
        <f ca="1">C19</f>
        <v>118555</v>
      </c>
      <c r="D102" s="3888">
        <f ca="1">D19</f>
        <v>111334</v>
      </c>
      <c r="E102" s="4261"/>
      <c r="F102" s="4262"/>
      <c r="G102" s="1348" t="s">
        <v>1409</v>
      </c>
      <c r="H102" s="2882">
        <f ca="1">I118</f>
        <v>46037</v>
      </c>
      <c r="I102" s="47"/>
    </row>
    <row r="103" spans="1:35" ht="42.75" customHeight="1">
      <c r="A103" s="4297"/>
      <c r="B103" s="1920" t="s">
        <v>1409</v>
      </c>
      <c r="C103" s="3889">
        <f ca="1">C20</f>
        <v>47482</v>
      </c>
      <c r="D103" s="3890">
        <f ca="1">D20</f>
        <v>44590</v>
      </c>
      <c r="E103" s="4254" t="s">
        <v>1410</v>
      </c>
      <c r="F103" s="4255"/>
      <c r="G103" s="1349" t="s">
        <v>1411</v>
      </c>
      <c r="H103" s="3895">
        <f>IF(D36="正常操作",H104+H105+H106,H105+H106)</f>
        <v>0</v>
      </c>
      <c r="I103" s="47"/>
    </row>
    <row r="104" spans="1:35" ht="18.75" customHeight="1">
      <c r="A104" s="4297" t="s">
        <v>1412</v>
      </c>
      <c r="B104" s="1923" t="s">
        <v>1407</v>
      </c>
      <c r="C104" s="3891">
        <f ca="1">H118</f>
        <v>114945</v>
      </c>
      <c r="D104" s="3892"/>
      <c r="E104" s="1228" t="s">
        <v>1413</v>
      </c>
      <c r="F104" s="1225"/>
      <c r="G104" s="1349" t="s">
        <v>1411</v>
      </c>
      <c r="H104" s="3896">
        <f>IF(D36="同一抵押权人同一抵押物续贷",C36&amp;"（续贷，未扣减，详见特别提示）",C36)</f>
        <v>0</v>
      </c>
      <c r="I104" s="47"/>
    </row>
    <row r="105" spans="1:35" ht="18.75" customHeight="1" thickBot="1">
      <c r="A105" s="4307"/>
      <c r="B105" s="1924" t="s">
        <v>1409</v>
      </c>
      <c r="C105" s="3893">
        <f ca="1">I118</f>
        <v>46037</v>
      </c>
      <c r="D105" s="3894"/>
      <c r="E105" s="1228" t="s">
        <v>1414</v>
      </c>
      <c r="F105" s="1225"/>
      <c r="G105" s="1349" t="s">
        <v>1411</v>
      </c>
      <c r="H105" s="3897">
        <f>C37</f>
        <v>0</v>
      </c>
      <c r="I105" s="47"/>
    </row>
    <row r="106" spans="1:35" ht="18.75" customHeight="1">
      <c r="A106" s="475" t="s">
        <v>1415</v>
      </c>
      <c r="B106" s="475"/>
      <c r="C106" s="475"/>
      <c r="D106" s="475"/>
      <c r="E106" s="1350" t="s">
        <v>1416</v>
      </c>
      <c r="F106" s="1225"/>
      <c r="G106" s="1349" t="s">
        <v>1411</v>
      </c>
      <c r="H106" s="3897">
        <f>C38</f>
        <v>0</v>
      </c>
      <c r="I106" s="47"/>
    </row>
    <row r="107" spans="1:35" ht="18.75" customHeight="1">
      <c r="A107" s="47"/>
      <c r="B107" s="47"/>
      <c r="C107" s="47"/>
      <c r="D107" s="47"/>
      <c r="E107" s="4298" t="str">
        <f>IF(项目基本情况!E8="已注销","——","3.房地产抵押价值")</f>
        <v>3.房地产抵押价值</v>
      </c>
      <c r="F107" s="4262"/>
      <c r="G107" s="1348" t="s">
        <v>1407</v>
      </c>
      <c r="H107" s="3895">
        <f ca="1">IF(E107="——","——",H101-H103)</f>
        <v>114945</v>
      </c>
      <c r="I107" s="47"/>
    </row>
    <row r="108" spans="1:35" ht="18.75" customHeight="1">
      <c r="A108" s="47"/>
      <c r="B108" s="47"/>
      <c r="C108" s="47"/>
      <c r="D108" s="47"/>
      <c r="E108" s="4298"/>
      <c r="F108" s="4262"/>
      <c r="G108" s="1348" t="s">
        <v>1409</v>
      </c>
      <c r="H108" s="2882">
        <f ca="1">IF(H107=H101,H102,ROUND(H107*10000/'数据-汇总表'!E3,0))</f>
        <v>46037</v>
      </c>
      <c r="I108" s="47"/>
    </row>
    <row r="109" spans="1:35" ht="18.75" customHeight="1">
      <c r="A109" s="47"/>
      <c r="B109" s="47"/>
      <c r="C109" s="47"/>
      <c r="D109" s="47"/>
      <c r="E109" s="4298" t="str">
        <f>IF(项目基本情况!E8="已注销及未注销","4.抵押担保权已注销时的房地产抵押价值",IF(项目基本情况!E8="已注销","3.抵押担保权已注销时的房地产抵押价值","——"))</f>
        <v>——</v>
      </c>
      <c r="F109" s="4262"/>
      <c r="G109" s="1348" t="s">
        <v>1407</v>
      </c>
      <c r="H109" s="2877" t="str">
        <f>IF(E109="——","——",H101-H105-H106)</f>
        <v>——</v>
      </c>
      <c r="I109" s="47"/>
    </row>
    <row r="110" spans="1:35" ht="18.75" customHeight="1">
      <c r="A110" s="47"/>
      <c r="B110" s="47"/>
      <c r="C110" s="47"/>
      <c r="D110" s="47"/>
      <c r="E110" s="4298"/>
      <c r="F110" s="4262"/>
      <c r="G110" s="1348" t="s">
        <v>1409</v>
      </c>
      <c r="H110" s="2882" t="str">
        <f>IF(H109="——","——",ROUND(H109*10000/'数据-汇总表'!E3,0))</f>
        <v>——</v>
      </c>
      <c r="I110" s="47"/>
    </row>
    <row r="111" spans="1:35" ht="18.75" customHeight="1">
      <c r="A111" s="47"/>
      <c r="B111" s="47"/>
      <c r="C111" s="47"/>
      <c r="D111" s="47"/>
      <c r="E111" s="4299" t="str">
        <f>IF(项目基本情况!E9="抵押净值",IF(OR(项目基本情况!E8="已注销",项目基本情况!E8="房地产抵押价值"),"4.抵押净值","5.抵押净值"),"——")</f>
        <v>——</v>
      </c>
      <c r="F111" s="4286"/>
      <c r="G111" s="1348" t="s">
        <v>1407</v>
      </c>
      <c r="H111" s="3895" t="str">
        <f>IF(E111="——","——",N59)</f>
        <v>——</v>
      </c>
      <c r="I111" s="47"/>
    </row>
    <row r="112" spans="1:35" ht="18.75" customHeight="1" thickBot="1">
      <c r="A112" s="47"/>
      <c r="B112" s="47"/>
      <c r="C112" s="47"/>
      <c r="D112" s="47"/>
      <c r="E112" s="4300"/>
      <c r="F112" s="4301"/>
      <c r="G112" s="1351" t="s">
        <v>1409</v>
      </c>
      <c r="H112" s="3851" t="str">
        <f>IF(E111="——","——",N61)</f>
        <v>——</v>
      </c>
      <c r="I112" s="47"/>
    </row>
    <row r="113" spans="1:27" ht="18.75" customHeight="1">
      <c r="A113" s="47"/>
      <c r="B113" s="47"/>
      <c r="C113" s="47"/>
      <c r="D113" s="47"/>
      <c r="E113" s="4308" t="s">
        <v>1415</v>
      </c>
      <c r="F113" s="4308"/>
      <c r="G113" s="4308"/>
      <c r="H113" s="4308"/>
      <c r="I113" s="47"/>
    </row>
    <row r="114" spans="1:27" ht="3.75" customHeight="1">
      <c r="A114" s="475"/>
      <c r="B114" s="475"/>
      <c r="C114" s="475"/>
      <c r="D114" s="475"/>
      <c r="E114" s="1334"/>
      <c r="F114" s="1334"/>
      <c r="G114" s="1334"/>
      <c r="H114" s="1334"/>
      <c r="I114" s="475"/>
    </row>
    <row r="115" spans="1:27" ht="18.75" customHeight="1">
      <c r="A115" s="4319" t="s">
        <v>1417</v>
      </c>
      <c r="B115" s="4320"/>
      <c r="C115" s="4320"/>
      <c r="D115" s="4320"/>
      <c r="E115" s="4320"/>
      <c r="F115" s="4320"/>
      <c r="G115" s="4320"/>
      <c r="H115" s="4320"/>
      <c r="I115" s="4321"/>
    </row>
    <row r="116" spans="1:27" ht="27" customHeight="1">
      <c r="A116" s="4271" t="s">
        <v>1418</v>
      </c>
      <c r="B116" s="4275" t="s">
        <v>3842</v>
      </c>
      <c r="C116" s="4275" t="s">
        <v>3995</v>
      </c>
      <c r="D116" s="4284" t="s">
        <v>3994</v>
      </c>
      <c r="E116" s="4285"/>
      <c r="F116" s="4315" t="s">
        <v>3993</v>
      </c>
      <c r="G116" s="4315"/>
      <c r="H116" s="4271" t="s">
        <v>1419</v>
      </c>
      <c r="I116" s="4271"/>
      <c r="K116" s="3198"/>
      <c r="L116" s="3199" t="s">
        <v>3502</v>
      </c>
      <c r="M116" s="3199" t="s">
        <v>3503</v>
      </c>
      <c r="N116" s="3199" t="s">
        <v>3504</v>
      </c>
    </row>
    <row r="117" spans="1:27" ht="18.75" customHeight="1">
      <c r="A117" s="4271"/>
      <c r="B117" s="4276"/>
      <c r="C117" s="4276"/>
      <c r="D117" s="1742" t="s">
        <v>1420</v>
      </c>
      <c r="E117" s="1742" t="s">
        <v>1421</v>
      </c>
      <c r="F117" s="1742" t="s">
        <v>1420</v>
      </c>
      <c r="G117" s="1742" t="s">
        <v>1422</v>
      </c>
      <c r="H117" s="1742" t="s">
        <v>1420</v>
      </c>
      <c r="I117" s="1742" t="s">
        <v>1422</v>
      </c>
      <c r="J117" s="503">
        <f ca="1">D118*0.7</f>
        <v>70645.399999999994</v>
      </c>
      <c r="K117" s="3199" t="s">
        <v>3500</v>
      </c>
      <c r="L117" s="3898">
        <f ca="1">C34</f>
        <v>100922</v>
      </c>
      <c r="M117" s="3899">
        <f ca="1">C35</f>
        <v>14023</v>
      </c>
      <c r="N117" s="3899">
        <f ca="1">C32</f>
        <v>114945</v>
      </c>
    </row>
    <row r="118" spans="1:27" ht="24.75" customHeight="1">
      <c r="A118" s="1925" t="str">
        <f>项目基本情况!S2</f>
        <v>北京市出让国有建设用地使用权及在建建筑物房地产</v>
      </c>
      <c r="B118" s="2687">
        <f>M18</f>
        <v>24968.190000000002</v>
      </c>
      <c r="C118" s="2687">
        <f>M19</f>
        <v>7720.15</v>
      </c>
      <c r="D118" s="2687">
        <f ca="1">ROUND(IF(D32="总价",L117,L119*B118/10000),0)</f>
        <v>100922</v>
      </c>
      <c r="E118" s="2687">
        <f ca="1">ROUND(IF(C33="自定义",IF(D32="楼面单价",L119,D118*10000/B118),I118-G118),0)</f>
        <v>40421</v>
      </c>
      <c r="F118" s="2687">
        <f ca="1">ROUND(IF(D32="总价",M117,M119*B118/10000),0)</f>
        <v>14023</v>
      </c>
      <c r="G118" s="2687">
        <f ca="1">ROUND(IF(D32="楼面单价",,F118*10000/B118),0)</f>
        <v>5616</v>
      </c>
      <c r="H118" s="2687">
        <f ca="1">ROUND(IF(D32="总价",C32,N119*B118/10000),4)</f>
        <v>114945</v>
      </c>
      <c r="I118" s="2687">
        <f ca="1">ROUND(IF(D32="楼面单价",C32,N117*10000/B118),0)</f>
        <v>46037</v>
      </c>
      <c r="J118" s="503">
        <f ca="1">F118*0.5</f>
        <v>7011.5</v>
      </c>
      <c r="K118" s="3198"/>
      <c r="L118" s="3198"/>
      <c r="M118" s="3198"/>
      <c r="N118" s="3198"/>
    </row>
    <row r="119" spans="1:27" ht="18.75" customHeight="1">
      <c r="A119" s="4271" t="s">
        <v>1423</v>
      </c>
      <c r="B119" s="4271"/>
      <c r="C119" s="4271"/>
      <c r="D119" s="4277" t="str">
        <f ca="1">NUMBERSTRING(INT(D118*10000),2)&amp;"元整"</f>
        <v>壹拾亿零玖佰贰拾贰万元整</v>
      </c>
      <c r="E119" s="4278"/>
      <c r="F119" s="4277" t="str">
        <f ca="1">NUMBERSTRING(INT(F118*10000),2)&amp;"元整"</f>
        <v>壹亿肆仟零贰拾叁万元整</v>
      </c>
      <c r="G119" s="4278"/>
      <c r="H119" s="4277" t="str">
        <f ca="1">NUMBERSTRING(INT(H118*10000),2)&amp;"元整"</f>
        <v>壹拾壹亿肆仟玖佰肆拾伍万元整</v>
      </c>
      <c r="I119" s="4278"/>
      <c r="J119" s="503">
        <f ca="1">J117+J118</f>
        <v>77656.899999999994</v>
      </c>
      <c r="K119" s="3199" t="s">
        <v>3501</v>
      </c>
      <c r="L119" s="3899">
        <f ca="1">C34</f>
        <v>100922</v>
      </c>
      <c r="M119" s="3899">
        <f ca="1">C35</f>
        <v>14023</v>
      </c>
      <c r="N119" s="3899">
        <f ca="1">C32</f>
        <v>114945</v>
      </c>
    </row>
    <row r="120" spans="1:27" ht="18.75" customHeight="1">
      <c r="A120" s="4279" t="str">
        <f>IF(项目基本情况!B9="房地产市场价值","",MID(E103,3,LEN(E103)-2))</f>
        <v>估价师知悉的法定优先受偿款</v>
      </c>
      <c r="B120" s="4280"/>
      <c r="C120" s="4281"/>
      <c r="D120" s="4272">
        <f>H103</f>
        <v>0</v>
      </c>
      <c r="E120" s="4273"/>
      <c r="F120" s="4273"/>
      <c r="G120" s="4273"/>
      <c r="H120" s="4273"/>
      <c r="I120" s="4274"/>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6" t="s">
        <v>1423</v>
      </c>
      <c r="B121" s="4317"/>
      <c r="C121" s="4318"/>
      <c r="D121" s="4277" t="str">
        <f>IF(D120=0,"零元整",NUMBERSTRING(INT(D120*10000),2)&amp;"元整")</f>
        <v>零元整</v>
      </c>
      <c r="E121" s="4282"/>
      <c r="F121" s="4282"/>
      <c r="G121" s="4282"/>
      <c r="H121" s="4282"/>
      <c r="I121" s="4278"/>
      <c r="AA121" s="503"/>
    </row>
    <row r="122" spans="1:27" ht="18.75" customHeight="1">
      <c r="A122" s="4286" t="str">
        <f>IF(项目基本情况!B9="房地产市场价值","",MID(E107,3,LEN(E107)-2))</f>
        <v>房地产抵押价值</v>
      </c>
      <c r="B122" s="4286"/>
      <c r="C122" s="4286"/>
      <c r="D122" s="4272">
        <f ca="1">H107</f>
        <v>114945</v>
      </c>
      <c r="E122" s="4273"/>
      <c r="F122" s="4273"/>
      <c r="G122" s="4273"/>
      <c r="H122" s="4273"/>
      <c r="I122" s="4274"/>
      <c r="AA122" s="503"/>
    </row>
    <row r="123" spans="1:27" ht="18.75" customHeight="1">
      <c r="A123" s="4271" t="s">
        <v>1423</v>
      </c>
      <c r="B123" s="4271"/>
      <c r="C123" s="4271"/>
      <c r="D123" s="4277" t="str">
        <f ca="1">NUMBERSTRING(INT(D122*10000),2)&amp;"元整"</f>
        <v>壹拾壹亿肆仟玖佰肆拾伍万元整</v>
      </c>
      <c r="E123" s="4282"/>
      <c r="F123" s="4282"/>
      <c r="G123" s="4282"/>
      <c r="H123" s="4282"/>
      <c r="I123" s="4278"/>
      <c r="AA123" s="503"/>
    </row>
    <row r="124" spans="1:27" ht="18.75" customHeight="1">
      <c r="A124" s="4286" t="str">
        <f>IF(项目基本情况!B9="房地产市场价值","",MID(E109,3,LEN(E109)-2))</f>
        <v/>
      </c>
      <c r="B124" s="4286"/>
      <c r="C124" s="4286"/>
      <c r="D124" s="4272" t="str">
        <f>H109</f>
        <v>——</v>
      </c>
      <c r="E124" s="4273"/>
      <c r="F124" s="4273"/>
      <c r="G124" s="4273"/>
      <c r="H124" s="4273"/>
      <c r="I124" s="4274"/>
      <c r="AA124" s="503"/>
    </row>
    <row r="125" spans="1:27" ht="18.75" customHeight="1">
      <c r="A125" s="4271" t="s">
        <v>1423</v>
      </c>
      <c r="B125" s="4271"/>
      <c r="C125" s="4271"/>
      <c r="D125" s="4277" t="e">
        <f>NUMBERSTRING(INT(D124*10000),2)&amp;"元整"</f>
        <v>#VALUE!</v>
      </c>
      <c r="E125" s="4282"/>
      <c r="F125" s="4282"/>
      <c r="G125" s="4282"/>
      <c r="H125" s="4282"/>
      <c r="I125" s="4278"/>
      <c r="AA125" s="503"/>
    </row>
    <row r="126" spans="1:27" ht="18.75" customHeight="1">
      <c r="A126" s="4286" t="str">
        <f>IF(项目基本情况!B9="房地产市场价值","",MID(E111,3,LEN(E111)-2))</f>
        <v/>
      </c>
      <c r="B126" s="4286"/>
      <c r="C126" s="4286"/>
      <c r="D126" s="4272" t="str">
        <f>H111</f>
        <v>——</v>
      </c>
      <c r="E126" s="4273"/>
      <c r="F126" s="4273"/>
      <c r="G126" s="4273"/>
      <c r="H126" s="4273"/>
      <c r="I126" s="4274"/>
      <c r="AA126" s="503"/>
    </row>
    <row r="127" spans="1:27" ht="18.75" customHeight="1">
      <c r="A127" s="4271" t="s">
        <v>1423</v>
      </c>
      <c r="B127" s="4271"/>
      <c r="C127" s="4271"/>
      <c r="D127" s="4277" t="e">
        <f>NUMBERSTRING(INT(D126*10000),2)&amp;"元整"</f>
        <v>#VALUE!</v>
      </c>
      <c r="E127" s="4282"/>
      <c r="F127" s="4282"/>
      <c r="G127" s="4282"/>
      <c r="H127" s="4282"/>
      <c r="I127" s="4278"/>
      <c r="AA127" s="503"/>
    </row>
    <row r="128" spans="1:27" ht="21.75" customHeight="1">
      <c r="A128" s="4283" t="s">
        <v>1424</v>
      </c>
      <c r="B128" s="4283"/>
      <c r="C128" s="4283"/>
      <c r="D128" s="4283"/>
      <c r="E128" s="4283"/>
      <c r="F128" s="4283"/>
      <c r="G128" s="4283"/>
      <c r="H128" s="4283"/>
      <c r="I128" s="4283"/>
      <c r="AA128" s="503"/>
    </row>
    <row r="129" spans="1:35" ht="21.75" customHeight="1">
      <c r="A129" s="1352" t="s">
        <v>1425</v>
      </c>
      <c r="B129" s="1353"/>
      <c r="C129" s="1354" t="s">
        <v>1426</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1427</v>
      </c>
      <c r="G135" s="1367"/>
      <c r="H135" s="1367"/>
      <c r="I135" s="1368" t="s">
        <v>1428</v>
      </c>
    </row>
    <row r="136" spans="1:35" ht="21.75" customHeight="1">
      <c r="A136" s="503"/>
      <c r="B136" s="1369" t="s">
        <v>1429</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1430</v>
      </c>
    </row>
    <row r="139" spans="1:35" ht="21.75" customHeight="1">
      <c r="A139" s="503"/>
      <c r="B139" s="1369" t="s">
        <v>1431</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1430</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62" t="str">
        <f>项目基本情况!B1</f>
        <v>北京市出让国有建设用地使用权及在建建筑物房地产抵押价值预评估</v>
      </c>
      <c r="C37" s="4162"/>
      <c r="D37" s="4162"/>
      <c r="E37" s="4162"/>
      <c r="F37" s="4162"/>
      <c r="G37" s="4162"/>
      <c r="H37" s="4162"/>
      <c r="I37" s="4162"/>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64"/>
  <sheetViews>
    <sheetView topLeftCell="A28" zoomScaleNormal="100" zoomScaleSheetLayoutView="100" workbookViewId="0">
      <selection activeCell="C32" sqref="C32"/>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12" s="96" customFormat="1" ht="20.25">
      <c r="A1" s="92" t="s">
        <v>1432</v>
      </c>
      <c r="B1" s="2952"/>
      <c r="C1" s="3509" t="s">
        <v>3938</v>
      </c>
      <c r="D1" s="94"/>
      <c r="E1" s="94"/>
      <c r="F1" s="94"/>
      <c r="G1" s="789">
        <f>MATCH(B1,'数据-取费表'!A6:A16,0)+5</f>
        <v>9</v>
      </c>
    </row>
    <row r="2" spans="1:12" s="96" customFormat="1" ht="15.75">
      <c r="A2" s="97" t="s">
        <v>1433</v>
      </c>
      <c r="B2" s="2610">
        <f ca="1">IF(C1="含税",E2+C33,E2+C32)</f>
        <v>118555</v>
      </c>
      <c r="C2" s="95" t="s">
        <v>1434</v>
      </c>
      <c r="D2" s="1372" t="s">
        <v>41</v>
      </c>
      <c r="E2" s="3599">
        <f ca="1">IF(D2="——",0,SUMIF(INDIRECT("'"&amp;G2&amp;"'"&amp;"!A:A"),"承租人权益价值",INDIRECT("'"&amp;G2&amp;"'"&amp;"!c:c")))</f>
        <v>0</v>
      </c>
      <c r="F2" s="1373" t="s">
        <v>1434</v>
      </c>
      <c r="G2" s="1374"/>
    </row>
    <row r="3" spans="1:12" s="96" customFormat="1" ht="16.5" thickBot="1">
      <c r="A3" s="99" t="s">
        <v>1435</v>
      </c>
      <c r="B3" s="2611">
        <f ca="1">ROUND(B2*10000/(IF(B1="",'数据-汇总表'!E3,INDIRECT("'数据-取费表'!k"&amp;$G$1))),0)</f>
        <v>47482</v>
      </c>
      <c r="C3" s="95" t="s">
        <v>1436</v>
      </c>
      <c r="D3" s="95"/>
      <c r="E3" s="2597"/>
      <c r="F3" s="95"/>
      <c r="G3" s="95"/>
    </row>
    <row r="4" spans="1:12" s="96" customFormat="1" ht="16.5" thickBot="1">
      <c r="A4" s="2657" t="s">
        <v>3334</v>
      </c>
      <c r="B4" s="2658" t="s">
        <v>3335</v>
      </c>
      <c r="C4" s="2594" t="s">
        <v>3336</v>
      </c>
      <c r="D4" s="2631" t="s">
        <v>3342</v>
      </c>
      <c r="E4" s="2632" t="s">
        <v>3343</v>
      </c>
      <c r="F4" s="2632" t="s">
        <v>3344</v>
      </c>
      <c r="G4" s="2595" t="s">
        <v>3337</v>
      </c>
    </row>
    <row r="5" spans="1:12" s="104" customFormat="1" ht="15.75">
      <c r="A5" s="2633" t="s">
        <v>3333</v>
      </c>
      <c r="B5" s="2634" t="s">
        <v>3338</v>
      </c>
      <c r="C5" s="2607">
        <f ca="1">ROUND((C6+C9+C21+C24+C25+C28)/(1-F22-C26-C29),0)</f>
        <v>108766</v>
      </c>
      <c r="D5" s="2635"/>
      <c r="E5" s="2635"/>
      <c r="F5" s="2635"/>
      <c r="G5" s="2803" t="s">
        <v>3489</v>
      </c>
    </row>
    <row r="6" spans="1:12" s="2621" customFormat="1" ht="15">
      <c r="A6" s="2599" t="s">
        <v>3345</v>
      </c>
      <c r="B6" s="2661" t="s">
        <v>3346</v>
      </c>
      <c r="C6" s="2636">
        <f>C7+C8</f>
        <v>84516</v>
      </c>
      <c r="D6" s="2598"/>
      <c r="E6" s="2598"/>
      <c r="F6" s="2598"/>
      <c r="G6" s="2637"/>
    </row>
    <row r="7" spans="1:12" s="110" customFormat="1">
      <c r="A7" s="2638" t="s">
        <v>1443</v>
      </c>
      <c r="B7" s="2662" t="s">
        <v>1444</v>
      </c>
      <c r="C7" s="3171">
        <f>'土地比较法-住宅、综合'!B2</f>
        <v>82015</v>
      </c>
      <c r="D7" s="2639"/>
      <c r="E7" s="2640"/>
      <c r="F7" s="2640"/>
      <c r="G7" s="157"/>
    </row>
    <row r="8" spans="1:12" s="110" customFormat="1">
      <c r="A8" s="2638" t="s">
        <v>1445</v>
      </c>
      <c r="B8" s="2662" t="s">
        <v>1446</v>
      </c>
      <c r="C8" s="2609">
        <f>ROUND(C7*F8,0)</f>
        <v>2501</v>
      </c>
      <c r="D8" s="145"/>
      <c r="E8" s="2640"/>
      <c r="F8" s="2641">
        <f>IF(项目基本情况!B8="出让",0,'数据-取费表'!B49+'数据-取费表'!B50)</f>
        <v>3.0499999999999999E-2</v>
      </c>
      <c r="G8" s="157"/>
    </row>
    <row r="9" spans="1:12" s="2621" customFormat="1" ht="15">
      <c r="A9" s="2642" t="s">
        <v>336</v>
      </c>
      <c r="B9" s="2663" t="s">
        <v>3291</v>
      </c>
      <c r="C9" s="2622">
        <f ca="1">C10+C11+C12+C13+C19+C20</f>
        <v>11452</v>
      </c>
      <c r="D9" s="2643"/>
      <c r="E9" s="2644"/>
      <c r="F9" s="2645"/>
      <c r="G9" s="2646"/>
      <c r="I9" s="110"/>
    </row>
    <row r="10" spans="1:12" s="110" customFormat="1">
      <c r="A10" s="2664" t="s">
        <v>344</v>
      </c>
      <c r="B10" s="2665" t="s">
        <v>3327</v>
      </c>
      <c r="C10" s="2609">
        <f ca="1">IF(B1="",IF(F10=100%,'数据-取费表'!M16,'数据-取费表'!O16),IF(F10=100%,INDIRECT("'数据-取费表'!m"&amp;$G$1)+INDIRECT("'数据-取费表'!t"&amp;$G$1),INDIRECT("'数据-取费表'!o"&amp;$G$1)+INDIRECT("'数据-取费表'!aq"&amp;$G$1)))</f>
        <v>10227</v>
      </c>
      <c r="D10" s="2639"/>
      <c r="E10" s="145"/>
      <c r="F10" s="2647">
        <f ca="1">IF('数据-取费表'!B24=0,1,IF(B1="",'数据-取费表'!N16,INDIRECT("'数据-取费表'!n"&amp;$G$1)))</f>
        <v>0.55000000000000004</v>
      </c>
      <c r="G10" s="157" t="s">
        <v>1471</v>
      </c>
      <c r="L10" s="4158" t="s">
        <v>4023</v>
      </c>
    </row>
    <row r="11" spans="1:12" s="110" customFormat="1">
      <c r="A11" s="2664" t="s">
        <v>349</v>
      </c>
      <c r="B11" s="2665" t="s">
        <v>3328</v>
      </c>
      <c r="C11" s="2609">
        <f ca="1">ROUND(C10*F11,0)</f>
        <v>256</v>
      </c>
      <c r="D11" s="145"/>
      <c r="E11" s="145"/>
      <c r="F11" s="2620">
        <f>'数据-取费表'!B33</f>
        <v>2.5000000000000001E-2</v>
      </c>
      <c r="G11" s="3597" t="s">
        <v>3699</v>
      </c>
      <c r="H11" s="110">
        <f ca="1">ROUND(C11*10000/$D$18,2)</f>
        <v>102.53</v>
      </c>
      <c r="J11" s="4158" t="s">
        <v>4022</v>
      </c>
      <c r="K11" s="110">
        <f ca="1">ROUND(K12*D15/K13,2)</f>
        <v>269.74</v>
      </c>
      <c r="L11" s="110">
        <f ca="1">ROUND(C12*10000/K11,0)</f>
        <v>6599</v>
      </c>
    </row>
    <row r="12" spans="1:12" s="110" customFormat="1">
      <c r="A12" s="2664" t="s">
        <v>350</v>
      </c>
      <c r="B12" s="2665" t="s">
        <v>3329</v>
      </c>
      <c r="C12" s="2609">
        <f ca="1">ROUND(IF(B1="",SUMIF('数据-取费表'!C:C,"住宅",IF(F10=100%,'数据-取费表'!M:M,'数据-取费表'!O:O))*F12,IF(INDIRECT("'数据-取费表'!c"&amp;$G$1)="住宅",IF(F10=100%,INDIRECT("'数据-取费表'!m"&amp;$G$1)*F12,INDIRECT("'数据-取费表'!o"&amp;$G$1)*F12),0)),0)</f>
        <v>178</v>
      </c>
      <c r="D12" s="145"/>
      <c r="E12" s="145"/>
      <c r="F12" s="2620">
        <f>'数据-取费表'!B34</f>
        <v>0.03</v>
      </c>
      <c r="G12" s="136" t="s">
        <v>1475</v>
      </c>
      <c r="H12" s="110">
        <f ca="1">ROUND(C12*10000/$D$18,2)</f>
        <v>71.290000000000006</v>
      </c>
      <c r="J12" s="4158" t="s">
        <v>4021</v>
      </c>
      <c r="K12" s="110">
        <v>1792.8700000000001</v>
      </c>
    </row>
    <row r="13" spans="1:12" s="110" customFormat="1">
      <c r="A13" s="2664" t="s">
        <v>3292</v>
      </c>
      <c r="B13" s="2665" t="s">
        <v>3330</v>
      </c>
      <c r="C13" s="2609">
        <f ca="1">C14+C17+C18</f>
        <v>494</v>
      </c>
      <c r="D13" s="145"/>
      <c r="E13" s="2640"/>
      <c r="F13" s="2641"/>
      <c r="G13" s="157"/>
      <c r="J13" s="4158" t="s">
        <v>4020</v>
      </c>
      <c r="K13" s="110">
        <v>71789.72</v>
      </c>
    </row>
    <row r="14" spans="1:12" s="119" customFormat="1">
      <c r="A14" s="2592" t="s">
        <v>3293</v>
      </c>
      <c r="B14" s="2666" t="s">
        <v>3326</v>
      </c>
      <c r="C14" s="2609">
        <f>IF(G14="已包含在土地购买价格中","0",IF(B1="",'数据-取费表'!B29,IF(G15="全部缴纳",C15+C16,H15)))</f>
        <v>0</v>
      </c>
      <c r="D14" s="2648"/>
      <c r="E14" s="145"/>
      <c r="F14" s="2641"/>
      <c r="G14" s="1375" t="s">
        <v>3939</v>
      </c>
    </row>
    <row r="15" spans="1:12" s="110" customFormat="1">
      <c r="A15" s="2667" t="s">
        <v>353</v>
      </c>
      <c r="B15" s="2668" t="s">
        <v>1449</v>
      </c>
      <c r="C15" s="2649">
        <f ca="1">ROUND(D15*E15/10000,0)</f>
        <v>173</v>
      </c>
      <c r="D15" s="2649">
        <f ca="1">IF(B1="",'数据-汇总表'!E5,IF(INDIRECT("'数据-取费表'!c"&amp;$G$1)="住宅",INDIRECT("'数据-取费表'!k"&amp;$G$1),0))</f>
        <v>10800.690000000002</v>
      </c>
      <c r="E15" s="2649">
        <f>'数据-取费表'!B27</f>
        <v>160</v>
      </c>
      <c r="F15" s="2641"/>
      <c r="G15" s="1376" t="s">
        <v>3940</v>
      </c>
      <c r="H15" s="795"/>
      <c r="I15" s="1377" t="s">
        <v>1450</v>
      </c>
    </row>
    <row r="16" spans="1:12" s="110" customFormat="1">
      <c r="A16" s="2667" t="s">
        <v>354</v>
      </c>
      <c r="B16" s="2668" t="s">
        <v>1451</v>
      </c>
      <c r="C16" s="2649">
        <f ca="1">ROUND(D16*E16/10000,0)</f>
        <v>283</v>
      </c>
      <c r="D16" s="2649">
        <f ca="1">IF(B1="",'数据-汇总表'!E6,IF(INDIRECT("'数据-取费表'!c"&amp;$G$1)="住宅",INDIRECT("'数据-取费表'!s"&amp;$G$1),INDIRECT("'数据-取费表'!k"&amp;$G$1)+INDIRECT("'数据-取费表'!s"&amp;$G$1)))</f>
        <v>14167.5</v>
      </c>
      <c r="E16" s="2649">
        <f>'数据-取费表'!B28</f>
        <v>200</v>
      </c>
      <c r="F16" s="2641"/>
      <c r="G16" s="122"/>
    </row>
    <row r="17" spans="1:8" s="110" customFormat="1">
      <c r="A17" s="2592" t="s">
        <v>3294</v>
      </c>
      <c r="B17" s="2669" t="s">
        <v>3299</v>
      </c>
      <c r="C17" s="2609" t="str">
        <f>IF(G17="已包含在土地取得成本中","0",ROUND(D17*E17/10000,0))</f>
        <v>0</v>
      </c>
      <c r="D17" s="2650">
        <f ca="1">D15+D16</f>
        <v>24968.190000000002</v>
      </c>
      <c r="E17" s="2650">
        <f>'数据-取费表'!B31</f>
        <v>100</v>
      </c>
      <c r="F17" s="2617"/>
      <c r="G17" s="1375" t="s">
        <v>3941</v>
      </c>
    </row>
    <row r="18" spans="1:8" s="110" customFormat="1">
      <c r="A18" s="2670" t="s">
        <v>3295</v>
      </c>
      <c r="B18" s="2669" t="s">
        <v>1476</v>
      </c>
      <c r="C18" s="2609">
        <f ca="1">ROUND(E18*D18*F10/10000,0)</f>
        <v>494</v>
      </c>
      <c r="D18" s="2609">
        <f ca="1">D17</f>
        <v>24968.190000000002</v>
      </c>
      <c r="E18" s="2609">
        <f>'数据-取费表'!B35</f>
        <v>360</v>
      </c>
      <c r="F18" s="2620"/>
      <c r="G18" s="157" t="s">
        <v>1477</v>
      </c>
    </row>
    <row r="19" spans="1:8" s="110" customFormat="1">
      <c r="A19" s="2664" t="s">
        <v>352</v>
      </c>
      <c r="B19" s="2665" t="s">
        <v>3331</v>
      </c>
      <c r="C19" s="2609">
        <f ca="1">ROUND(C10*F19,0)</f>
        <v>133</v>
      </c>
      <c r="D19" s="145"/>
      <c r="E19" s="145"/>
      <c r="F19" s="2620">
        <f>'数据-取费表'!B36</f>
        <v>1.2999999999999999E-2</v>
      </c>
      <c r="G19" s="157" t="s">
        <v>1473</v>
      </c>
      <c r="H19" s="110">
        <f ca="1">ROUND(C19*10000/$D$18,2)</f>
        <v>53.27</v>
      </c>
    </row>
    <row r="20" spans="1:8" s="110" customFormat="1">
      <c r="A20" s="2664" t="s">
        <v>3296</v>
      </c>
      <c r="B20" s="2665" t="s">
        <v>3332</v>
      </c>
      <c r="C20" s="2609">
        <f ca="1">ROUND(C10*F20,0)</f>
        <v>164</v>
      </c>
      <c r="D20" s="2651"/>
      <c r="E20" s="141"/>
      <c r="F20" s="2620">
        <f>'数据-取费表'!B37</f>
        <v>1.6E-2</v>
      </c>
      <c r="G20" s="157" t="s">
        <v>1473</v>
      </c>
      <c r="H20" s="110">
        <f ca="1">ROUND(C20*10000/$D$18,2)</f>
        <v>65.680000000000007</v>
      </c>
    </row>
    <row r="21" spans="1:8" s="2621" customFormat="1" ht="15">
      <c r="A21" s="2599" t="s">
        <v>3347</v>
      </c>
      <c r="B21" s="2661" t="s">
        <v>3348</v>
      </c>
      <c r="C21" s="2622">
        <f ca="1">ROUND((C6+C9)*F21,0)</f>
        <v>1919</v>
      </c>
      <c r="D21" s="2623"/>
      <c r="E21" s="2623"/>
      <c r="F21" s="2627">
        <f>'数据-取费表'!B38</f>
        <v>0.02</v>
      </c>
      <c r="G21" s="2624" t="s">
        <v>3349</v>
      </c>
      <c r="H21" s="2621">
        <f ca="1">ROUND(C21*10000/$D$18,2)</f>
        <v>768.58</v>
      </c>
    </row>
    <row r="22" spans="1:8" s="2621" customFormat="1" ht="15">
      <c r="A22" s="2599" t="s">
        <v>3350</v>
      </c>
      <c r="B22" s="2661" t="s">
        <v>3351</v>
      </c>
      <c r="C22" s="2625" t="str">
        <f>F22&amp;"V"</f>
        <v>0.03V</v>
      </c>
      <c r="D22" s="297"/>
      <c r="E22" s="2623"/>
      <c r="F22" s="2627">
        <f>'数据-取费表'!B39</f>
        <v>0.03</v>
      </c>
      <c r="G22" s="3744" t="s">
        <v>3701</v>
      </c>
    </row>
    <row r="23" spans="1:8" s="2621" customFormat="1" ht="15">
      <c r="A23" s="2599" t="s">
        <v>3352</v>
      </c>
      <c r="B23" s="2663" t="s">
        <v>3300</v>
      </c>
      <c r="C23" s="2600" t="str">
        <f ca="1">SUM(C24:C25)&amp;"+"&amp;C26&amp;"V"</f>
        <v>3143+0.0005V</v>
      </c>
      <c r="D23" s="2626"/>
      <c r="E23" s="297"/>
      <c r="F23" s="2627">
        <f ca="1">'数据-取费表'!B41</f>
        <v>3.1300000000000001E-2</v>
      </c>
      <c r="G23" s="2624" t="str">
        <f>IF('数据-取费表'!B22&lt;=1,"单利计息","复利计息")</f>
        <v>复利计息</v>
      </c>
    </row>
    <row r="24" spans="1:8" s="110" customFormat="1">
      <c r="A24" s="2671" t="s">
        <v>1453</v>
      </c>
      <c r="B24" s="2669" t="s">
        <v>1454</v>
      </c>
      <c r="C24" s="2615">
        <f ca="1">ROUND(IF('数据-取费表'!B22&lt;=1,C6*F23*'数据-取费表'!B23,C6*(POWER((1+F23),'数据-取费表'!B23)-1)),0)</f>
        <v>2914</v>
      </c>
      <c r="D24" s="134"/>
      <c r="E24" s="134"/>
      <c r="F24" s="2616"/>
      <c r="G24" s="136" t="s">
        <v>1455</v>
      </c>
    </row>
    <row r="25" spans="1:8" s="110" customFormat="1">
      <c r="A25" s="2671" t="s">
        <v>1456</v>
      </c>
      <c r="B25" s="2669" t="s">
        <v>3301</v>
      </c>
      <c r="C25" s="2615">
        <f ca="1">ROUND(IF('数据-取费表'!B22&lt;=1,(C9+C21)*F23*'数据-取费表'!B23/2,(C9+C21)*(POWER((1+F23),'数据-取费表'!B23/2)-1)),0)</f>
        <v>229</v>
      </c>
      <c r="D25" s="134"/>
      <c r="E25" s="134"/>
      <c r="F25" s="2616"/>
      <c r="G25" s="136" t="s">
        <v>1457</v>
      </c>
    </row>
    <row r="26" spans="1:8" s="110" customFormat="1">
      <c r="A26" s="2671" t="s">
        <v>348</v>
      </c>
      <c r="B26" s="2669" t="s">
        <v>1458</v>
      </c>
      <c r="C26" s="2612">
        <f ca="1">ROUND(IF('数据-取费表'!B22&lt;=1,F22*F23*'数据-取费表'!B23/2,F22*(POWER((1+F23),'数据-取费表'!B23/2)-1)),4)</f>
        <v>5.0000000000000001E-4</v>
      </c>
      <c r="D26" s="134"/>
      <c r="E26" s="137"/>
      <c r="F26" s="2616"/>
      <c r="G26" s="139"/>
    </row>
    <row r="27" spans="1:8" s="2621" customFormat="1" ht="15">
      <c r="A27" s="2599" t="s">
        <v>3353</v>
      </c>
      <c r="B27" s="2663" t="s">
        <v>3302</v>
      </c>
      <c r="C27" s="2628" t="str">
        <f ca="1">C28&amp;"+"&amp;C29&amp;"V"</f>
        <v>4190+0.0021V</v>
      </c>
      <c r="D27" s="2626"/>
      <c r="E27" s="297"/>
      <c r="F27" s="2629">
        <f ca="1">IF(B1="",'数据-取费表'!Q16,INDIRECT("'数据-取费表'!q"&amp;$G$1))</f>
        <v>7.0000000000000007E-2</v>
      </c>
      <c r="G27" s="2624" t="s">
        <v>3354</v>
      </c>
    </row>
    <row r="28" spans="1:8" s="110" customFormat="1">
      <c r="A28" s="2664" t="s">
        <v>344</v>
      </c>
      <c r="B28" s="2669" t="s">
        <v>1463</v>
      </c>
      <c r="C28" s="2593">
        <f ca="1">ROUND(C6*F27*'数据-取费表'!B23/'数据-取费表'!B22+(C9+C21)*F27,0)</f>
        <v>4190</v>
      </c>
      <c r="D28" s="131"/>
      <c r="E28" s="132"/>
      <c r="F28" s="2617"/>
      <c r="G28" s="3197" t="s">
        <v>3499</v>
      </c>
    </row>
    <row r="29" spans="1:8" s="110" customFormat="1">
      <c r="A29" s="2664" t="s">
        <v>345</v>
      </c>
      <c r="B29" s="2669" t="s">
        <v>1464</v>
      </c>
      <c r="C29" s="2612">
        <f ca="1">ROUND(F22*F27,4)</f>
        <v>2.0999999999999999E-3</v>
      </c>
      <c r="D29" s="131"/>
      <c r="E29" s="132"/>
      <c r="F29" s="2617"/>
      <c r="G29" s="143"/>
    </row>
    <row r="30" spans="1:8" s="2621" customFormat="1" ht="15">
      <c r="A30" s="2599" t="s">
        <v>3355</v>
      </c>
      <c r="B30" s="2661" t="s">
        <v>3356</v>
      </c>
      <c r="C30" s="2622">
        <v>0</v>
      </c>
      <c r="D30" s="297"/>
      <c r="E30" s="2601"/>
      <c r="F30" s="2627"/>
      <c r="G30" s="2630" t="s">
        <v>3303</v>
      </c>
    </row>
    <row r="31" spans="1:8" s="110" customFormat="1" ht="15.75">
      <c r="A31" s="2672">
        <v>2</v>
      </c>
      <c r="B31" s="2673" t="s">
        <v>3304</v>
      </c>
      <c r="C31" s="2613">
        <f ca="1">C57</f>
        <v>0</v>
      </c>
      <c r="D31" s="2603"/>
      <c r="E31" s="2603"/>
      <c r="F31" s="2618">
        <f>IF('数据-取费表'!B24=0,'数据-取费表'!N16,1)</f>
        <v>1</v>
      </c>
      <c r="G31" s="2604" t="s">
        <v>3340</v>
      </c>
    </row>
    <row r="32" spans="1:8" s="110" customFormat="1" ht="15.75">
      <c r="A32" s="2591" t="s">
        <v>3305</v>
      </c>
      <c r="B32" s="2590" t="s">
        <v>3306</v>
      </c>
      <c r="C32" s="2613">
        <f ca="1">C5-C31</f>
        <v>108766</v>
      </c>
      <c r="D32" s="2603"/>
      <c r="E32" s="2603"/>
      <c r="F32" s="2602"/>
      <c r="G32" s="2605" t="s">
        <v>3339</v>
      </c>
    </row>
    <row r="33" spans="1:7" s="110" customFormat="1" ht="16.5" thickBot="1">
      <c r="A33" s="2674">
        <v>4</v>
      </c>
      <c r="B33" s="2675" t="s">
        <v>3341</v>
      </c>
      <c r="C33" s="2614">
        <f ca="1">ROUND(C32*(1+F33),0)</f>
        <v>118555</v>
      </c>
      <c r="D33" s="2606"/>
      <c r="E33" s="2606"/>
      <c r="F33" s="2619">
        <f>IF(G33="其他类型公式—成本价值×（1+9%）",9%,3%)</f>
        <v>0.09</v>
      </c>
      <c r="G33" s="3745" t="s">
        <v>3709</v>
      </c>
    </row>
    <row r="34" spans="1:7" s="119" customFormat="1"/>
    <row r="35" spans="1:7" s="110" customFormat="1"/>
    <row r="36" spans="1:7" s="110" customFormat="1"/>
    <row r="37" spans="1:7" s="110" customFormat="1"/>
    <row r="38" spans="1:7" ht="15.75" thickBot="1">
      <c r="A38" s="2889" t="s">
        <v>3307</v>
      </c>
      <c r="B38" s="2890"/>
      <c r="C38" s="2890"/>
      <c r="D38" s="2890"/>
      <c r="E38" s="2890"/>
      <c r="F38" s="2890"/>
      <c r="G38" s="2891"/>
    </row>
    <row r="39" spans="1:7" ht="15.75" thickBot="1">
      <c r="A39" s="2892" t="s">
        <v>3334</v>
      </c>
      <c r="B39" s="2893" t="s">
        <v>3335</v>
      </c>
      <c r="C39" s="2894" t="s">
        <v>3336</v>
      </c>
      <c r="D39" s="2895" t="s">
        <v>3469</v>
      </c>
      <c r="E39" s="2896" t="s">
        <v>3470</v>
      </c>
      <c r="F39" s="2896" t="s">
        <v>3471</v>
      </c>
      <c r="G39" s="2897" t="s">
        <v>3337</v>
      </c>
    </row>
    <row r="40" spans="1:7" ht="15">
      <c r="A40" s="2898" t="s">
        <v>3472</v>
      </c>
      <c r="B40" s="2899" t="s">
        <v>3308</v>
      </c>
      <c r="C40" s="2900">
        <f ca="1">SUM(C41:C46)</f>
        <v>11452</v>
      </c>
      <c r="D40" s="2898"/>
      <c r="E40" s="2898"/>
      <c r="F40" s="2898"/>
      <c r="G40" s="2898"/>
    </row>
    <row r="41" spans="1:7" ht="15.75">
      <c r="A41" s="2656" t="s">
        <v>3309</v>
      </c>
      <c r="B41" s="2726" t="str">
        <f t="shared" ref="B41:C43" si="0">B10</f>
        <v xml:space="preserve">  建安费用</v>
      </c>
      <c r="C41" s="2588">
        <f t="shared" ca="1" si="0"/>
        <v>10227</v>
      </c>
      <c r="D41" s="2583"/>
      <c r="E41" s="2583"/>
      <c r="F41" s="2584"/>
      <c r="G41" s="2584"/>
    </row>
    <row r="42" spans="1:7" ht="15.75">
      <c r="A42" s="2656" t="s">
        <v>3310</v>
      </c>
      <c r="B42" s="2726" t="str">
        <f t="shared" si="0"/>
        <v xml:space="preserve">  前期费用</v>
      </c>
      <c r="C42" s="2588">
        <f t="shared" ca="1" si="0"/>
        <v>256</v>
      </c>
      <c r="D42" s="2583"/>
      <c r="E42" s="2583"/>
      <c r="F42" s="2584"/>
      <c r="G42" s="2584"/>
    </row>
    <row r="43" spans="1:7" ht="15.75">
      <c r="A43" s="2656" t="s">
        <v>3382</v>
      </c>
      <c r="B43" s="2660" t="str">
        <f t="shared" si="0"/>
        <v xml:space="preserve">  公共配套设施费用</v>
      </c>
      <c r="C43" s="2588">
        <f t="shared" ca="1" si="0"/>
        <v>178</v>
      </c>
      <c r="D43" s="2583"/>
      <c r="E43" s="2583"/>
      <c r="F43" s="2584"/>
      <c r="G43" s="2584"/>
    </row>
    <row r="44" spans="1:7" ht="15.75">
      <c r="A44" s="2656" t="s">
        <v>3292</v>
      </c>
      <c r="B44" s="2660" t="str">
        <f>B18</f>
        <v>红线内市政费用</v>
      </c>
      <c r="C44" s="2588">
        <f ca="1">C18</f>
        <v>494</v>
      </c>
      <c r="D44" s="2583"/>
      <c r="E44" s="2583"/>
      <c r="F44" s="2584"/>
      <c r="G44" s="2584"/>
    </row>
    <row r="45" spans="1:7" ht="15.75">
      <c r="A45" s="2671" t="s">
        <v>3311</v>
      </c>
      <c r="B45" s="2666" t="str">
        <f>B19</f>
        <v xml:space="preserve">  其他工程费</v>
      </c>
      <c r="C45" s="2593">
        <f ca="1">C19</f>
        <v>133</v>
      </c>
      <c r="D45" s="2725"/>
      <c r="E45" s="2725"/>
      <c r="F45" s="2596"/>
      <c r="G45" s="2596"/>
    </row>
    <row r="46" spans="1:7" ht="15.75">
      <c r="A46" s="2671" t="s">
        <v>3381</v>
      </c>
      <c r="B46" s="2666" t="s">
        <v>3312</v>
      </c>
      <c r="C46" s="2593">
        <f ca="1">C20</f>
        <v>164</v>
      </c>
      <c r="D46" s="2725"/>
      <c r="E46" s="2725"/>
      <c r="F46" s="2596"/>
      <c r="G46" s="2596"/>
    </row>
    <row r="47" spans="1:7" ht="15">
      <c r="A47" s="2727" t="s">
        <v>3473</v>
      </c>
      <c r="B47" s="2728" t="s">
        <v>3474</v>
      </c>
      <c r="C47" s="2729">
        <f ca="1">ROUND(C40*F47,0)</f>
        <v>229</v>
      </c>
      <c r="D47" s="2730"/>
      <c r="E47" s="2730"/>
      <c r="F47" s="2731">
        <f>F21</f>
        <v>0.02</v>
      </c>
      <c r="G47" s="2732" t="s">
        <v>3475</v>
      </c>
    </row>
    <row r="48" spans="1:7" ht="15">
      <c r="A48" s="2727" t="s">
        <v>3476</v>
      </c>
      <c r="B48" s="2728" t="s">
        <v>3477</v>
      </c>
      <c r="C48" s="2733" t="str">
        <f>F48&amp;"V建1"</f>
        <v>0.03V建1</v>
      </c>
      <c r="D48" s="2730"/>
      <c r="E48" s="2730"/>
      <c r="F48" s="2731">
        <f>F22</f>
        <v>0.03</v>
      </c>
      <c r="G48" s="2732" t="s">
        <v>3478</v>
      </c>
    </row>
    <row r="49" spans="1:7" ht="15">
      <c r="A49" s="2727" t="s">
        <v>3479</v>
      </c>
      <c r="B49" s="2734" t="s">
        <v>3380</v>
      </c>
      <c r="C49" s="2622" t="str">
        <f ca="1">C50&amp;"+"&amp;C51&amp;"V建1"</f>
        <v>366+0.0009V建1</v>
      </c>
      <c r="D49" s="297"/>
      <c r="E49" s="297"/>
      <c r="F49" s="2735">
        <f ca="1">F23</f>
        <v>3.1300000000000001E-2</v>
      </c>
      <c r="G49" s="2901" t="str">
        <f>IF('数据-取费表'!B22&lt;=1,"单利计息","复利计息")</f>
        <v>复利计息</v>
      </c>
    </row>
    <row r="50" spans="1:7">
      <c r="A50" s="2656" t="s">
        <v>3309</v>
      </c>
      <c r="B50" s="2659" t="s">
        <v>3384</v>
      </c>
      <c r="C50" s="2751">
        <f ca="1">ROUND(IF('数据-取费表'!B22&lt;=1,(C40+C47)*F49*'数据-取费表'!B22/2,(C40+C47)*(POWER((1+F49),'数据-取费表'!B22/2)-1)),0)</f>
        <v>366</v>
      </c>
      <c r="D50" s="1048"/>
      <c r="E50" s="1048"/>
      <c r="F50" s="1031"/>
      <c r="G50" s="4367" t="s">
        <v>3325</v>
      </c>
    </row>
    <row r="51" spans="1:7">
      <c r="A51" s="2656" t="s">
        <v>3310</v>
      </c>
      <c r="B51" s="2660" t="s">
        <v>3315</v>
      </c>
      <c r="C51" s="2752">
        <f ca="1">ROUND(IF('数据-取费表'!B22&lt;=1,F48*F23*'数据-取费表'!B22/2,F48*(POWER((1+F23),'数据-取费表'!B22/2)-1)),4)</f>
        <v>8.9999999999999998E-4</v>
      </c>
      <c r="D51" s="1048"/>
      <c r="E51" s="1048"/>
      <c r="F51" s="1031"/>
      <c r="G51" s="4368"/>
    </row>
    <row r="52" spans="1:7" ht="15">
      <c r="A52" s="2727" t="s">
        <v>3480</v>
      </c>
      <c r="B52" s="2736" t="s">
        <v>3316</v>
      </c>
      <c r="C52" s="2737" t="str">
        <f ca="1">C53&amp;"+"&amp;C54&amp;"V建1"</f>
        <v>818+0.0021V建1</v>
      </c>
      <c r="D52" s="2738"/>
      <c r="E52" s="2730"/>
      <c r="F52" s="2739">
        <f ca="1">F27</f>
        <v>7.0000000000000007E-2</v>
      </c>
      <c r="G52" s="2740" t="s">
        <v>3481</v>
      </c>
    </row>
    <row r="53" spans="1:7">
      <c r="A53" s="2656" t="s">
        <v>3313</v>
      </c>
      <c r="B53" s="2659" t="s">
        <v>3317</v>
      </c>
      <c r="C53" s="2588">
        <f ca="1">ROUND((C40+C47)*F27,0)</f>
        <v>818</v>
      </c>
      <c r="D53" s="2589"/>
      <c r="E53" s="2585"/>
      <c r="F53" s="2586"/>
      <c r="G53" s="2587"/>
    </row>
    <row r="54" spans="1:7">
      <c r="A54" s="2656" t="s">
        <v>3314</v>
      </c>
      <c r="B54" s="2659" t="s">
        <v>3318</v>
      </c>
      <c r="C54" s="2655">
        <f ca="1">ROUND(F48*F27,4)</f>
        <v>2.0999999999999999E-3</v>
      </c>
      <c r="D54" s="2589"/>
      <c r="E54" s="2585"/>
      <c r="F54" s="2586"/>
      <c r="G54" s="2587"/>
    </row>
    <row r="55" spans="1:7" ht="15">
      <c r="A55" s="2599" t="s">
        <v>3482</v>
      </c>
      <c r="B55" s="2741" t="s">
        <v>3483</v>
      </c>
      <c r="C55" s="2742">
        <v>0</v>
      </c>
      <c r="D55" s="2626"/>
      <c r="E55" s="297"/>
      <c r="F55" s="2735"/>
      <c r="G55" s="2743" t="s">
        <v>3321</v>
      </c>
    </row>
    <row r="56" spans="1:7" ht="16.5">
      <c r="A56" s="2599" t="s">
        <v>3488</v>
      </c>
      <c r="B56" s="2741" t="s">
        <v>3484</v>
      </c>
      <c r="C56" s="2622">
        <f ca="1">ROUND((C40+C47+C50+C53)/(1-F48-C51-C54),0)</f>
        <v>13304</v>
      </c>
      <c r="D56" s="297"/>
      <c r="E56" s="297"/>
      <c r="F56" s="2744"/>
      <c r="G56" s="2743" t="s">
        <v>3322</v>
      </c>
    </row>
    <row r="57" spans="1:7" ht="15">
      <c r="A57" s="2599" t="s">
        <v>3449</v>
      </c>
      <c r="B57" s="2745" t="s">
        <v>3319</v>
      </c>
      <c r="C57" s="2622">
        <f ca="1">ROUND(C56*(1-F57),0)</f>
        <v>0</v>
      </c>
      <c r="D57" s="297"/>
      <c r="E57" s="297"/>
      <c r="F57" s="2744">
        <f>F31</f>
        <v>1</v>
      </c>
      <c r="G57" s="2743" t="s">
        <v>3323</v>
      </c>
    </row>
    <row r="58" spans="1:7" ht="16.5">
      <c r="A58" s="2599" t="s">
        <v>3485</v>
      </c>
      <c r="B58" s="2741" t="s">
        <v>3486</v>
      </c>
      <c r="C58" s="2622">
        <f ca="1">C56-C57</f>
        <v>13304</v>
      </c>
      <c r="D58" s="297"/>
      <c r="E58" s="297"/>
      <c r="F58" s="2744"/>
      <c r="G58" s="2743" t="s">
        <v>3324</v>
      </c>
    </row>
    <row r="59" spans="1:7" ht="15">
      <c r="A59" s="2746" t="s">
        <v>3383</v>
      </c>
      <c r="B59" s="2747" t="s">
        <v>3320</v>
      </c>
      <c r="C59" s="2748">
        <f ca="1">ROUND(C58*(1+F59),0)</f>
        <v>14501</v>
      </c>
      <c r="D59" s="2749"/>
      <c r="E59" s="2749"/>
      <c r="F59" s="2750">
        <f>F33</f>
        <v>0.09</v>
      </c>
      <c r="G59" s="2749" t="s">
        <v>3487</v>
      </c>
    </row>
    <row r="60" spans="1:7" ht="14.25">
      <c r="A60" s="2581"/>
      <c r="B60" s="2582"/>
    </row>
    <row r="62" spans="1:7" ht="21" customHeight="1">
      <c r="B62" s="2652" t="s">
        <v>1503</v>
      </c>
      <c r="C62" s="167"/>
    </row>
    <row r="63" spans="1:7" ht="21" customHeight="1">
      <c r="B63" s="55" t="s">
        <v>788</v>
      </c>
      <c r="C63" s="2653">
        <f ca="1">1-C64</f>
        <v>0.878</v>
      </c>
    </row>
    <row r="64" spans="1:7" ht="21" customHeight="1">
      <c r="B64" s="55" t="s">
        <v>789</v>
      </c>
      <c r="C64" s="2654">
        <f ca="1">ROUND(C58/C32,3)</f>
        <v>0.122</v>
      </c>
      <c r="D64" s="165" t="s">
        <v>3385</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1432</v>
      </c>
      <c r="B1" s="2952"/>
      <c r="C1" s="3509"/>
      <c r="D1" s="1378" t="s">
        <v>1504</v>
      </c>
      <c r="E1" s="94"/>
      <c r="F1" s="94"/>
      <c r="G1" s="789">
        <f>MATCH(B1,'数据-取费表'!A6:A16,0)+5</f>
        <v>9</v>
      </c>
      <c r="H1" s="3170" t="str">
        <f>IF(ISERROR(FIND("住宅",B1)),"非住宅","住宅")</f>
        <v>非住宅</v>
      </c>
    </row>
    <row r="2" spans="1:10" s="96" customFormat="1" ht="15.75">
      <c r="A2" s="97" t="s">
        <v>1433</v>
      </c>
      <c r="B2" s="3901">
        <f ca="1">ROUND(D3/10000,4)</f>
        <v>23314.811600000001</v>
      </c>
      <c r="C2" s="95" t="s">
        <v>1434</v>
      </c>
      <c r="D2" s="1372" t="s">
        <v>41</v>
      </c>
      <c r="E2" s="2596">
        <f ca="1">IF(D2="——",0,SUMIF(INDIRECT("'"&amp;G2&amp;"'"&amp;"!A:A"),"承租人权益价值",INDIRECT("'"&amp;G2&amp;"'"&amp;"!c:c")))</f>
        <v>0</v>
      </c>
      <c r="F2" s="1373" t="s">
        <v>1434</v>
      </c>
      <c r="G2" s="1374"/>
    </row>
    <row r="3" spans="1:10" s="96" customFormat="1" ht="16.5" thickBot="1">
      <c r="A3" s="99" t="s">
        <v>673</v>
      </c>
      <c r="B3" s="2611">
        <f ca="1">ROUND(D3/(IF(B1="",'数据-汇总表'!E3,INDIRECT("'数据-取费表'!k"&amp;$G$1))),0)</f>
        <v>9338</v>
      </c>
      <c r="C3" s="95" t="s">
        <v>1436</v>
      </c>
      <c r="D3" s="95">
        <f ca="1">IF(C1="含税",E2+C33,E2+C32)</f>
        <v>233148116</v>
      </c>
      <c r="E3" s="2597"/>
      <c r="F3" s="95"/>
      <c r="G3" s="95"/>
    </row>
    <row r="4" spans="1:10" s="96" customFormat="1" ht="16.5" thickBot="1">
      <c r="A4" s="2657" t="s">
        <v>3334</v>
      </c>
      <c r="B4" s="2658" t="s">
        <v>3335</v>
      </c>
      <c r="C4" s="2594" t="s">
        <v>3336</v>
      </c>
      <c r="D4" s="2631" t="s">
        <v>3342</v>
      </c>
      <c r="E4" s="2632" t="s">
        <v>3343</v>
      </c>
      <c r="F4" s="2632" t="s">
        <v>3344</v>
      </c>
      <c r="G4" s="2595" t="s">
        <v>3337</v>
      </c>
    </row>
    <row r="5" spans="1:10" s="104" customFormat="1" ht="15.75">
      <c r="A5" s="2633" t="s">
        <v>3333</v>
      </c>
      <c r="B5" s="2634" t="s">
        <v>3338</v>
      </c>
      <c r="C5" s="2607">
        <f ca="1">ROUND((C6+C9+C21+C24+C25+C28)/(1-F22-C26-C29),0)</f>
        <v>233148116</v>
      </c>
      <c r="D5" s="2635"/>
      <c r="E5" s="2635"/>
      <c r="F5" s="2635"/>
      <c r="G5" s="2803" t="s">
        <v>3489</v>
      </c>
      <c r="J5" s="96"/>
    </row>
    <row r="6" spans="1:10" s="2621" customFormat="1" ht="15">
      <c r="A6" s="2599" t="s">
        <v>3345</v>
      </c>
      <c r="B6" s="2661" t="s">
        <v>3346</v>
      </c>
      <c r="C6" s="2636">
        <f>C7+C8</f>
        <v>0</v>
      </c>
      <c r="D6" s="2598"/>
      <c r="E6" s="2598"/>
      <c r="F6" s="2598"/>
      <c r="G6" s="2637"/>
      <c r="J6" s="96"/>
    </row>
    <row r="7" spans="1:10" s="110" customFormat="1" ht="15">
      <c r="A7" s="2638" t="s">
        <v>344</v>
      </c>
      <c r="B7" s="2662" t="s">
        <v>1444</v>
      </c>
      <c r="C7" s="3171"/>
      <c r="D7" s="2639"/>
      <c r="E7" s="2640"/>
      <c r="F7" s="2640"/>
      <c r="G7" s="157"/>
      <c r="J7" s="96"/>
    </row>
    <row r="8" spans="1:10" s="110" customFormat="1" ht="15">
      <c r="A8" s="2638" t="s">
        <v>345</v>
      </c>
      <c r="B8" s="2662" t="s">
        <v>1446</v>
      </c>
      <c r="C8" s="2609">
        <f>ROUND(C7*F8,0)</f>
        <v>0</v>
      </c>
      <c r="D8" s="145"/>
      <c r="E8" s="2640"/>
      <c r="F8" s="2641">
        <f>IF(项目基本情况!B8="出让",0,'数据-取费表'!B49+'数据-取费表'!B50)</f>
        <v>3.0499999999999999E-2</v>
      </c>
      <c r="G8" s="157"/>
      <c r="J8" s="96"/>
    </row>
    <row r="9" spans="1:10" s="2621" customFormat="1" ht="15">
      <c r="A9" s="2642" t="s">
        <v>336</v>
      </c>
      <c r="B9" s="2663" t="s">
        <v>3291</v>
      </c>
      <c r="C9" s="2622">
        <f ca="1">C10+C11+C12+C13+C19+C20</f>
        <v>203408969</v>
      </c>
      <c r="D9" s="2643"/>
      <c r="E9" s="2644"/>
      <c r="F9" s="2645"/>
      <c r="G9" s="2646"/>
      <c r="J9" s="96"/>
    </row>
    <row r="10" spans="1:10" s="110" customFormat="1" ht="15">
      <c r="A10" s="2664" t="s">
        <v>344</v>
      </c>
      <c r="B10" s="2665" t="s">
        <v>3327</v>
      </c>
      <c r="C10" s="2609">
        <f ca="1">ROUND(IF(B1="",SUMPRODUCT('数据-取费表'!K6:K14,'数据-取费表'!L6:L14),INDIRECT("'数据-取费表'!l"&amp;$G$1)*INDIRECT("'数据-取费表'!k"&amp;$G$1)+'数据-取费表'!L14*INDIRECT("'数据-取费表'!S"&amp;$G$1)),0)</f>
        <v>185928150</v>
      </c>
      <c r="D10" s="2639"/>
      <c r="E10" s="145"/>
      <c r="F10" s="2647">
        <f ca="1">IF('数据-取费表'!B24=0,1,IF(B1="",'数据-取费表'!N16,INDIRECT("'数据-取费表'!n"&amp;$G$1)))</f>
        <v>0.55000000000000004</v>
      </c>
      <c r="G10" s="157" t="s">
        <v>1471</v>
      </c>
      <c r="J10" s="96"/>
    </row>
    <row r="11" spans="1:10" s="110" customFormat="1" ht="15">
      <c r="A11" s="2664" t="s">
        <v>349</v>
      </c>
      <c r="B11" s="2665" t="s">
        <v>3328</v>
      </c>
      <c r="C11" s="2609">
        <f ca="1">ROUND(C10*F11,0)</f>
        <v>4648204</v>
      </c>
      <c r="D11" s="145"/>
      <c r="E11" s="145"/>
      <c r="F11" s="2620">
        <f>'数据-取费表'!B33</f>
        <v>2.5000000000000001E-2</v>
      </c>
      <c r="G11" s="157" t="s">
        <v>1473</v>
      </c>
      <c r="J11" s="96"/>
    </row>
    <row r="12" spans="1:10" s="110" customFormat="1" ht="15">
      <c r="A12" s="2664" t="s">
        <v>350</v>
      </c>
      <c r="B12" s="2665" t="s">
        <v>3329</v>
      </c>
      <c r="C12" s="2609">
        <f ca="1">ROUND(IF(B1="",SUMIF('数据-取费表'!C:C,"住宅",IF(F10=100%,'数据-取费表'!M:M,'数据-取费表'!O:O))*F12,IF(INDIRECT("'数据-取费表'!c"&amp;$G$1)="住宅",IF(F10=100%,INDIRECT("'数据-取费表'!ap"&amp;$G$1)*F12,INDIRECT("'数据-取费表'!ap"&amp;$G$1)*INDIRECT("'数据-取费表'!n"&amp;$G$1)*F12),0)),0)</f>
        <v>178</v>
      </c>
      <c r="D12" s="145"/>
      <c r="E12" s="145"/>
      <c r="F12" s="2620">
        <f>'数据-取费表'!B34</f>
        <v>0.03</v>
      </c>
      <c r="G12" s="136" t="s">
        <v>1475</v>
      </c>
      <c r="J12" s="96"/>
    </row>
    <row r="13" spans="1:10" s="110" customFormat="1" ht="15">
      <c r="A13" s="2664" t="s">
        <v>3292</v>
      </c>
      <c r="B13" s="2665" t="s">
        <v>3330</v>
      </c>
      <c r="C13" s="2609">
        <f ca="1">C14+C17+C18</f>
        <v>7440521</v>
      </c>
      <c r="D13" s="145"/>
      <c r="E13" s="2640"/>
      <c r="F13" s="2641"/>
      <c r="G13" s="157"/>
      <c r="J13" s="96"/>
    </row>
    <row r="14" spans="1:10" s="119" customFormat="1" ht="15">
      <c r="A14" s="2592" t="s">
        <v>3293</v>
      </c>
      <c r="B14" s="2666" t="s">
        <v>3326</v>
      </c>
      <c r="C14" s="2609">
        <f>IF(G14="已包含在土地购买价格中","0",IF(B1="",'数据-取费表'!B29,IF(G15="全部缴纳",C15+C16,H15)))</f>
        <v>0</v>
      </c>
      <c r="D14" s="2648"/>
      <c r="E14" s="145"/>
      <c r="F14" s="2641"/>
      <c r="G14" s="1375"/>
      <c r="J14" s="96"/>
    </row>
    <row r="15" spans="1:10" s="110" customFormat="1" ht="15">
      <c r="A15" s="2667" t="s">
        <v>353</v>
      </c>
      <c r="B15" s="2668" t="s">
        <v>1449</v>
      </c>
      <c r="C15" s="2649">
        <f ca="1">ROUND(D15*E15,0)</f>
        <v>1728110</v>
      </c>
      <c r="D15" s="2649">
        <f ca="1">IF(B1="",'数据-汇总表'!E5,IF(INDIRECT("'数据-取费表'!c"&amp;$G$1)="住宅",INDIRECT("'数据-取费表'!k"&amp;$G$1),0))</f>
        <v>10800.690000000002</v>
      </c>
      <c r="E15" s="2649">
        <f>'数据-取费表'!B27</f>
        <v>160</v>
      </c>
      <c r="F15" s="2641"/>
      <c r="G15" s="1376"/>
      <c r="H15" s="795"/>
      <c r="I15" s="1377" t="s">
        <v>1450</v>
      </c>
      <c r="J15" s="96"/>
    </row>
    <row r="16" spans="1:10" s="110" customFormat="1" ht="15">
      <c r="A16" s="2667" t="s">
        <v>354</v>
      </c>
      <c r="B16" s="2668" t="s">
        <v>1451</v>
      </c>
      <c r="C16" s="2649">
        <f ca="1">ROUND(D16*E16,0)</f>
        <v>2833500</v>
      </c>
      <c r="D16" s="2649">
        <f ca="1">IF(B1="",'数据-汇总表'!E6,IF(INDIRECT("'数据-取费表'!c"&amp;$G$1)="住宅",INDIRECT("'数据-取费表'!s"&amp;$G$1),INDIRECT("'数据-取费表'!k"&amp;$G$1)+INDIRECT("'数据-取费表'!s"&amp;$G$1)))</f>
        <v>14167.5</v>
      </c>
      <c r="E16" s="2649">
        <f>'数据-取费表'!B28</f>
        <v>200</v>
      </c>
      <c r="F16" s="2641"/>
      <c r="G16" s="122"/>
      <c r="J16" s="96"/>
    </row>
    <row r="17" spans="1:10" s="110" customFormat="1" ht="15">
      <c r="A17" s="2592" t="s">
        <v>3294</v>
      </c>
      <c r="B17" s="2669" t="s">
        <v>3299</v>
      </c>
      <c r="C17" s="2609">
        <f ca="1">IF(G17="已包含在土地取得成本中","0",ROUND(D17*E17,0))</f>
        <v>2496819</v>
      </c>
      <c r="D17" s="2650">
        <f ca="1">D15+D16</f>
        <v>24968.190000000002</v>
      </c>
      <c r="E17" s="2650">
        <f>'数据-取费表'!B31</f>
        <v>100</v>
      </c>
      <c r="F17" s="2617"/>
      <c r="G17" s="1375"/>
      <c r="J17" s="96"/>
    </row>
    <row r="18" spans="1:10" s="110" customFormat="1" ht="15">
      <c r="A18" s="2670" t="s">
        <v>3295</v>
      </c>
      <c r="B18" s="2669" t="s">
        <v>1476</v>
      </c>
      <c r="C18" s="2609">
        <f ca="1">ROUND(E18*D18*F10,0)</f>
        <v>4943702</v>
      </c>
      <c r="D18" s="2609">
        <f ca="1">D17</f>
        <v>24968.190000000002</v>
      </c>
      <c r="E18" s="2609">
        <f>'数据-取费表'!B35</f>
        <v>360</v>
      </c>
      <c r="F18" s="2620"/>
      <c r="G18" s="157" t="s">
        <v>1477</v>
      </c>
      <c r="J18" s="96"/>
    </row>
    <row r="19" spans="1:10" s="110" customFormat="1" ht="15">
      <c r="A19" s="2664" t="s">
        <v>352</v>
      </c>
      <c r="B19" s="2665" t="s">
        <v>3331</v>
      </c>
      <c r="C19" s="2609">
        <f ca="1">ROUND(C10*F19,0)</f>
        <v>2417066</v>
      </c>
      <c r="D19" s="145"/>
      <c r="E19" s="145"/>
      <c r="F19" s="2620">
        <f>'数据-取费表'!B36</f>
        <v>1.2999999999999999E-2</v>
      </c>
      <c r="G19" s="157" t="s">
        <v>1473</v>
      </c>
      <c r="J19" s="96"/>
    </row>
    <row r="20" spans="1:10" s="110" customFormat="1" ht="15">
      <c r="A20" s="2664" t="s">
        <v>3296</v>
      </c>
      <c r="B20" s="2665" t="s">
        <v>3332</v>
      </c>
      <c r="C20" s="2609">
        <f ca="1">ROUND(C10*F20,0)</f>
        <v>2974850</v>
      </c>
      <c r="D20" s="2651"/>
      <c r="E20" s="141"/>
      <c r="F20" s="2620">
        <f>'数据-取费表'!B37</f>
        <v>1.6E-2</v>
      </c>
      <c r="G20" s="157" t="s">
        <v>1473</v>
      </c>
      <c r="J20" s="96"/>
    </row>
    <row r="21" spans="1:10" s="2621" customFormat="1" ht="15">
      <c r="A21" s="2599" t="s">
        <v>3347</v>
      </c>
      <c r="B21" s="2661" t="s">
        <v>3348</v>
      </c>
      <c r="C21" s="2622">
        <f ca="1">ROUND((C6+C9)*F21,0)</f>
        <v>4068179</v>
      </c>
      <c r="D21" s="2623"/>
      <c r="E21" s="2623"/>
      <c r="F21" s="2627">
        <f>'数据-取费表'!B38</f>
        <v>0.02</v>
      </c>
      <c r="G21" s="2624" t="s">
        <v>3349</v>
      </c>
      <c r="J21" s="96"/>
    </row>
    <row r="22" spans="1:10" s="2621" customFormat="1" ht="15">
      <c r="A22" s="2599" t="s">
        <v>3350</v>
      </c>
      <c r="B22" s="2661" t="s">
        <v>3351</v>
      </c>
      <c r="C22" s="2625" t="str">
        <f>F22&amp;"V"</f>
        <v>0.03V</v>
      </c>
      <c r="D22" s="297"/>
      <c r="E22" s="2623"/>
      <c r="F22" s="2627">
        <f>'数据-取费表'!B39</f>
        <v>0.03</v>
      </c>
      <c r="G22" s="3744" t="s">
        <v>3701</v>
      </c>
      <c r="J22" s="96"/>
    </row>
    <row r="23" spans="1:10" s="2621" customFormat="1" ht="15">
      <c r="A23" s="2599" t="s">
        <v>3352</v>
      </c>
      <c r="B23" s="2663" t="s">
        <v>3300</v>
      </c>
      <c r="C23" s="2600" t="str">
        <f ca="1">SUM(C24:C25)&amp;"+"&amp;C26&amp;"V"</f>
        <v>3546939+0.0005V</v>
      </c>
      <c r="D23" s="2626"/>
      <c r="E23" s="297"/>
      <c r="F23" s="2627">
        <f ca="1">'数据-取费表'!B41</f>
        <v>3.1300000000000001E-2</v>
      </c>
      <c r="G23" s="2624" t="str">
        <f>IF('数据-取费表'!B22&lt;=1,"单利计息","复利计息")</f>
        <v>复利计息</v>
      </c>
      <c r="J23" s="96"/>
    </row>
    <row r="24" spans="1:10" s="110" customFormat="1" ht="15">
      <c r="A24" s="2671" t="s">
        <v>344</v>
      </c>
      <c r="B24" s="2669" t="s">
        <v>1454</v>
      </c>
      <c r="C24" s="2615">
        <f ca="1">ROUND(IF('数据-取费表'!B22&lt;=1,C6*F23*'数据-取费表'!B23,C6*(POWER((1+F23),'数据-取费表'!B23)-1)),0)</f>
        <v>0</v>
      </c>
      <c r="D24" s="134"/>
      <c r="E24" s="134"/>
      <c r="F24" s="2616"/>
      <c r="G24" s="136" t="s">
        <v>1455</v>
      </c>
      <c r="J24" s="96"/>
    </row>
    <row r="25" spans="1:10" s="110" customFormat="1" ht="15">
      <c r="A25" s="2671" t="s">
        <v>345</v>
      </c>
      <c r="B25" s="2669" t="s">
        <v>3301</v>
      </c>
      <c r="C25" s="2615">
        <f ca="1">ROUND(IF('数据-取费表'!B22&lt;=1,(C9+C21)*F23*'数据-取费表'!B23/2,(C9+C21)*(POWER((1+F23),'数据-取费表'!B23/2)-1)),0)</f>
        <v>3546939</v>
      </c>
      <c r="D25" s="134"/>
      <c r="E25" s="134"/>
      <c r="F25" s="2616"/>
      <c r="G25" s="136" t="s">
        <v>1457</v>
      </c>
      <c r="J25" s="96"/>
    </row>
    <row r="26" spans="1:10" s="110" customFormat="1" ht="15">
      <c r="A26" s="2671" t="s">
        <v>348</v>
      </c>
      <c r="B26" s="2669" t="s">
        <v>1458</v>
      </c>
      <c r="C26" s="2612">
        <f ca="1">ROUND(IF('数据-取费表'!B22&lt;=1,F22*F23*'数据-取费表'!B23/2,F22*(POWER((1+F23),'数据-取费表'!B23/2)-1)),4)</f>
        <v>5.0000000000000001E-4</v>
      </c>
      <c r="D26" s="134"/>
      <c r="E26" s="137"/>
      <c r="F26" s="2616"/>
      <c r="G26" s="139"/>
      <c r="J26" s="96"/>
    </row>
    <row r="27" spans="1:10" s="2621" customFormat="1" ht="15">
      <c r="A27" s="2599" t="s">
        <v>3353</v>
      </c>
      <c r="B27" s="2663" t="s">
        <v>3302</v>
      </c>
      <c r="C27" s="2628" t="str">
        <f ca="1">C28&amp;"+"&amp;C29&amp;"V"</f>
        <v>14523400+0.0021V</v>
      </c>
      <c r="D27" s="2626"/>
      <c r="E27" s="297"/>
      <c r="F27" s="2629">
        <f ca="1">IF(B1="",'数据-取费表'!Q16,INDIRECT("'数据-取费表'!q"&amp;$G$1))</f>
        <v>7.0000000000000007E-2</v>
      </c>
      <c r="G27" s="2624" t="s">
        <v>3354</v>
      </c>
      <c r="J27" s="96"/>
    </row>
    <row r="28" spans="1:10" s="110" customFormat="1" ht="15">
      <c r="A28" s="2664" t="s">
        <v>344</v>
      </c>
      <c r="B28" s="2669" t="s">
        <v>1463</v>
      </c>
      <c r="C28" s="2593">
        <f ca="1">ROUND(C6*F27*'数据-取费表'!B23/'数据-取费表'!B22+(C9+C21)*F27,0)</f>
        <v>14523400</v>
      </c>
      <c r="D28" s="131"/>
      <c r="E28" s="132"/>
      <c r="F28" s="2617"/>
      <c r="G28" s="143"/>
      <c r="J28" s="96"/>
    </row>
    <row r="29" spans="1:10" s="110" customFormat="1" ht="15">
      <c r="A29" s="2664" t="s">
        <v>345</v>
      </c>
      <c r="B29" s="2669" t="s">
        <v>1464</v>
      </c>
      <c r="C29" s="2612">
        <f ca="1">ROUND(F22*F27,4)</f>
        <v>2.0999999999999999E-3</v>
      </c>
      <c r="D29" s="131"/>
      <c r="E29" s="132"/>
      <c r="F29" s="2617"/>
      <c r="G29" s="143"/>
      <c r="J29" s="96"/>
    </row>
    <row r="30" spans="1:10" s="2621" customFormat="1" ht="15">
      <c r="A30" s="2599" t="s">
        <v>3355</v>
      </c>
      <c r="B30" s="2661" t="s">
        <v>3356</v>
      </c>
      <c r="C30" s="2622">
        <v>0</v>
      </c>
      <c r="D30" s="297"/>
      <c r="E30" s="2601"/>
      <c r="F30" s="2627"/>
      <c r="G30" s="2630" t="s">
        <v>3303</v>
      </c>
      <c r="J30" s="96"/>
    </row>
    <row r="31" spans="1:10" s="110" customFormat="1" ht="15.75">
      <c r="A31" s="2672">
        <v>2</v>
      </c>
      <c r="B31" s="2673" t="s">
        <v>3304</v>
      </c>
      <c r="C31" s="2613">
        <f ca="1">C57</f>
        <v>0</v>
      </c>
      <c r="D31" s="2603"/>
      <c r="E31" s="2603"/>
      <c r="F31" s="2618">
        <f>IF('数据-取费表'!B24=0,'数据-取费表'!N16,1)</f>
        <v>1</v>
      </c>
      <c r="G31" s="2604" t="s">
        <v>3340</v>
      </c>
      <c r="J31" s="96"/>
    </row>
    <row r="32" spans="1:10" s="110" customFormat="1" ht="15.75">
      <c r="A32" s="2591" t="s">
        <v>3305</v>
      </c>
      <c r="B32" s="2590" t="s">
        <v>3306</v>
      </c>
      <c r="C32" s="2613">
        <f ca="1">C5-C31</f>
        <v>233148116</v>
      </c>
      <c r="D32" s="2603"/>
      <c r="E32" s="2603"/>
      <c r="F32" s="2602"/>
      <c r="G32" s="2605" t="s">
        <v>3339</v>
      </c>
      <c r="J32" s="96"/>
    </row>
    <row r="33" spans="1:10" s="110" customFormat="1" ht="16.5" thickBot="1">
      <c r="A33" s="2674">
        <v>4</v>
      </c>
      <c r="B33" s="2675" t="s">
        <v>3341</v>
      </c>
      <c r="C33" s="2614">
        <f ca="1">ROUND(C32*(1+F33),0)</f>
        <v>254131446</v>
      </c>
      <c r="D33" s="2606"/>
      <c r="E33" s="2606"/>
      <c r="F33" s="2619">
        <f>IF(G33="其他类型公式—成本价值×（1+9%）",9%,3%)</f>
        <v>0.09</v>
      </c>
      <c r="G33" s="3745" t="s">
        <v>3709</v>
      </c>
      <c r="J33" s="96"/>
    </row>
    <row r="34" spans="1:10" s="119" customFormat="1" ht="15">
      <c r="J34" s="96"/>
    </row>
    <row r="35" spans="1:10" s="110" customFormat="1"/>
    <row r="36" spans="1:10" s="110" customFormat="1"/>
    <row r="37" spans="1:10" s="110" customFormat="1"/>
    <row r="38" spans="1:10" ht="15.75" thickBot="1">
      <c r="A38" s="2889" t="s">
        <v>3307</v>
      </c>
      <c r="B38" s="2890"/>
      <c r="C38" s="2890"/>
      <c r="D38" s="2890"/>
      <c r="E38" s="2890"/>
      <c r="F38" s="2890"/>
      <c r="G38" s="2891"/>
    </row>
    <row r="39" spans="1:10" ht="15.75" thickBot="1">
      <c r="A39" s="2892" t="s">
        <v>3334</v>
      </c>
      <c r="B39" s="2893" t="s">
        <v>3335</v>
      </c>
      <c r="C39" s="2894" t="s">
        <v>3336</v>
      </c>
      <c r="D39" s="2895" t="s">
        <v>3469</v>
      </c>
      <c r="E39" s="2896" t="s">
        <v>3470</v>
      </c>
      <c r="F39" s="2896" t="s">
        <v>3471</v>
      </c>
      <c r="G39" s="2897" t="s">
        <v>3337</v>
      </c>
    </row>
    <row r="40" spans="1:10" ht="15">
      <c r="A40" s="2898" t="s">
        <v>3472</v>
      </c>
      <c r="B40" s="2899" t="s">
        <v>3308</v>
      </c>
      <c r="C40" s="2900">
        <f ca="1">SUM(C41:C46)</f>
        <v>200912150</v>
      </c>
      <c r="D40" s="2898"/>
      <c r="E40" s="2898"/>
      <c r="F40" s="2898"/>
      <c r="G40" s="2898"/>
    </row>
    <row r="41" spans="1:10" ht="15.75">
      <c r="A41" s="2656" t="s">
        <v>3309</v>
      </c>
      <c r="B41" s="2726" t="str">
        <f t="shared" ref="B41:C43" si="0">B10</f>
        <v xml:space="preserve">  建安费用</v>
      </c>
      <c r="C41" s="2588">
        <f t="shared" ca="1" si="0"/>
        <v>185928150</v>
      </c>
      <c r="D41" s="2583"/>
      <c r="E41" s="2583"/>
      <c r="F41" s="2584"/>
      <c r="G41" s="2584"/>
    </row>
    <row r="42" spans="1:10" ht="15.75">
      <c r="A42" s="2656" t="s">
        <v>3310</v>
      </c>
      <c r="B42" s="2726" t="str">
        <f t="shared" si="0"/>
        <v xml:space="preserve">  前期费用</v>
      </c>
      <c r="C42" s="2588">
        <f t="shared" ca="1" si="0"/>
        <v>4648204</v>
      </c>
      <c r="D42" s="2583"/>
      <c r="E42" s="2583"/>
      <c r="F42" s="2584"/>
      <c r="G42" s="2584"/>
    </row>
    <row r="43" spans="1:10" ht="15.75">
      <c r="A43" s="2656" t="s">
        <v>3382</v>
      </c>
      <c r="B43" s="2660" t="str">
        <f t="shared" si="0"/>
        <v xml:space="preserve">  公共配套设施费用</v>
      </c>
      <c r="C43" s="2588">
        <f t="shared" ca="1" si="0"/>
        <v>178</v>
      </c>
      <c r="D43" s="2583"/>
      <c r="E43" s="2583"/>
      <c r="F43" s="2584"/>
      <c r="G43" s="2584"/>
    </row>
    <row r="44" spans="1:10" ht="15.75">
      <c r="A44" s="2656" t="s">
        <v>3292</v>
      </c>
      <c r="B44" s="2660" t="str">
        <f>B18</f>
        <v>红线内市政费用</v>
      </c>
      <c r="C44" s="2588">
        <f ca="1">C18</f>
        <v>4943702</v>
      </c>
      <c r="D44" s="2583"/>
      <c r="E44" s="2583"/>
      <c r="F44" s="2584"/>
      <c r="G44" s="2584"/>
    </row>
    <row r="45" spans="1:10" ht="15.75">
      <c r="A45" s="2671" t="s">
        <v>3311</v>
      </c>
      <c r="B45" s="2666" t="str">
        <f>B19</f>
        <v xml:space="preserve">  其他工程费</v>
      </c>
      <c r="C45" s="2593">
        <f ca="1">C19</f>
        <v>2417066</v>
      </c>
      <c r="D45" s="2725"/>
      <c r="E45" s="2725"/>
      <c r="F45" s="2596"/>
      <c r="G45" s="2596"/>
    </row>
    <row r="46" spans="1:10" ht="15.75">
      <c r="A46" s="2671" t="s">
        <v>3381</v>
      </c>
      <c r="B46" s="2666" t="s">
        <v>3312</v>
      </c>
      <c r="C46" s="2593">
        <f ca="1">C20</f>
        <v>2974850</v>
      </c>
      <c r="D46" s="2725"/>
      <c r="E46" s="2725"/>
      <c r="F46" s="2596"/>
      <c r="G46" s="2596"/>
    </row>
    <row r="47" spans="1:10" ht="15">
      <c r="A47" s="2727" t="s">
        <v>3473</v>
      </c>
      <c r="B47" s="2728" t="s">
        <v>3474</v>
      </c>
      <c r="C47" s="2729">
        <f ca="1">ROUND(C40*F47,0)</f>
        <v>4018243</v>
      </c>
      <c r="D47" s="2730"/>
      <c r="E47" s="2730"/>
      <c r="F47" s="2731">
        <f>F21</f>
        <v>0.02</v>
      </c>
      <c r="G47" s="2732" t="s">
        <v>3475</v>
      </c>
    </row>
    <row r="48" spans="1:10" ht="15">
      <c r="A48" s="2727" t="s">
        <v>3476</v>
      </c>
      <c r="B48" s="2728" t="s">
        <v>3477</v>
      </c>
      <c r="C48" s="2733" t="str">
        <f>F48&amp;"V建1"</f>
        <v>0.03V建1</v>
      </c>
      <c r="D48" s="2730"/>
      <c r="E48" s="2730"/>
      <c r="F48" s="2731">
        <f>F22</f>
        <v>0.03</v>
      </c>
      <c r="G48" s="2732" t="s">
        <v>3478</v>
      </c>
    </row>
    <row r="49" spans="1:7" ht="15">
      <c r="A49" s="2727" t="s">
        <v>3479</v>
      </c>
      <c r="B49" s="2734" t="s">
        <v>3380</v>
      </c>
      <c r="C49" s="2622" t="str">
        <f ca="1">C50&amp;"+"&amp;C51&amp;"V建1"</f>
        <v>6414321+0.0009V建1</v>
      </c>
      <c r="D49" s="297"/>
      <c r="E49" s="297"/>
      <c r="F49" s="2735">
        <f ca="1">F23</f>
        <v>3.1300000000000001E-2</v>
      </c>
      <c r="G49" s="2901" t="str">
        <f>IF('数据-取费表'!B22&lt;=1,"单利计息","复利计息")</f>
        <v>复利计息</v>
      </c>
    </row>
    <row r="50" spans="1:7">
      <c r="A50" s="2656" t="s">
        <v>3309</v>
      </c>
      <c r="B50" s="2659" t="s">
        <v>3384</v>
      </c>
      <c r="C50" s="2751">
        <f ca="1">ROUND(IF('数据-取费表'!B22&lt;=1,(C40+C47)*F49*'数据-取费表'!B22/2,(C40+C47)*(POWER((1+F49),'数据-取费表'!B22/2)-1)),0)</f>
        <v>6414321</v>
      </c>
      <c r="D50" s="1048"/>
      <c r="E50" s="1048"/>
      <c r="F50" s="1031"/>
      <c r="G50" s="4367" t="s">
        <v>3325</v>
      </c>
    </row>
    <row r="51" spans="1:7">
      <c r="A51" s="2656" t="s">
        <v>3310</v>
      </c>
      <c r="B51" s="2660" t="s">
        <v>3315</v>
      </c>
      <c r="C51" s="2752">
        <f ca="1">ROUND(IF('数据-取费表'!B22&lt;=1,F48*F23*'数据-取费表'!B22/2,F48*(POWER((1+F23),'数据-取费表'!B22/2)-1)),4)</f>
        <v>8.9999999999999998E-4</v>
      </c>
      <c r="D51" s="1048"/>
      <c r="E51" s="1048"/>
      <c r="F51" s="1031"/>
      <c r="G51" s="4368"/>
    </row>
    <row r="52" spans="1:7" ht="15">
      <c r="A52" s="2727" t="s">
        <v>3480</v>
      </c>
      <c r="B52" s="2736" t="s">
        <v>3316</v>
      </c>
      <c r="C52" s="2737" t="str">
        <f ca="1">C53&amp;"+"&amp;C54&amp;"V建1"</f>
        <v>14345128+0.0021V建1</v>
      </c>
      <c r="D52" s="2738"/>
      <c r="E52" s="2730"/>
      <c r="F52" s="2739">
        <f ca="1">F27</f>
        <v>7.0000000000000007E-2</v>
      </c>
      <c r="G52" s="2740" t="s">
        <v>3481</v>
      </c>
    </row>
    <row r="53" spans="1:7">
      <c r="A53" s="2656" t="s">
        <v>3309</v>
      </c>
      <c r="B53" s="2659" t="s">
        <v>3317</v>
      </c>
      <c r="C53" s="2588">
        <f ca="1">ROUND((C40+C47)*F27,0)</f>
        <v>14345128</v>
      </c>
      <c r="D53" s="2589"/>
      <c r="E53" s="2585"/>
      <c r="F53" s="2586"/>
      <c r="G53" s="2587"/>
    </row>
    <row r="54" spans="1:7">
      <c r="A54" s="2656" t="s">
        <v>3310</v>
      </c>
      <c r="B54" s="2659" t="s">
        <v>3318</v>
      </c>
      <c r="C54" s="2655">
        <f ca="1">ROUND(F48*F27,4)</f>
        <v>2.0999999999999999E-3</v>
      </c>
      <c r="D54" s="2589"/>
      <c r="E54" s="2585"/>
      <c r="F54" s="2586"/>
      <c r="G54" s="2587"/>
    </row>
    <row r="55" spans="1:7" ht="15">
      <c r="A55" s="2599" t="s">
        <v>3482</v>
      </c>
      <c r="B55" s="2741" t="s">
        <v>3483</v>
      </c>
      <c r="C55" s="2742">
        <v>0</v>
      </c>
      <c r="D55" s="2626"/>
      <c r="E55" s="297"/>
      <c r="F55" s="2735"/>
      <c r="G55" s="2743" t="s">
        <v>3321</v>
      </c>
    </row>
    <row r="56" spans="1:7" ht="16.5">
      <c r="A56" s="2599" t="s">
        <v>3488</v>
      </c>
      <c r="B56" s="2741" t="s">
        <v>3484</v>
      </c>
      <c r="C56" s="2622">
        <f ca="1">ROUND((C40+C47+C50+C53)/(1-F48-C51-C54),0)</f>
        <v>233391770</v>
      </c>
      <c r="D56" s="297"/>
      <c r="E56" s="297"/>
      <c r="F56" s="2744"/>
      <c r="G56" s="2743" t="s">
        <v>3322</v>
      </c>
    </row>
    <row r="57" spans="1:7" ht="15">
      <c r="A57" s="2599" t="s">
        <v>3449</v>
      </c>
      <c r="B57" s="2745" t="s">
        <v>3304</v>
      </c>
      <c r="C57" s="2622">
        <f ca="1">ROUND(C56*(1-F57),0)</f>
        <v>0</v>
      </c>
      <c r="D57" s="297"/>
      <c r="E57" s="297"/>
      <c r="F57" s="2744">
        <f>F31</f>
        <v>1</v>
      </c>
      <c r="G57" s="2743" t="s">
        <v>3323</v>
      </c>
    </row>
    <row r="58" spans="1:7" ht="16.5">
      <c r="A58" s="2599" t="s">
        <v>3485</v>
      </c>
      <c r="B58" s="2741" t="s">
        <v>3486</v>
      </c>
      <c r="C58" s="2622">
        <f ca="1">C56-C57</f>
        <v>233391770</v>
      </c>
      <c r="D58" s="297"/>
      <c r="E58" s="297"/>
      <c r="F58" s="2744"/>
      <c r="G58" s="2743" t="s">
        <v>3324</v>
      </c>
    </row>
    <row r="59" spans="1:7" ht="15">
      <c r="A59" s="2746" t="s">
        <v>3383</v>
      </c>
      <c r="B59" s="2747" t="s">
        <v>3320</v>
      </c>
      <c r="C59" s="2748">
        <f ca="1">ROUND(C58*(1+F59),0)</f>
        <v>254397029</v>
      </c>
      <c r="D59" s="2749"/>
      <c r="E59" s="2749"/>
      <c r="F59" s="2750">
        <f>F33</f>
        <v>0.09</v>
      </c>
      <c r="G59" s="2749" t="s">
        <v>3487</v>
      </c>
    </row>
    <row r="60" spans="1:7" ht="14.25">
      <c r="A60" s="2581"/>
      <c r="B60" s="2582"/>
    </row>
    <row r="62" spans="1:7" ht="21" customHeight="1">
      <c r="B62" s="2652" t="s">
        <v>1503</v>
      </c>
      <c r="C62" s="167"/>
    </row>
    <row r="63" spans="1:7" ht="21" customHeight="1">
      <c r="B63" s="55" t="s">
        <v>788</v>
      </c>
      <c r="C63" s="2653">
        <f ca="1">1-C64</f>
        <v>-9.9999999999988987E-4</v>
      </c>
    </row>
    <row r="64" spans="1:7" ht="21" customHeight="1">
      <c r="B64" s="55" t="s">
        <v>789</v>
      </c>
      <c r="C64" s="2654">
        <f ca="1">ROUND(C58/C32,3)</f>
        <v>1.0009999999999999</v>
      </c>
      <c r="D64" s="165" t="s">
        <v>3385</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1432</v>
      </c>
      <c r="B1" s="1054"/>
      <c r="C1" s="1378" t="s">
        <v>1504</v>
      </c>
      <c r="D1" s="94"/>
      <c r="E1" s="94"/>
      <c r="F1" s="94"/>
      <c r="G1" s="789">
        <f>MATCH(B1,'数据-取费表'!A6:A16,0)+5</f>
        <v>9</v>
      </c>
      <c r="H1" s="731" t="str">
        <f>IF(ISERROR(FIND("住宅",B1)),"非住宅","住宅")</f>
        <v>非住宅</v>
      </c>
    </row>
    <row r="2" spans="1:8" s="96" customFormat="1" ht="18" customHeight="1">
      <c r="A2" s="97" t="s">
        <v>1433</v>
      </c>
      <c r="B2" s="2557">
        <f ca="1">ROUND(IF(D2="——",C52/10000,C52/10000-E2),4)</f>
        <v>27165.668099999999</v>
      </c>
      <c r="C2" s="95" t="s">
        <v>1434</v>
      </c>
      <c r="D2" s="1372" t="s">
        <v>41</v>
      </c>
      <c r="E2" s="804" t="e">
        <f ca="1">SUMIF(INDIRECT("'"&amp;G2&amp;"'"&amp;"!A:A"),"承租人权益价值",INDIRECT("'"&amp;G2&amp;"'"&amp;"!c:c"))</f>
        <v>#REF!</v>
      </c>
      <c r="F2" s="1373" t="s">
        <v>1434</v>
      </c>
      <c r="G2" s="1374"/>
    </row>
    <row r="3" spans="1:8" s="96" customFormat="1" ht="18" customHeight="1" thickBot="1">
      <c r="A3" s="99" t="s">
        <v>1435</v>
      </c>
      <c r="B3" s="100">
        <f ca="1">ROUND(B2*10000/(IF(B1="",'数据-汇总表'!E3,INDIRECT("'数据-取费表'!k"&amp;$G$1))),0)</f>
        <v>10880</v>
      </c>
      <c r="C3" s="95" t="s">
        <v>1436</v>
      </c>
      <c r="D3" s="95"/>
      <c r="E3" s="95"/>
      <c r="F3" s="95"/>
      <c r="G3" s="95"/>
    </row>
    <row r="4" spans="1:8" s="104" customFormat="1" ht="15.75">
      <c r="A4" s="101" t="s">
        <v>1437</v>
      </c>
      <c r="B4" s="102"/>
      <c r="C4" s="102"/>
      <c r="D4" s="102"/>
      <c r="E4" s="102"/>
      <c r="F4" s="102"/>
      <c r="G4" s="103"/>
    </row>
    <row r="5" spans="1:8" s="110" customFormat="1" ht="13.5" customHeight="1">
      <c r="A5" s="151" t="s">
        <v>1438</v>
      </c>
      <c r="B5" s="106" t="s">
        <v>1439</v>
      </c>
      <c r="C5" s="107">
        <f ca="1">C6+C7+C8</f>
        <v>25192220</v>
      </c>
      <c r="D5" s="107" t="s">
        <v>1440</v>
      </c>
      <c r="E5" s="108" t="s">
        <v>1441</v>
      </c>
      <c r="F5" s="108" t="s">
        <v>1442</v>
      </c>
      <c r="G5" s="109"/>
    </row>
    <row r="6" spans="1:8" s="110" customFormat="1" ht="13.5" customHeight="1">
      <c r="A6" s="539" t="s">
        <v>1443</v>
      </c>
      <c r="B6" s="111" t="s">
        <v>1444</v>
      </c>
      <c r="C6" s="112">
        <v>20020000</v>
      </c>
      <c r="D6" s="113"/>
      <c r="E6" s="114"/>
      <c r="F6" s="114"/>
      <c r="G6" s="115"/>
    </row>
    <row r="7" spans="1:8" s="110" customFormat="1" ht="13.5" customHeight="1">
      <c r="A7" s="539" t="s">
        <v>1445</v>
      </c>
      <c r="B7" s="111" t="s">
        <v>1446</v>
      </c>
      <c r="C7" s="116">
        <f>ROUND(C6*F7,0)</f>
        <v>610610</v>
      </c>
      <c r="D7" s="116"/>
      <c r="E7" s="114"/>
      <c r="F7" s="117">
        <f>IF(项目基本情况!B8="出让",0,'数据-取费表'!B49+'数据-取费表'!B50)</f>
        <v>3.0499999999999999E-2</v>
      </c>
      <c r="G7" s="115"/>
    </row>
    <row r="8" spans="1:8" s="119" customFormat="1">
      <c r="A8" s="539" t="s">
        <v>1447</v>
      </c>
      <c r="B8" s="111" t="s">
        <v>1448</v>
      </c>
      <c r="C8" s="116">
        <f ca="1">IF(G8="已包含在土地购买价格中",0,C9+C10)</f>
        <v>4561610</v>
      </c>
      <c r="D8" s="118"/>
      <c r="E8" s="116"/>
      <c r="F8" s="117"/>
      <c r="G8" s="1375"/>
    </row>
    <row r="9" spans="1:8" s="110" customFormat="1" ht="13.5" customHeight="1">
      <c r="A9" s="540" t="s">
        <v>353</v>
      </c>
      <c r="B9" s="120" t="s">
        <v>1449</v>
      </c>
      <c r="C9" s="121">
        <f ca="1">ROUND(D9*E9,0)</f>
        <v>1728110</v>
      </c>
      <c r="D9" s="566">
        <f ca="1">IF(B1="",'数据-汇总表'!E5,IF(INDIRECT("'数据-取费表'!c"&amp;$G$1)="住宅",INDIRECT("'数据-取费表'!k"&amp;$G$1),0))</f>
        <v>10800.690000000002</v>
      </c>
      <c r="E9" s="121">
        <f>'数据-取费表'!B27</f>
        <v>160</v>
      </c>
      <c r="F9" s="117"/>
      <c r="G9" s="122"/>
    </row>
    <row r="10" spans="1:8" s="110" customFormat="1" ht="13.5" customHeight="1">
      <c r="A10" s="540" t="s">
        <v>354</v>
      </c>
      <c r="B10" s="120" t="s">
        <v>1451</v>
      </c>
      <c r="C10" s="121">
        <f ca="1">ROUND(D10*E10,0)</f>
        <v>2833500</v>
      </c>
      <c r="D10" s="566">
        <f ca="1">IF(B1="",'数据-汇总表'!E6,IF(INDIRECT("'数据-取费表'!c"&amp;$G$1)="住宅",INDIRECT("'数据-取费表'!s"&amp;$G$1),INDIRECT("'数据-取费表'!k"&amp;$G$1)+INDIRECT("'数据-取费表'!s"&amp;$G$1)))</f>
        <v>14167.5</v>
      </c>
      <c r="E10" s="121">
        <f>'数据-取费表'!B28</f>
        <v>200</v>
      </c>
      <c r="F10" s="117"/>
      <c r="G10" s="122"/>
    </row>
    <row r="11" spans="1:8" s="110" customFormat="1" ht="13.5" customHeight="1">
      <c r="A11" s="123" t="s">
        <v>4</v>
      </c>
      <c r="B11" s="111" t="s">
        <v>1452</v>
      </c>
      <c r="C11" s="107"/>
      <c r="D11" s="114"/>
      <c r="E11" s="114"/>
      <c r="F11" s="114"/>
      <c r="G11" s="115"/>
    </row>
    <row r="12" spans="1:8" s="110" customFormat="1" ht="13.5" customHeight="1">
      <c r="A12" s="123" t="s">
        <v>5</v>
      </c>
      <c r="B12" s="111" t="s">
        <v>1505</v>
      </c>
      <c r="C12" s="107">
        <v>0</v>
      </c>
      <c r="D12" s="114"/>
      <c r="E12" s="124"/>
      <c r="F12" s="117">
        <v>3.0499999999999999E-2</v>
      </c>
      <c r="G12" s="115"/>
    </row>
    <row r="13" spans="1:8" s="110" customFormat="1" ht="13.5" customHeight="1">
      <c r="A13" s="123" t="s">
        <v>6</v>
      </c>
      <c r="B13" s="111" t="s">
        <v>1506</v>
      </c>
      <c r="C13" s="107"/>
      <c r="D13" s="114"/>
      <c r="E13" s="114"/>
      <c r="F13" s="114"/>
      <c r="G13" s="115"/>
    </row>
    <row r="14" spans="1:8" s="110" customFormat="1" ht="13.5" customHeight="1">
      <c r="A14" s="123" t="s">
        <v>7</v>
      </c>
      <c r="B14" s="111" t="s">
        <v>1448</v>
      </c>
      <c r="C14" s="107"/>
      <c r="D14" s="114"/>
      <c r="E14" s="114"/>
      <c r="F14" s="114"/>
      <c r="G14" s="115" t="s">
        <v>1507</v>
      </c>
    </row>
    <row r="15" spans="1:8" s="110" customFormat="1" ht="13.5" customHeight="1">
      <c r="A15" s="123" t="s">
        <v>8</v>
      </c>
      <c r="B15" s="111" t="s">
        <v>1508</v>
      </c>
      <c r="C15" s="116"/>
      <c r="D15" s="114"/>
      <c r="E15" s="114"/>
      <c r="F15" s="114"/>
      <c r="G15" s="115" t="s">
        <v>1509</v>
      </c>
    </row>
    <row r="16" spans="1:8" s="110" customFormat="1" ht="13.5" customHeight="1">
      <c r="A16" s="123" t="s">
        <v>9</v>
      </c>
      <c r="B16" s="111" t="s">
        <v>1448</v>
      </c>
      <c r="C16" s="116"/>
      <c r="D16" s="114"/>
      <c r="E16" s="114"/>
      <c r="F16" s="114"/>
      <c r="G16" s="115"/>
    </row>
    <row r="17" spans="1:7" s="110" customFormat="1" ht="13.5" customHeight="1">
      <c r="A17" s="123" t="s">
        <v>10</v>
      </c>
      <c r="B17" s="111" t="s">
        <v>1510</v>
      </c>
      <c r="C17" s="125"/>
      <c r="D17" s="125"/>
      <c r="E17" s="125"/>
      <c r="F17" s="125"/>
      <c r="G17" s="115" t="s">
        <v>1509</v>
      </c>
    </row>
    <row r="18" spans="1:7" s="110" customFormat="1" ht="13.5" customHeight="1">
      <c r="A18" s="123" t="s">
        <v>11</v>
      </c>
      <c r="B18" s="111" t="s">
        <v>1511</v>
      </c>
      <c r="C18" s="116">
        <v>0</v>
      </c>
      <c r="D18" s="114"/>
      <c r="E18" s="114"/>
      <c r="F18" s="117">
        <v>3.0499999999999999E-2</v>
      </c>
      <c r="G18" s="115" t="s">
        <v>1512</v>
      </c>
    </row>
    <row r="19" spans="1:7" s="119" customFormat="1" ht="13.5" customHeight="1">
      <c r="A19" s="151" t="s">
        <v>1513</v>
      </c>
      <c r="B19" s="106" t="s">
        <v>1514</v>
      </c>
      <c r="C19" s="107">
        <f ca="1">IF(G19="已包含在土地取得成本中","0",ROUND(D19*E19,0))</f>
        <v>2496819</v>
      </c>
      <c r="D19" s="108">
        <f ca="1">D9+D10</f>
        <v>24968.190000000002</v>
      </c>
      <c r="E19" s="107">
        <f>'数据-取费表'!B31</f>
        <v>100</v>
      </c>
      <c r="F19" s="127"/>
      <c r="G19" s="1375"/>
    </row>
    <row r="20" spans="1:7" s="110" customFormat="1" ht="13.5" customHeight="1">
      <c r="A20" s="151" t="s">
        <v>1515</v>
      </c>
      <c r="B20" s="106" t="s">
        <v>1516</v>
      </c>
      <c r="C20" s="128">
        <f ca="1">ROUND((C5+C19)*F20,0)</f>
        <v>553781</v>
      </c>
      <c r="D20" s="128"/>
      <c r="E20" s="128"/>
      <c r="F20" s="129">
        <f>'数据-取费表'!B38</f>
        <v>0.02</v>
      </c>
      <c r="G20" s="130" t="s">
        <v>1517</v>
      </c>
    </row>
    <row r="21" spans="1:7" s="110" customFormat="1" ht="13.5" customHeight="1">
      <c r="A21" s="151" t="s">
        <v>1518</v>
      </c>
      <c r="B21" s="106" t="s">
        <v>1519</v>
      </c>
      <c r="C21" s="131">
        <f>F21</f>
        <v>0.03</v>
      </c>
      <c r="D21" s="132" t="s">
        <v>1520</v>
      </c>
      <c r="E21" s="128"/>
      <c r="F21" s="129">
        <f>'数据-取费表'!B39</f>
        <v>0.03</v>
      </c>
      <c r="G21" s="130" t="s">
        <v>1521</v>
      </c>
    </row>
    <row r="22" spans="1:7" s="110" customFormat="1" ht="13.5" customHeight="1">
      <c r="A22" s="151" t="s">
        <v>1522</v>
      </c>
      <c r="B22" s="106" t="s">
        <v>1523</v>
      </c>
      <c r="C22" s="128">
        <f ca="1">ROUND(SUM(C23:C25),0)</f>
        <v>1777794</v>
      </c>
      <c r="D22" s="131">
        <f ca="1">C26</f>
        <v>8.9999999999999998E-4</v>
      </c>
      <c r="E22" s="132" t="s">
        <v>1520</v>
      </c>
      <c r="F22" s="133">
        <f ca="1">'数据-取费表'!B41</f>
        <v>3.1300000000000001E-2</v>
      </c>
      <c r="G22" s="130" t="str">
        <f>IF('数据-取费表'!B22&lt;=1,"单利计息","复利计息")</f>
        <v>复利计息</v>
      </c>
    </row>
    <row r="23" spans="1:7" s="110" customFormat="1" ht="13.5" customHeight="1">
      <c r="A23" s="541" t="s">
        <v>1443</v>
      </c>
      <c r="B23" s="111" t="s">
        <v>1524</v>
      </c>
      <c r="C23" s="134">
        <f ca="1">ROUND(IF('数据-取费表'!B22&lt;=1,C5*F22*'数据-取费表'!B22,C5*(POWER((1+F22),'数据-取费表'!B22)-1)),0)</f>
        <v>1601714</v>
      </c>
      <c r="D23" s="134"/>
      <c r="E23" s="134"/>
      <c r="F23" s="135"/>
      <c r="G23" s="136" t="s">
        <v>1525</v>
      </c>
    </row>
    <row r="24" spans="1:7" s="110" customFormat="1" ht="13.5" customHeight="1">
      <c r="A24" s="541" t="s">
        <v>1445</v>
      </c>
      <c r="B24" s="111" t="s">
        <v>1526</v>
      </c>
      <c r="C24" s="134">
        <f ca="1">ROUND(IF('数据-取费表'!B22&lt;=1,C19*F22*('数据-取费表'!B19/2+'数据-取费表'!B20),C19*(POWER((1+F22),('数据-取费表'!B19/2+'数据-取费表'!B20))-1)),0)</f>
        <v>158747</v>
      </c>
      <c r="D24" s="134"/>
      <c r="E24" s="134"/>
      <c r="F24" s="135"/>
      <c r="G24" s="136" t="s">
        <v>1527</v>
      </c>
    </row>
    <row r="25" spans="1:7" s="110" customFormat="1" ht="24">
      <c r="A25" s="541" t="s">
        <v>1447</v>
      </c>
      <c r="B25" s="111" t="s">
        <v>1528</v>
      </c>
      <c r="C25" s="134">
        <f ca="1">ROUND(IF('数据-取费表'!B22&lt;=1,C20*F22*'数据-取费表'!B22/2,C20*(POWER((1+F22),'数据-取费表'!B22/2)-1)),0)</f>
        <v>17333</v>
      </c>
      <c r="D25" s="134"/>
      <c r="E25" s="137"/>
      <c r="F25" s="135"/>
      <c r="G25" s="138" t="s">
        <v>1529</v>
      </c>
    </row>
    <row r="26" spans="1:7" s="110" customFormat="1">
      <c r="A26" s="541" t="s">
        <v>348</v>
      </c>
      <c r="B26" s="111" t="s">
        <v>1458</v>
      </c>
      <c r="C26" s="134">
        <f ca="1">ROUND(IF('数据-取费表'!B22&lt;=1,F21*F22*'数据-取费表'!B22/2,F21*(POWER((1+F22),'数据-取费表'!B22/2)-1)),4)</f>
        <v>8.9999999999999998E-4</v>
      </c>
      <c r="D26" s="134"/>
      <c r="E26" s="137"/>
      <c r="F26" s="135"/>
      <c r="G26" s="139"/>
    </row>
    <row r="27" spans="1:7" s="110" customFormat="1" ht="24.75">
      <c r="A27" s="151" t="s">
        <v>1459</v>
      </c>
      <c r="B27" s="140" t="s">
        <v>1460</v>
      </c>
      <c r="C27" s="141">
        <f ca="1">C28</f>
        <v>1976997</v>
      </c>
      <c r="D27" s="131">
        <f ca="1">C29</f>
        <v>2.0999999999999999E-3</v>
      </c>
      <c r="E27" s="132" t="s">
        <v>1461</v>
      </c>
      <c r="F27" s="142">
        <f ca="1">IF(B1="",'数据-取费表'!Q16,INDIRECT("'数据-取费表'!q"&amp;$G$1))</f>
        <v>7.0000000000000007E-2</v>
      </c>
      <c r="G27" s="143" t="s">
        <v>1462</v>
      </c>
    </row>
    <row r="28" spans="1:7" s="110" customFormat="1" ht="13.5" customHeight="1">
      <c r="A28" s="541" t="s">
        <v>344</v>
      </c>
      <c r="B28" s="144" t="s">
        <v>1463</v>
      </c>
      <c r="C28" s="145">
        <f ca="1">ROUND((C5+C19+C20)*F27,0)</f>
        <v>1976997</v>
      </c>
      <c r="D28" s="131"/>
      <c r="E28" s="132"/>
      <c r="F28" s="142"/>
      <c r="G28" s="143"/>
    </row>
    <row r="29" spans="1:7" s="110" customFormat="1" ht="13.5" customHeight="1">
      <c r="A29" s="541" t="s">
        <v>345</v>
      </c>
      <c r="B29" s="144" t="s">
        <v>1464</v>
      </c>
      <c r="C29" s="134">
        <f ca="1">ROUND(C21*F27,4)</f>
        <v>2.0999999999999999E-3</v>
      </c>
      <c r="D29" s="131"/>
      <c r="E29" s="132"/>
      <c r="F29" s="142"/>
      <c r="G29" s="143"/>
    </row>
    <row r="30" spans="1:7" s="110" customFormat="1" ht="13.5" customHeight="1">
      <c r="A30" s="151" t="s">
        <v>1465</v>
      </c>
      <c r="B30" s="106" t="s">
        <v>1466</v>
      </c>
      <c r="C30" s="131">
        <f>ROUND(F30/(1+'数据-取费表'!C43),4)</f>
        <v>5.9999999999999995E-4</v>
      </c>
      <c r="D30" s="132" t="s">
        <v>1461</v>
      </c>
      <c r="E30" s="137"/>
      <c r="F30" s="3172">
        <v>5.5999999999999995E-4</v>
      </c>
      <c r="G30" s="130" t="s">
        <v>1467</v>
      </c>
    </row>
    <row r="31" spans="1:7" ht="16.5" customHeight="1">
      <c r="A31" s="105">
        <v>1</v>
      </c>
      <c r="B31" s="106" t="s">
        <v>1468</v>
      </c>
      <c r="C31" s="107">
        <f ca="1">ROUND((C5+C19+C20+C22+C27)/(1-C21-D22-D27-C30),0)</f>
        <v>33110111</v>
      </c>
      <c r="D31" s="126"/>
      <c r="E31" s="107"/>
      <c r="F31" s="146"/>
      <c r="G31" s="130" t="s">
        <v>1469</v>
      </c>
    </row>
    <row r="32" spans="1:7" s="104" customFormat="1" ht="15.75">
      <c r="A32" s="148" t="s">
        <v>1530</v>
      </c>
      <c r="B32" s="149"/>
      <c r="C32" s="149"/>
      <c r="D32" s="149"/>
      <c r="E32" s="149"/>
      <c r="F32" s="149"/>
      <c r="G32" s="150"/>
    </row>
    <row r="33" spans="1:7" s="110" customFormat="1" ht="13.5" customHeight="1">
      <c r="A33" s="151" t="s">
        <v>335</v>
      </c>
      <c r="B33" s="106" t="s">
        <v>1531</v>
      </c>
      <c r="C33" s="152">
        <f ca="1">SUM(C34:C38)</f>
        <v>205222175</v>
      </c>
      <c r="D33" s="128"/>
      <c r="E33" s="108"/>
      <c r="F33" s="137"/>
      <c r="G33" s="130"/>
    </row>
    <row r="34" spans="1:7" s="154" customFormat="1" ht="13.5" customHeight="1">
      <c r="A34" s="541" t="s">
        <v>344</v>
      </c>
      <c r="B34" s="111" t="s">
        <v>1470</v>
      </c>
      <c r="C34" s="116">
        <f ca="1">ROUND(IF(B1="",SUMPRODUCT('数据-取费表'!K6:K14,'数据-取费表'!L6:L14),INDIRECT("'数据-取费表'!l"&amp;$G$1)*INDIRECT("'数据-取费表'!k"&amp;$G$1)+'数据-取费表'!L14*INDIRECT("'数据-取费表'!S"&amp;$G$1)),0)</f>
        <v>185928150</v>
      </c>
      <c r="D34" s="113"/>
      <c r="E34" s="116"/>
      <c r="F34" s="153"/>
      <c r="G34" s="115"/>
    </row>
    <row r="35" spans="1:7" ht="13.5" customHeight="1">
      <c r="A35" s="541" t="s">
        <v>349</v>
      </c>
      <c r="B35" s="111" t="s">
        <v>1472</v>
      </c>
      <c r="C35" s="116">
        <f ca="1">ROUND(C34*F35,0)</f>
        <v>4648204</v>
      </c>
      <c r="D35" s="116"/>
      <c r="E35" s="116"/>
      <c r="F35" s="155">
        <f>'数据-取费表'!B33</f>
        <v>2.5000000000000001E-2</v>
      </c>
      <c r="G35" s="115" t="s">
        <v>1473</v>
      </c>
    </row>
    <row r="36" spans="1:7" ht="24">
      <c r="A36" s="541" t="s">
        <v>350</v>
      </c>
      <c r="B36" s="111" t="s">
        <v>1474</v>
      </c>
      <c r="C36" s="116">
        <f ca="1">ROUND(IF(B1="",SUM('数据-取费表'!AP6:AP13)*F36,IF(INDIRECT("'数据-取费表'!c"&amp;$G$1)="住宅",INDIRECT("'数据-取费表'!k"&amp;$G$1)*INDIRECT("'数据-取费表'!l"&amp;$G$1)*F36,0)),0)</f>
        <v>3240207</v>
      </c>
      <c r="D36" s="116"/>
      <c r="E36" s="116"/>
      <c r="F36" s="155">
        <f>'数据-取费表'!B34</f>
        <v>0.03</v>
      </c>
      <c r="G36" s="156" t="s">
        <v>1475</v>
      </c>
    </row>
    <row r="37" spans="1:7" s="154" customFormat="1" ht="13.5" customHeight="1">
      <c r="A37" s="541" t="s">
        <v>351</v>
      </c>
      <c r="B37" s="111" t="s">
        <v>1476</v>
      </c>
      <c r="C37" s="145">
        <f ca="1">ROUND(E37*D37,0)</f>
        <v>8988548</v>
      </c>
      <c r="D37" s="113">
        <f ca="1">D19</f>
        <v>24968.190000000002</v>
      </c>
      <c r="E37" s="145">
        <f>'数据-取费表'!B35</f>
        <v>360</v>
      </c>
      <c r="F37" s="155"/>
      <c r="G37" s="157"/>
    </row>
    <row r="38" spans="1:7" ht="13.5" customHeight="1">
      <c r="A38" s="541" t="s">
        <v>352</v>
      </c>
      <c r="B38" s="111" t="s">
        <v>1478</v>
      </c>
      <c r="C38" s="116">
        <f ca="1">ROUND(C34*F38,0)</f>
        <v>2417066</v>
      </c>
      <c r="D38" s="116"/>
      <c r="E38" s="116"/>
      <c r="F38" s="155">
        <f>'数据-取费表'!B36</f>
        <v>1.2999999999999999E-2</v>
      </c>
      <c r="G38" s="115" t="s">
        <v>1473</v>
      </c>
    </row>
    <row r="39" spans="1:7" s="110" customFormat="1" ht="13.5" customHeight="1">
      <c r="A39" s="151" t="s">
        <v>1479</v>
      </c>
      <c r="B39" s="106" t="s">
        <v>1480</v>
      </c>
      <c r="C39" s="128">
        <f ca="1">ROUND(C33*F20,0)</f>
        <v>4104444</v>
      </c>
      <c r="D39" s="128"/>
      <c r="E39" s="128"/>
      <c r="F39" s="129">
        <f>F20</f>
        <v>0.02</v>
      </c>
      <c r="G39" s="130" t="s">
        <v>1481</v>
      </c>
    </row>
    <row r="40" spans="1:7" s="110" customFormat="1" ht="13.5" customHeight="1">
      <c r="A40" s="151" t="s">
        <v>1482</v>
      </c>
      <c r="B40" s="106" t="s">
        <v>1483</v>
      </c>
      <c r="C40" s="131">
        <f>F21</f>
        <v>0.03</v>
      </c>
      <c r="D40" s="132" t="s">
        <v>1484</v>
      </c>
      <c r="E40" s="128"/>
      <c r="F40" s="129">
        <f>F21</f>
        <v>0.03</v>
      </c>
      <c r="G40" s="130" t="s">
        <v>1485</v>
      </c>
    </row>
    <row r="41" spans="1:7" s="110" customFormat="1" ht="13.5" customHeight="1">
      <c r="A41" s="151" t="s">
        <v>1486</v>
      </c>
      <c r="B41" s="106" t="s">
        <v>1487</v>
      </c>
      <c r="C41" s="128">
        <f ca="1">ROUND(SUM(C42:C43),0)</f>
        <v>6551923</v>
      </c>
      <c r="D41" s="131">
        <f ca="1">C44</f>
        <v>8.9999999999999998E-4</v>
      </c>
      <c r="E41" s="132" t="s">
        <v>1484</v>
      </c>
      <c r="F41" s="133">
        <f ca="1">F22</f>
        <v>3.1300000000000001E-2</v>
      </c>
      <c r="G41" s="130" t="str">
        <f>IF('数据-取费表'!B22&lt;=1,"单利计息","复利计息")</f>
        <v>复利计息</v>
      </c>
    </row>
    <row r="42" spans="1:7" ht="13.5" customHeight="1">
      <c r="A42" s="541" t="s">
        <v>344</v>
      </c>
      <c r="B42" s="111" t="s">
        <v>1488</v>
      </c>
      <c r="C42" s="134">
        <f ca="1">ROUND(IF('数据-取费表'!B22&lt;=1,C33*F22*'数据-取费表'!B20/2,C33*(POWER((1+F22),'数据-取费表'!B20/2)-1)),0)</f>
        <v>6423454</v>
      </c>
      <c r="D42" s="134"/>
      <c r="E42" s="134"/>
      <c r="F42" s="135"/>
      <c r="G42" s="4367" t="s">
        <v>1532</v>
      </c>
    </row>
    <row r="43" spans="1:7" ht="13.5" customHeight="1">
      <c r="A43" s="541" t="s">
        <v>345</v>
      </c>
      <c r="B43" s="111" t="s">
        <v>1489</v>
      </c>
      <c r="C43" s="134">
        <f ca="1">ROUND(IF('数据-取费表'!B22&lt;=1,C39*F22*'数据-取费表'!B20/2,C39*(POWER((1+F22),'数据-取费表'!B20/2)-1)),0)</f>
        <v>128469</v>
      </c>
      <c r="D43" s="134"/>
      <c r="E43" s="134"/>
      <c r="F43" s="135"/>
      <c r="G43" s="4369"/>
    </row>
    <row r="44" spans="1:7" ht="13.5" customHeight="1">
      <c r="A44" s="541" t="s">
        <v>346</v>
      </c>
      <c r="B44" s="111" t="s">
        <v>1490</v>
      </c>
      <c r="C44" s="134">
        <f ca="1">ROUND(IF('数据-取费表'!B22&lt;=1,C40*F22*'数据-取费表'!B20/2,C40*(POWER((1+F22),'数据-取费表'!B20/2)-1)),4)</f>
        <v>8.9999999999999998E-4</v>
      </c>
      <c r="D44" s="134"/>
      <c r="E44" s="134"/>
      <c r="F44" s="135"/>
      <c r="G44" s="4368"/>
    </row>
    <row r="45" spans="1:7" s="110" customFormat="1" ht="13.5" customHeight="1">
      <c r="A45" s="151" t="s">
        <v>1491</v>
      </c>
      <c r="B45" s="140" t="s">
        <v>1460</v>
      </c>
      <c r="C45" s="141">
        <f ca="1">C46</f>
        <v>14652863</v>
      </c>
      <c r="D45" s="131">
        <f ca="1">C47</f>
        <v>2.0999999999999999E-3</v>
      </c>
      <c r="E45" s="132" t="s">
        <v>1484</v>
      </c>
      <c r="F45" s="142">
        <f ca="1">F27</f>
        <v>7.0000000000000007E-2</v>
      </c>
      <c r="G45" s="143" t="s">
        <v>1492</v>
      </c>
    </row>
    <row r="46" spans="1:7" s="110" customFormat="1" ht="13.5" customHeight="1">
      <c r="A46" s="541" t="s">
        <v>344</v>
      </c>
      <c r="B46" s="144" t="s">
        <v>1493</v>
      </c>
      <c r="C46" s="145">
        <f ca="1">ROUND((C33+C39)*F27,0)</f>
        <v>14652863</v>
      </c>
      <c r="D46" s="159"/>
      <c r="E46" s="132"/>
      <c r="F46" s="142"/>
      <c r="G46" s="143"/>
    </row>
    <row r="47" spans="1:7" s="110" customFormat="1" ht="13.5" customHeight="1">
      <c r="A47" s="541" t="s">
        <v>345</v>
      </c>
      <c r="B47" s="144" t="s">
        <v>1494</v>
      </c>
      <c r="C47" s="134">
        <f ca="1">ROUND(C40*F27,4)</f>
        <v>2.0999999999999999E-3</v>
      </c>
      <c r="D47" s="159"/>
      <c r="E47" s="132"/>
      <c r="F47" s="142"/>
      <c r="G47" s="143"/>
    </row>
    <row r="48" spans="1:7" s="110" customFormat="1" ht="13.5" customHeight="1">
      <c r="A48" s="151" t="s">
        <v>1459</v>
      </c>
      <c r="B48" s="106" t="s">
        <v>1495</v>
      </c>
      <c r="C48" s="158">
        <f>ROUND(F30/(1+'数据-取费表'!C43),4)</f>
        <v>5.9999999999999995E-4</v>
      </c>
      <c r="D48" s="132" t="s">
        <v>1484</v>
      </c>
      <c r="E48" s="128"/>
      <c r="F48" s="3173">
        <f>F30</f>
        <v>5.5999999999999995E-4</v>
      </c>
      <c r="G48" s="130" t="s">
        <v>1496</v>
      </c>
    </row>
    <row r="49" spans="1:7" ht="16.5" customHeight="1">
      <c r="A49" s="151" t="s">
        <v>1465</v>
      </c>
      <c r="B49" s="106" t="s">
        <v>1533</v>
      </c>
      <c r="C49" s="128">
        <f ca="1">ROUND((C33+C39+C41+C45)/(1-C40-D41-D45-C48),0)</f>
        <v>238546570</v>
      </c>
      <c r="D49" s="128"/>
      <c r="E49" s="128"/>
      <c r="F49" s="160"/>
      <c r="G49" s="130" t="s">
        <v>1497</v>
      </c>
    </row>
    <row r="50" spans="1:7" s="154" customFormat="1">
      <c r="A50" s="151" t="s">
        <v>1498</v>
      </c>
      <c r="B50" s="106" t="s">
        <v>1499</v>
      </c>
      <c r="C50" s="128"/>
      <c r="D50" s="128"/>
      <c r="E50" s="128"/>
      <c r="F50" s="160">
        <f>IF('数据-取费表'!B24=0,'数据-取费表'!N16,1)</f>
        <v>1</v>
      </c>
      <c r="G50" s="143"/>
    </row>
    <row r="51" spans="1:7" ht="16.5" customHeight="1">
      <c r="A51" s="151" t="s">
        <v>1500</v>
      </c>
      <c r="B51" s="106" t="s">
        <v>1534</v>
      </c>
      <c r="C51" s="128">
        <f ca="1">ROUND(C49*F50,0)</f>
        <v>238546570</v>
      </c>
      <c r="D51" s="128"/>
      <c r="E51" s="128"/>
      <c r="F51" s="160"/>
      <c r="G51" s="130" t="s">
        <v>1501</v>
      </c>
    </row>
    <row r="52" spans="1:7" s="104" customFormat="1" ht="16.5" thickBot="1">
      <c r="A52" s="161" t="s">
        <v>1502</v>
      </c>
      <c r="B52" s="162"/>
      <c r="C52" s="163">
        <f ca="1">C31+C51</f>
        <v>271656681</v>
      </c>
      <c r="D52" s="162"/>
      <c r="E52" s="162"/>
      <c r="F52" s="162"/>
      <c r="G52" s="164"/>
    </row>
    <row r="55" spans="1:7" ht="15">
      <c r="B55" s="166" t="s">
        <v>1503</v>
      </c>
      <c r="C55" s="167"/>
    </row>
    <row r="56" spans="1:7">
      <c r="B56" s="169" t="s">
        <v>788</v>
      </c>
      <c r="C56" s="171">
        <f ca="1">1-C57</f>
        <v>0.122</v>
      </c>
    </row>
    <row r="57" spans="1:7">
      <c r="B57" s="169" t="s">
        <v>789</v>
      </c>
      <c r="C57" s="170">
        <f ca="1">ROUND(C51/C52,3)</f>
        <v>0.878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3"/>
  <sheetViews>
    <sheetView view="pageBreakPreview" zoomScaleNormal="60" zoomScaleSheetLayoutView="100" workbookViewId="0">
      <selection activeCell="G59" sqref="G5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1782</v>
      </c>
      <c r="D1" s="480"/>
      <c r="E1" s="480"/>
      <c r="F1" s="479" t="s">
        <v>1681</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2613">
        <f>F67</f>
        <v>82015</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f>ROUND(IF(D3="",B2*10000/'数据-汇总表'!E3,B2*10000/D3),0)</f>
        <v>32848</v>
      </c>
      <c r="C3" s="99" t="s">
        <v>1783</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3653</v>
      </c>
      <c r="B4" s="3576">
        <f>IF(B48="单位面积地价",C50,ROUND(B2*10000/'数据-汇总表'!D3,0))</f>
        <v>106235</v>
      </c>
      <c r="C4" s="1373" t="s">
        <v>3655</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f>ROUND(B2/('数据-汇总表'!D3/666.67),0)</f>
        <v>7082</v>
      </c>
      <c r="C5" s="3577" t="s">
        <v>3654</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1683</v>
      </c>
      <c r="B6" s="237"/>
      <c r="C6" s="4389" t="s">
        <v>1684</v>
      </c>
      <c r="D6" s="4390"/>
      <c r="E6" s="4391" t="s">
        <v>1685</v>
      </c>
      <c r="F6" s="4392"/>
      <c r="G6" s="4389" t="s">
        <v>1686</v>
      </c>
      <c r="H6" s="4390"/>
      <c r="I6" s="4389" t="s">
        <v>1687</v>
      </c>
      <c r="J6" s="4390"/>
      <c r="K6" s="2987" t="s">
        <v>1688</v>
      </c>
      <c r="L6" s="2020"/>
      <c r="M6" s="2021"/>
      <c r="N6" s="2021"/>
      <c r="O6" s="2021"/>
      <c r="P6" s="4393" t="s">
        <v>1689</v>
      </c>
      <c r="Q6" s="4394"/>
      <c r="R6" s="4375" t="s">
        <v>1685</v>
      </c>
      <c r="S6" s="4376"/>
      <c r="T6" s="4375" t="s">
        <v>1686</v>
      </c>
      <c r="U6" s="4376"/>
      <c r="V6" s="4401" t="s">
        <v>1687</v>
      </c>
      <c r="W6" s="4401"/>
      <c r="X6" s="946"/>
      <c r="Y6" s="4404" t="s">
        <v>1689</v>
      </c>
      <c r="Z6" s="4405"/>
      <c r="AA6" s="4370" t="s">
        <v>1685</v>
      </c>
      <c r="AB6" s="4371" t="s">
        <v>1686</v>
      </c>
      <c r="AC6" s="4370" t="s">
        <v>1687</v>
      </c>
    </row>
    <row r="7" spans="1:29" ht="15">
      <c r="A7" s="239"/>
      <c r="B7" s="240"/>
      <c r="C7" s="4381" t="s">
        <v>1587</v>
      </c>
      <c r="D7" s="4382"/>
      <c r="E7" s="4379" t="str">
        <f>土地案例!A7</f>
        <v>北京市海淀区东升镇北部片区朱房四街棚户区改造项目二期(剩余用地)HD00-0803-0029地块R2二类居住用地</v>
      </c>
      <c r="F7" s="4380"/>
      <c r="G7" s="4381" t="str">
        <f>土地案例!A8</f>
        <v>北京市海淀区东升镇北部片区朱房四街棚户区改造项目二期(剩余用地)HD00-0803-0030地块R2二类居住用地</v>
      </c>
      <c r="H7" s="4382"/>
      <c r="I7" s="4381" t="str">
        <f>土地案例!A10</f>
        <v>北京市海淀区功德寺棚户区改造项目HD-GDS-002地块R2二类居住用地</v>
      </c>
      <c r="J7" s="4382"/>
      <c r="K7" s="2987"/>
      <c r="L7" s="2020"/>
      <c r="M7" s="2021"/>
      <c r="N7" s="2021"/>
      <c r="O7" s="2021"/>
      <c r="P7" s="4395"/>
      <c r="Q7" s="4396"/>
      <c r="R7" s="4377"/>
      <c r="S7" s="4378"/>
      <c r="T7" s="4377"/>
      <c r="U7" s="4378"/>
      <c r="V7" s="4401"/>
      <c r="W7" s="4401"/>
      <c r="X7" s="946"/>
      <c r="Y7" s="4406"/>
      <c r="Z7" s="4407"/>
      <c r="AA7" s="4371"/>
      <c r="AB7" s="4371"/>
      <c r="AC7" s="4371"/>
    </row>
    <row r="8" spans="1:29" ht="15.75" thickBot="1">
      <c r="A8" s="241"/>
      <c r="B8" s="242"/>
      <c r="C8" s="4383" t="s">
        <v>1591</v>
      </c>
      <c r="D8" s="4384"/>
      <c r="E8" s="4385" t="s">
        <v>1591</v>
      </c>
      <c r="F8" s="4386"/>
      <c r="G8" s="4383" t="s">
        <v>1591</v>
      </c>
      <c r="H8" s="4384"/>
      <c r="I8" s="4383" t="s">
        <v>1591</v>
      </c>
      <c r="J8" s="4384"/>
      <c r="K8" s="2987" t="s">
        <v>1592</v>
      </c>
      <c r="L8" s="2020"/>
      <c r="M8" s="2021"/>
      <c r="N8" s="2021"/>
      <c r="O8" s="2021"/>
      <c r="P8" s="4397"/>
      <c r="Q8" s="4398"/>
      <c r="R8" s="4377"/>
      <c r="S8" s="4378"/>
      <c r="T8" s="4399"/>
      <c r="U8" s="4400"/>
      <c r="V8" s="4401"/>
      <c r="W8" s="4401"/>
      <c r="X8" s="946"/>
      <c r="Y8" s="4408"/>
      <c r="Z8" s="4409"/>
      <c r="AA8" s="4372"/>
      <c r="AB8" s="4372"/>
      <c r="AC8" s="4372"/>
    </row>
    <row r="9" spans="1:29" s="46" customFormat="1" ht="15.75" thickBot="1">
      <c r="A9" s="3260" t="s">
        <v>1593</v>
      </c>
      <c r="B9" s="3261"/>
      <c r="C9" s="2935">
        <f>'数据-取费表'!B2</f>
        <v>46043</v>
      </c>
      <c r="D9" s="3009">
        <v>100</v>
      </c>
      <c r="E9" s="2964" t="str">
        <f>土地案例!L7</f>
        <v>2025-01-02</v>
      </c>
      <c r="F9" s="3942">
        <f>SUMIF(71:71,YEAR(E9)&amp;"-"&amp;INT((MONTH(E9)+2)/3),72:72)</f>
        <v>100.3</v>
      </c>
      <c r="G9" s="3291" t="str">
        <f>土地案例!L8</f>
        <v>2025-01-02</v>
      </c>
      <c r="H9" s="3954">
        <f>SUMIF(71:71,YEAR(G9)&amp;"-"&amp;INT((MONTH(G9)+2)/3),72:72)</f>
        <v>100.3</v>
      </c>
      <c r="I9" s="3291" t="str">
        <f>土地案例!L10</f>
        <v>2024-11-05</v>
      </c>
      <c r="J9" s="3954">
        <f>SUMIF(71:71,YEAR(I9)&amp;"-"&amp;INT((MONTH(I9)+2)/3),72:72)</f>
        <v>99.19</v>
      </c>
      <c r="K9" s="3295"/>
      <c r="L9" s="2022"/>
      <c r="M9" s="1973"/>
      <c r="N9" s="1973"/>
      <c r="O9" s="1973"/>
      <c r="P9" s="4402" t="s">
        <v>1594</v>
      </c>
      <c r="Q9" s="4410"/>
      <c r="R9" s="3984" t="s">
        <v>13</v>
      </c>
      <c r="S9" s="3755">
        <f t="shared" ref="S9:S17" si="0">F9</f>
        <v>100.3</v>
      </c>
      <c r="T9" s="3984" t="s">
        <v>13</v>
      </c>
      <c r="U9" s="3755">
        <f t="shared" ref="U9:U17" si="1">H9</f>
        <v>100.3</v>
      </c>
      <c r="V9" s="3984" t="s">
        <v>13</v>
      </c>
      <c r="W9" s="3755">
        <f t="shared" ref="W9:W17" si="2">J9</f>
        <v>99.19</v>
      </c>
      <c r="X9" s="493"/>
      <c r="Y9" s="4373" t="s">
        <v>1594</v>
      </c>
      <c r="Z9" s="4374"/>
      <c r="AA9" s="28">
        <f>D9/F9</f>
        <v>0.99700897308075775</v>
      </c>
      <c r="AB9" s="28">
        <f>D9/H9</f>
        <v>0.99700897308075775</v>
      </c>
      <c r="AC9" s="28">
        <f>D9/J9</f>
        <v>1.0081661457808246</v>
      </c>
    </row>
    <row r="10" spans="1:29" s="46" customFormat="1" ht="15.75" thickBot="1">
      <c r="A10" s="3260" t="s">
        <v>1595</v>
      </c>
      <c r="B10" s="3261"/>
      <c r="C10" s="2936" t="s">
        <v>3966</v>
      </c>
      <c r="D10" s="3009">
        <v>100</v>
      </c>
      <c r="E10" s="2936" t="s">
        <v>3966</v>
      </c>
      <c r="F10" s="3942">
        <f>SUMIF(74:74,E10,75:75)-SUMIF(74:74,C10,75:75)+100</f>
        <v>100</v>
      </c>
      <c r="G10" s="2936" t="s">
        <v>3966</v>
      </c>
      <c r="H10" s="3954">
        <f>SUMIF(74:74,G10,75:75)-SUMIF(74:74,C10,75:75)+100</f>
        <v>100</v>
      </c>
      <c r="I10" s="2936" t="s">
        <v>3966</v>
      </c>
      <c r="J10" s="3954">
        <f>SUMIF(74:74,I10,75:75)-SUMIF(74:74,C10,75:75)+100</f>
        <v>100</v>
      </c>
      <c r="K10" s="3295"/>
      <c r="L10" s="2022"/>
      <c r="M10" s="1973"/>
      <c r="N10" s="1973"/>
      <c r="O10" s="1973"/>
      <c r="P10" s="4402" t="s">
        <v>1597</v>
      </c>
      <c r="Q10" s="4403"/>
      <c r="R10" s="3984" t="s">
        <v>13</v>
      </c>
      <c r="S10" s="3755">
        <f t="shared" si="0"/>
        <v>100</v>
      </c>
      <c r="T10" s="3984" t="s">
        <v>13</v>
      </c>
      <c r="U10" s="3755">
        <f t="shared" si="1"/>
        <v>100</v>
      </c>
      <c r="V10" s="3984" t="s">
        <v>13</v>
      </c>
      <c r="W10" s="3755">
        <f t="shared" si="2"/>
        <v>100</v>
      </c>
      <c r="X10" s="493"/>
      <c r="Y10" s="4373" t="s">
        <v>1597</v>
      </c>
      <c r="Z10" s="4374"/>
      <c r="AA10" s="28">
        <f t="shared" ref="AA10:AA47" si="3">D10/F10</f>
        <v>1</v>
      </c>
      <c r="AB10" s="28">
        <f t="shared" ref="AB10:AB47" si="4">D10/H10</f>
        <v>1</v>
      </c>
      <c r="AC10" s="28">
        <f t="shared" ref="AC10:AC47" si="5">D10/J10</f>
        <v>1</v>
      </c>
    </row>
    <row r="11" spans="1:29" s="46" customFormat="1">
      <c r="A11" s="3195" t="s">
        <v>1598</v>
      </c>
      <c r="B11" s="2916" t="s">
        <v>1599</v>
      </c>
      <c r="C11" s="4146" t="s">
        <v>3967</v>
      </c>
      <c r="D11" s="3010">
        <v>100</v>
      </c>
      <c r="E11" s="3262" t="s">
        <v>3276</v>
      </c>
      <c r="F11" s="3955">
        <f>SUMIF(76:76,E11,77:77)-SUMIF(76:76,C11,77:77)+100</f>
        <v>100</v>
      </c>
      <c r="G11" s="3262" t="s">
        <v>3276</v>
      </c>
      <c r="H11" s="3955">
        <f>SUMIF(76:76,G11,77:77)-SUMIF(76:76,C11,77:77)+100</f>
        <v>100</v>
      </c>
      <c r="I11" s="3262" t="s">
        <v>3276</v>
      </c>
      <c r="J11" s="3955">
        <f>SUMIF(76:76,I11,77:77)-SUMIF(76:76,C11,77:77)+100</f>
        <v>100</v>
      </c>
      <c r="K11" s="3295"/>
      <c r="L11" s="2022"/>
      <c r="M11" s="1973"/>
      <c r="N11" s="1973"/>
      <c r="O11" s="2074"/>
      <c r="P11" s="4387" t="s">
        <v>1600</v>
      </c>
      <c r="Q11" s="1742" t="str">
        <f t="shared" ref="Q11:Q17" si="6">B11</f>
        <v>用途</v>
      </c>
      <c r="R11" s="3984" t="s">
        <v>13</v>
      </c>
      <c r="S11" s="3755">
        <f t="shared" si="0"/>
        <v>100</v>
      </c>
      <c r="T11" s="3984" t="s">
        <v>13</v>
      </c>
      <c r="U11" s="3755">
        <f t="shared" si="1"/>
        <v>100</v>
      </c>
      <c r="V11" s="3984" t="s">
        <v>13</v>
      </c>
      <c r="W11" s="3755">
        <f t="shared" si="2"/>
        <v>100</v>
      </c>
      <c r="X11" s="493"/>
      <c r="Y11" s="4388"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89"/>
      <c r="F12" s="3956">
        <f>ROUND(100/'数据-取费表'!G16,1)</f>
        <v>100.4</v>
      </c>
      <c r="G12" s="2995"/>
      <c r="H12" s="3956">
        <f>ROUND(100/'数据-取费表'!G16,1)</f>
        <v>100.4</v>
      </c>
      <c r="I12" s="2995"/>
      <c r="J12" s="3956">
        <f>ROUND(100/'数据-取费表'!G16,1)</f>
        <v>100.4</v>
      </c>
      <c r="K12" s="3296"/>
      <c r="L12" s="2023"/>
      <c r="M12" s="2024"/>
      <c r="N12" s="2024"/>
      <c r="O12" s="2075"/>
      <c r="P12" s="4387"/>
      <c r="Q12" s="1742" t="str">
        <f t="shared" si="6"/>
        <v>土地使用年限（年）</v>
      </c>
      <c r="R12" s="3984" t="s">
        <v>13</v>
      </c>
      <c r="S12" s="3755">
        <f t="shared" si="0"/>
        <v>100.4</v>
      </c>
      <c r="T12" s="3984" t="s">
        <v>13</v>
      </c>
      <c r="U12" s="3755">
        <f t="shared" si="1"/>
        <v>100.4</v>
      </c>
      <c r="V12" s="3984" t="s">
        <v>13</v>
      </c>
      <c r="W12" s="3755">
        <f t="shared" si="2"/>
        <v>100.4</v>
      </c>
      <c r="X12" s="493"/>
      <c r="Y12" s="4388"/>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v>2.1</v>
      </c>
      <c r="D13" s="3011">
        <v>100</v>
      </c>
      <c r="E13" s="2939">
        <v>2.4</v>
      </c>
      <c r="F13" s="3956">
        <f>LOOKUP(E13,81:81,82:82)-LOOKUP(C13,81:81,82:82)+100</f>
        <v>100</v>
      </c>
      <c r="G13" s="2967">
        <v>2.42</v>
      </c>
      <c r="H13" s="3956">
        <f>LOOKUP(G13,81:81,82:82)-LOOKUP(C13,81:81,82:82)+100</f>
        <v>100</v>
      </c>
      <c r="I13" s="2939">
        <v>2.1</v>
      </c>
      <c r="J13" s="3956">
        <f>LOOKUP(I13,81:81,82:82)-LOOKUP(C13,81:81,82:82)+100</f>
        <v>100</v>
      </c>
      <c r="K13" s="3320">
        <v>3</v>
      </c>
      <c r="L13" s="2025"/>
      <c r="M13" s="2021"/>
      <c r="N13" s="2021"/>
      <c r="O13" s="2076"/>
      <c r="P13" s="4387"/>
      <c r="Q13" s="1742" t="str">
        <f t="shared" si="6"/>
        <v>容积率</v>
      </c>
      <c r="R13" s="3984" t="s">
        <v>13</v>
      </c>
      <c r="S13" s="3755">
        <f t="shared" si="0"/>
        <v>100</v>
      </c>
      <c r="T13" s="3984" t="s">
        <v>13</v>
      </c>
      <c r="U13" s="3755">
        <f t="shared" si="1"/>
        <v>100</v>
      </c>
      <c r="V13" s="3984" t="s">
        <v>13</v>
      </c>
      <c r="W13" s="3755">
        <f t="shared" si="2"/>
        <v>100</v>
      </c>
      <c r="X13" s="493"/>
      <c r="Y13" s="4388"/>
      <c r="Z13" s="28" t="str">
        <f t="shared" si="7"/>
        <v>容积率</v>
      </c>
      <c r="AA13" s="28">
        <f t="shared" si="3"/>
        <v>1</v>
      </c>
      <c r="AB13" s="28">
        <f t="shared" si="4"/>
        <v>1</v>
      </c>
      <c r="AC13" s="28">
        <f t="shared" si="5"/>
        <v>1</v>
      </c>
    </row>
    <row r="14" spans="1:29" s="46" customFormat="1" ht="15">
      <c r="A14" s="3265"/>
      <c r="B14" s="4147" t="s">
        <v>3968</v>
      </c>
      <c r="C14" s="2940">
        <v>105000</v>
      </c>
      <c r="D14" s="3012">
        <v>100</v>
      </c>
      <c r="E14" s="4148" t="s">
        <v>3969</v>
      </c>
      <c r="F14" s="3956">
        <f>SUMIF(83:83,E14,84:84)-SUMIF(83:83,C14,84:84)+100</f>
        <v>115</v>
      </c>
      <c r="G14" s="4149" t="s">
        <v>3969</v>
      </c>
      <c r="H14" s="3956">
        <f>SUMIF(83:83,G14,84:84)-SUMIF(83:83,C14,84:84)+100</f>
        <v>115</v>
      </c>
      <c r="I14" s="2989" t="s">
        <v>3970</v>
      </c>
      <c r="J14" s="3956">
        <f>SUMIF(83:83,I14,84:84)-SUMIF(83:83,C14,84:84)+100</f>
        <v>100</v>
      </c>
      <c r="K14" s="3321"/>
      <c r="L14" s="2022"/>
      <c r="M14" s="1973"/>
      <c r="N14" s="1973"/>
      <c r="O14" s="2074"/>
      <c r="P14" s="4387"/>
      <c r="Q14" s="1742" t="str">
        <f t="shared" si="6"/>
        <v>限价</v>
      </c>
      <c r="R14" s="3984" t="s">
        <v>13</v>
      </c>
      <c r="S14" s="3755">
        <f t="shared" si="0"/>
        <v>115</v>
      </c>
      <c r="T14" s="3984" t="s">
        <v>13</v>
      </c>
      <c r="U14" s="3755">
        <f t="shared" si="1"/>
        <v>115</v>
      </c>
      <c r="V14" s="3984" t="s">
        <v>13</v>
      </c>
      <c r="W14" s="3755">
        <f t="shared" si="2"/>
        <v>100</v>
      </c>
      <c r="X14" s="493"/>
      <c r="Y14" s="4388"/>
      <c r="Z14" s="28" t="str">
        <f t="shared" si="7"/>
        <v>限价</v>
      </c>
      <c r="AA14" s="28">
        <f>D14/F14</f>
        <v>0.86956521739130432</v>
      </c>
      <c r="AB14" s="28">
        <f>D14/H14</f>
        <v>0.86956521739130432</v>
      </c>
      <c r="AC14" s="28">
        <f>D14/J14</f>
        <v>1</v>
      </c>
    </row>
    <row r="15" spans="1:29" ht="15">
      <c r="A15" s="3264"/>
      <c r="B15" s="2917"/>
      <c r="C15" s="2941"/>
      <c r="D15" s="3013">
        <v>100</v>
      </c>
      <c r="E15" s="3286"/>
      <c r="F15" s="3956">
        <f>SUMIF(85:85,E15,86:86)-SUMIF(85:85,C15,86:86)+100</f>
        <v>100</v>
      </c>
      <c r="G15" s="3272"/>
      <c r="H15" s="3950">
        <f>SUMIF(85:85,G15,86:86)-SUMIF(85:85,C15,86:86)+100</f>
        <v>100</v>
      </c>
      <c r="I15" s="3272"/>
      <c r="J15" s="3950">
        <f>SUMIF(85:85,I15,86:86)-SUMIF(85:85,C15,86:86)+100</f>
        <v>100</v>
      </c>
      <c r="K15" s="3321"/>
      <c r="L15" s="2026"/>
      <c r="M15" s="2021"/>
      <c r="N15" s="2021"/>
      <c r="O15" s="2076"/>
      <c r="P15" s="4387"/>
      <c r="Q15" s="1742">
        <f t="shared" si="6"/>
        <v>0</v>
      </c>
      <c r="R15" s="3984" t="s">
        <v>13</v>
      </c>
      <c r="S15" s="3755">
        <f t="shared" si="0"/>
        <v>100</v>
      </c>
      <c r="T15" s="3984" t="s">
        <v>13</v>
      </c>
      <c r="U15" s="3755">
        <f t="shared" si="1"/>
        <v>100</v>
      </c>
      <c r="V15" s="3984" t="s">
        <v>13</v>
      </c>
      <c r="W15" s="3755">
        <f t="shared" si="2"/>
        <v>100</v>
      </c>
      <c r="X15" s="493"/>
      <c r="Y15" s="4388"/>
      <c r="Z15" s="28">
        <f t="shared" si="7"/>
        <v>0</v>
      </c>
      <c r="AA15" s="28">
        <f>D15/F15</f>
        <v>1</v>
      </c>
      <c r="AB15" s="28">
        <f>D15/H15</f>
        <v>1</v>
      </c>
      <c r="AC15" s="28">
        <f>D15/J15</f>
        <v>1</v>
      </c>
    </row>
    <row r="16" spans="1:29" ht="15.75" thickBot="1">
      <c r="A16" s="3266"/>
      <c r="B16" s="2918"/>
      <c r="C16" s="2942"/>
      <c r="D16" s="3014">
        <v>100</v>
      </c>
      <c r="E16" s="3286"/>
      <c r="F16" s="3952">
        <f>SUMIF(87:87,E16,88:88)-SUMIF(87:87,C16,88:88)+100</f>
        <v>100</v>
      </c>
      <c r="G16" s="3272"/>
      <c r="H16" s="3952">
        <f>SUMIF(87:87,G16,88:88)-SUMIF(87:87,C16,88:88)+100</f>
        <v>100</v>
      </c>
      <c r="I16" s="3272"/>
      <c r="J16" s="3952">
        <f>SUMIF(87:87,I16,88:88)-SUMIF(87:87,C16,88:88)+100</f>
        <v>100</v>
      </c>
      <c r="K16" s="3321"/>
      <c r="L16" s="2026"/>
      <c r="M16" s="2021"/>
      <c r="N16" s="2021"/>
      <c r="O16" s="2076"/>
      <c r="P16" s="4387"/>
      <c r="Q16" s="1742">
        <f t="shared" si="6"/>
        <v>0</v>
      </c>
      <c r="R16" s="3984" t="s">
        <v>13</v>
      </c>
      <c r="S16" s="3755">
        <f t="shared" si="0"/>
        <v>100</v>
      </c>
      <c r="T16" s="3984" t="s">
        <v>13</v>
      </c>
      <c r="U16" s="3755">
        <f t="shared" si="1"/>
        <v>100</v>
      </c>
      <c r="V16" s="3984" t="s">
        <v>13</v>
      </c>
      <c r="W16" s="3755">
        <f t="shared" si="2"/>
        <v>100</v>
      </c>
      <c r="X16" s="493"/>
      <c r="Y16" s="4388"/>
      <c r="Z16" s="28">
        <f t="shared" si="7"/>
        <v>0</v>
      </c>
      <c r="AA16" s="28">
        <f>D16/F16</f>
        <v>1</v>
      </c>
      <c r="AB16" s="28">
        <f>D16/H16</f>
        <v>1</v>
      </c>
      <c r="AC16" s="28">
        <f>D16/J16</f>
        <v>1</v>
      </c>
    </row>
    <row r="17" spans="1:29" ht="15">
      <c r="A17" s="3267" t="s">
        <v>1604</v>
      </c>
      <c r="B17" s="2919" t="s">
        <v>1240</v>
      </c>
      <c r="C17" s="2943">
        <f>估价对象房地状况!C15</f>
        <v>0</v>
      </c>
      <c r="D17" s="3015">
        <v>100</v>
      </c>
      <c r="E17" s="2968"/>
      <c r="F17" s="3946">
        <f>SUMIF(89:89,E18,90:90)-SUMIF(89:89,C18,90:90)+100</f>
        <v>100</v>
      </c>
      <c r="G17" s="2968"/>
      <c r="H17" s="3946">
        <f>SUMIF(89:89,G18,90:90)-SUMIF(89:89,C18,90:90)+100</f>
        <v>100</v>
      </c>
      <c r="I17" s="2974"/>
      <c r="J17" s="3946">
        <f>SUMIF(89:89,I18,90:90)-SUMIF(89:89,C18,90:90)+100</f>
        <v>100</v>
      </c>
      <c r="K17" s="3320">
        <v>5</v>
      </c>
      <c r="L17" s="2026"/>
      <c r="M17" s="2021"/>
      <c r="N17" s="2021"/>
      <c r="O17" s="2076"/>
      <c r="P17" s="4411" t="s">
        <v>1605</v>
      </c>
      <c r="Q17" s="1544" t="str">
        <f t="shared" si="6"/>
        <v>居住社区成熟度</v>
      </c>
      <c r="R17" s="3985" t="s">
        <v>13</v>
      </c>
      <c r="S17" s="3987">
        <f t="shared" si="0"/>
        <v>100</v>
      </c>
      <c r="T17" s="3985" t="s">
        <v>13</v>
      </c>
      <c r="U17" s="3987">
        <f t="shared" si="1"/>
        <v>100</v>
      </c>
      <c r="V17" s="3985" t="s">
        <v>13</v>
      </c>
      <c r="W17" s="3987">
        <f t="shared" si="2"/>
        <v>100</v>
      </c>
      <c r="X17" s="946"/>
      <c r="Y17" s="4413" t="s">
        <v>1605</v>
      </c>
      <c r="Z17" s="944" t="str">
        <f t="shared" si="7"/>
        <v>居住社区成熟度</v>
      </c>
      <c r="AA17" s="944">
        <f t="shared" si="3"/>
        <v>1</v>
      </c>
      <c r="AB17" s="944">
        <f t="shared" si="4"/>
        <v>1</v>
      </c>
      <c r="AC17" s="944">
        <f t="shared" si="5"/>
        <v>1</v>
      </c>
    </row>
    <row r="18" spans="1:29" ht="15">
      <c r="A18" s="3264"/>
      <c r="B18" s="2920"/>
      <c r="C18" s="2944" t="s">
        <v>3634</v>
      </c>
      <c r="D18" s="3016"/>
      <c r="E18" s="2972" t="s">
        <v>3634</v>
      </c>
      <c r="F18" s="3947"/>
      <c r="G18" s="2972" t="s">
        <v>3634</v>
      </c>
      <c r="H18" s="3948"/>
      <c r="I18" s="2978" t="s">
        <v>3634</v>
      </c>
      <c r="J18" s="3947"/>
      <c r="K18" s="3321"/>
      <c r="L18" s="2026"/>
      <c r="M18" s="2021"/>
      <c r="N18" s="2021"/>
      <c r="O18" s="2076"/>
      <c r="P18" s="4412"/>
      <c r="Q18" s="1544"/>
      <c r="R18" s="3985"/>
      <c r="S18" s="3987"/>
      <c r="T18" s="3985"/>
      <c r="U18" s="3987"/>
      <c r="V18" s="3985"/>
      <c r="W18" s="3987"/>
      <c r="X18" s="946"/>
      <c r="Y18" s="4414"/>
      <c r="Z18" s="944"/>
      <c r="AA18" s="944">
        <v>1</v>
      </c>
      <c r="AB18" s="944">
        <v>1</v>
      </c>
      <c r="AC18" s="944">
        <v>1</v>
      </c>
    </row>
    <row r="19" spans="1:29" ht="15">
      <c r="A19" s="3264"/>
      <c r="B19" s="2921" t="s">
        <v>1691</v>
      </c>
      <c r="C19" s="2959">
        <f>估价对象房地状况!C16</f>
        <v>0</v>
      </c>
      <c r="D19" s="3017">
        <v>100</v>
      </c>
      <c r="E19" s="2969">
        <v>0</v>
      </c>
      <c r="F19" s="3948">
        <f>SUMIF(91:91,E20,92:92)-SUMIF(91:91,C20,92:92)+100</f>
        <v>100</v>
      </c>
      <c r="G19" s="2969">
        <v>0</v>
      </c>
      <c r="H19" s="3949">
        <f>SUMIF(91:91,G20,92:92)-SUMIF(91:91,C20,92:92)+100</f>
        <v>100</v>
      </c>
      <c r="I19" s="2975"/>
      <c r="J19" s="3949">
        <f>SUMIF(91:91,I20,92:92)-SUMIF(91:91,C20,92:92)+100</f>
        <v>100</v>
      </c>
      <c r="K19" s="3320"/>
      <c r="L19" s="2026"/>
      <c r="M19" s="2021"/>
      <c r="N19" s="2021"/>
      <c r="O19" s="2076"/>
      <c r="P19" s="4412"/>
      <c r="Q19" s="1544" t="str">
        <f>B19</f>
        <v>商业繁华度</v>
      </c>
      <c r="R19" s="3985" t="s">
        <v>13</v>
      </c>
      <c r="S19" s="3987">
        <f>F19</f>
        <v>100</v>
      </c>
      <c r="T19" s="3985" t="s">
        <v>13</v>
      </c>
      <c r="U19" s="3987">
        <f>H19</f>
        <v>100</v>
      </c>
      <c r="V19" s="3985" t="s">
        <v>13</v>
      </c>
      <c r="W19" s="3987">
        <f>J19</f>
        <v>100</v>
      </c>
      <c r="X19" s="946"/>
      <c r="Y19" s="4414"/>
      <c r="Z19" s="944" t="str">
        <f>Q19</f>
        <v>商业繁华度</v>
      </c>
      <c r="AA19" s="944">
        <f t="shared" si="3"/>
        <v>1</v>
      </c>
      <c r="AB19" s="944">
        <f t="shared" si="4"/>
        <v>1</v>
      </c>
      <c r="AC19" s="944">
        <f t="shared" si="5"/>
        <v>1</v>
      </c>
    </row>
    <row r="20" spans="1:29" ht="15">
      <c r="A20" s="3264"/>
      <c r="B20" s="2922"/>
      <c r="C20" s="2946"/>
      <c r="D20" s="3017"/>
      <c r="E20" s="2970"/>
      <c r="F20" s="3948"/>
      <c r="G20" s="2970"/>
      <c r="H20" s="3947"/>
      <c r="I20" s="2976"/>
      <c r="J20" s="3947"/>
      <c r="K20" s="3321"/>
      <c r="L20" s="2026"/>
      <c r="M20" s="2021"/>
      <c r="N20" s="2021"/>
      <c r="O20" s="2076"/>
      <c r="P20" s="4412"/>
      <c r="Q20" s="1544"/>
      <c r="R20" s="3985"/>
      <c r="S20" s="3987"/>
      <c r="T20" s="3985"/>
      <c r="U20" s="3987"/>
      <c r="V20" s="3985"/>
      <c r="W20" s="3987"/>
      <c r="X20" s="946"/>
      <c r="Y20" s="4414"/>
      <c r="Z20" s="944"/>
      <c r="AA20" s="944">
        <v>1</v>
      </c>
      <c r="AB20" s="944">
        <v>1</v>
      </c>
      <c r="AC20" s="944">
        <v>1</v>
      </c>
    </row>
    <row r="21" spans="1:29" ht="15">
      <c r="A21" s="3264"/>
      <c r="B21" s="2921" t="s">
        <v>1725</v>
      </c>
      <c r="C21" s="2959">
        <f>估价对象房地状况!C17</f>
        <v>0</v>
      </c>
      <c r="D21" s="3018">
        <v>100</v>
      </c>
      <c r="E21" s="2971">
        <v>0</v>
      </c>
      <c r="F21" s="3949">
        <f>SUMIF(93:93,E22,94:94)-SUMIF(93:93,C22,94:94)+100</f>
        <v>100</v>
      </c>
      <c r="G21" s="2971">
        <v>0</v>
      </c>
      <c r="H21" s="3948">
        <f>SUMIF(93:93,G22,94:94)-SUMIF(93:93,C22,94:94)+100</f>
        <v>100</v>
      </c>
      <c r="I21" s="2977"/>
      <c r="J21" s="3948">
        <f>SUMIF(93:93,I22,94:94)-SUMIF(93:93,C22,94:94)+100</f>
        <v>100</v>
      </c>
      <c r="K21" s="3320"/>
      <c r="L21" s="2026"/>
      <c r="M21" s="2021"/>
      <c r="N21" s="2021"/>
      <c r="O21" s="2076"/>
      <c r="P21" s="4412"/>
      <c r="Q21" s="1544" t="str">
        <f>B21</f>
        <v>办公集聚程度</v>
      </c>
      <c r="R21" s="3985" t="s">
        <v>13</v>
      </c>
      <c r="S21" s="3987">
        <f>F21</f>
        <v>100</v>
      </c>
      <c r="T21" s="3985" t="s">
        <v>13</v>
      </c>
      <c r="U21" s="3987">
        <f>H21</f>
        <v>100</v>
      </c>
      <c r="V21" s="3985" t="s">
        <v>13</v>
      </c>
      <c r="W21" s="3987">
        <f>J21</f>
        <v>100</v>
      </c>
      <c r="X21" s="946"/>
      <c r="Y21" s="4414"/>
      <c r="Z21" s="944" t="str">
        <f>Q21</f>
        <v>办公集聚程度</v>
      </c>
      <c r="AA21" s="944">
        <f t="shared" si="3"/>
        <v>1</v>
      </c>
      <c r="AB21" s="944">
        <f t="shared" si="4"/>
        <v>1</v>
      </c>
      <c r="AC21" s="944">
        <f t="shared" si="5"/>
        <v>1</v>
      </c>
    </row>
    <row r="22" spans="1:29" ht="15">
      <c r="A22" s="3264"/>
      <c r="B22" s="2922"/>
      <c r="C22" s="2944"/>
      <c r="D22" s="3016"/>
      <c r="E22" s="2972"/>
      <c r="F22" s="3947"/>
      <c r="G22" s="2972"/>
      <c r="H22" s="3947"/>
      <c r="I22" s="2978"/>
      <c r="J22" s="3947"/>
      <c r="K22" s="3321"/>
      <c r="L22" s="2026"/>
      <c r="M22" s="2021"/>
      <c r="N22" s="2021"/>
      <c r="O22" s="2076"/>
      <c r="P22" s="4412"/>
      <c r="Q22" s="1544"/>
      <c r="R22" s="3985"/>
      <c r="S22" s="3987"/>
      <c r="T22" s="3985"/>
      <c r="U22" s="3987"/>
      <c r="V22" s="3985"/>
      <c r="W22" s="3987"/>
      <c r="X22" s="946"/>
      <c r="Y22" s="4414"/>
      <c r="Z22" s="944"/>
      <c r="AA22" s="944">
        <v>1</v>
      </c>
      <c r="AB22" s="944">
        <v>1</v>
      </c>
      <c r="AC22" s="944">
        <v>1</v>
      </c>
    </row>
    <row r="23" spans="1:29" ht="15">
      <c r="A23" s="3264"/>
      <c r="B23" s="2921" t="s">
        <v>1747</v>
      </c>
      <c r="C23" s="2945">
        <f>估价对象房地状况!C18</f>
        <v>0</v>
      </c>
      <c r="D23" s="3017">
        <v>100</v>
      </c>
      <c r="E23" s="2969"/>
      <c r="F23" s="3949">
        <f>SUMIF(95:95,E24,96:96)-SUMIF(95:95,C24,96:96)+100</f>
        <v>105</v>
      </c>
      <c r="G23" s="2969"/>
      <c r="H23" s="3948">
        <f>SUMIF(95:95,G24,96:96)-SUMIF(95:95,C24,96:96)+100</f>
        <v>105</v>
      </c>
      <c r="I23" s="2975"/>
      <c r="J23" s="3948">
        <f>SUMIF(95:95,I24,96:96)-SUMIF(95:95,C24,96:96)+100</f>
        <v>100</v>
      </c>
      <c r="K23" s="3320">
        <v>5</v>
      </c>
      <c r="L23" s="2026"/>
      <c r="M23" s="2021"/>
      <c r="N23" s="2021"/>
      <c r="O23" s="2076"/>
      <c r="P23" s="4412"/>
      <c r="Q23" s="1544" t="str">
        <f>B23</f>
        <v>交通便捷度</v>
      </c>
      <c r="R23" s="3985" t="s">
        <v>13</v>
      </c>
      <c r="S23" s="3987">
        <f>F23</f>
        <v>105</v>
      </c>
      <c r="T23" s="3985" t="s">
        <v>13</v>
      </c>
      <c r="U23" s="3987">
        <f>H23</f>
        <v>105</v>
      </c>
      <c r="V23" s="3985" t="s">
        <v>13</v>
      </c>
      <c r="W23" s="3987">
        <f>J23</f>
        <v>100</v>
      </c>
      <c r="X23" s="946"/>
      <c r="Y23" s="4414"/>
      <c r="Z23" s="944" t="str">
        <f>Q23</f>
        <v>交通便捷度</v>
      </c>
      <c r="AA23" s="944">
        <f t="shared" si="3"/>
        <v>0.95238095238095233</v>
      </c>
      <c r="AB23" s="944">
        <f t="shared" si="4"/>
        <v>0.95238095238095233</v>
      </c>
      <c r="AC23" s="944">
        <f t="shared" si="5"/>
        <v>1</v>
      </c>
    </row>
    <row r="24" spans="1:29" ht="15">
      <c r="A24" s="3264"/>
      <c r="B24" s="2923"/>
      <c r="C24" s="2944" t="s">
        <v>3634</v>
      </c>
      <c r="D24" s="3017"/>
      <c r="E24" s="2972" t="s">
        <v>3635</v>
      </c>
      <c r="F24" s="3947"/>
      <c r="G24" s="2972" t="s">
        <v>3635</v>
      </c>
      <c r="H24" s="3947"/>
      <c r="I24" s="2978" t="s">
        <v>3634</v>
      </c>
      <c r="J24" s="3947"/>
      <c r="K24" s="3321"/>
      <c r="L24" s="2026"/>
      <c r="M24" s="2021"/>
      <c r="N24" s="2021"/>
      <c r="O24" s="2076"/>
      <c r="P24" s="4412"/>
      <c r="Q24" s="1544"/>
      <c r="R24" s="3985"/>
      <c r="S24" s="3987"/>
      <c r="T24" s="3985"/>
      <c r="U24" s="3987"/>
      <c r="V24" s="3985"/>
      <c r="W24" s="3987"/>
      <c r="X24" s="946"/>
      <c r="Y24" s="4414"/>
      <c r="Z24" s="944"/>
      <c r="AA24" s="944">
        <v>1</v>
      </c>
      <c r="AB24" s="944">
        <v>1</v>
      </c>
      <c r="AC24" s="944">
        <v>1</v>
      </c>
    </row>
    <row r="25" spans="1:29" ht="15">
      <c r="A25" s="3268"/>
      <c r="B25" s="2921" t="s">
        <v>1784</v>
      </c>
      <c r="C25" s="3269">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20">
        <v>2</v>
      </c>
      <c r="L25" s="2026"/>
      <c r="M25" s="2021"/>
      <c r="N25" s="2021"/>
      <c r="O25" s="2076"/>
      <c r="P25" s="4412"/>
      <c r="Q25" s="1544" t="str">
        <f t="shared" ref="Q25:Q39" si="8">B25</f>
        <v>区域土地利用方向</v>
      </c>
      <c r="R25" s="3985" t="s">
        <v>13</v>
      </c>
      <c r="S25" s="3987">
        <f>F25</f>
        <v>100</v>
      </c>
      <c r="T25" s="3985" t="s">
        <v>13</v>
      </c>
      <c r="U25" s="3987">
        <f>H25</f>
        <v>100</v>
      </c>
      <c r="V25" s="3985" t="s">
        <v>13</v>
      </c>
      <c r="W25" s="3987">
        <f>J25</f>
        <v>100</v>
      </c>
      <c r="X25" s="946"/>
      <c r="Y25" s="4414"/>
      <c r="Z25" s="944" t="str">
        <f>Q25</f>
        <v>区域土地利用方向</v>
      </c>
      <c r="AA25" s="944">
        <f t="shared" si="3"/>
        <v>1</v>
      </c>
      <c r="AB25" s="944">
        <f t="shared" si="4"/>
        <v>1</v>
      </c>
      <c r="AC25" s="944">
        <f t="shared" si="5"/>
        <v>1</v>
      </c>
    </row>
    <row r="26" spans="1:29" ht="15">
      <c r="A26" s="3268"/>
      <c r="B26" s="2922"/>
      <c r="C26" s="2960" t="s">
        <v>3635</v>
      </c>
      <c r="D26" s="3016"/>
      <c r="E26" s="2972" t="s">
        <v>3635</v>
      </c>
      <c r="F26" s="3947"/>
      <c r="G26" s="2978" t="s">
        <v>3635</v>
      </c>
      <c r="H26" s="3947"/>
      <c r="I26" s="2978" t="s">
        <v>3635</v>
      </c>
      <c r="J26" s="3947"/>
      <c r="K26" s="3322"/>
      <c r="L26" s="2026"/>
      <c r="M26" s="2021"/>
      <c r="N26" s="2021"/>
      <c r="O26" s="2076"/>
      <c r="P26" s="4412"/>
      <c r="Q26" s="1544"/>
      <c r="R26" s="3985"/>
      <c r="S26" s="3987"/>
      <c r="T26" s="3985"/>
      <c r="U26" s="3987"/>
      <c r="V26" s="3985"/>
      <c r="W26" s="3987"/>
      <c r="X26" s="946"/>
      <c r="Y26" s="4414"/>
      <c r="Z26" s="944"/>
      <c r="AA26" s="944"/>
      <c r="AB26" s="944"/>
      <c r="AC26" s="944"/>
    </row>
    <row r="27" spans="1:29" ht="27">
      <c r="A27" s="3268"/>
      <c r="B27" s="2923" t="s">
        <v>1785</v>
      </c>
      <c r="C27" s="2959">
        <f>估价对象房地状况!C20</f>
        <v>0</v>
      </c>
      <c r="D27" s="3017">
        <v>100</v>
      </c>
      <c r="E27" s="2969"/>
      <c r="F27" s="3948">
        <f>SUMIF(99:99,E28,100:100)-SUMIF(99:99,C28,100:100)+100</f>
        <v>105</v>
      </c>
      <c r="G27" s="2969"/>
      <c r="H27" s="3948">
        <f>SUMIF(99:99,G28,100:100)-SUMIF(99:99,C28,100:100)+100</f>
        <v>105</v>
      </c>
      <c r="I27" s="2975"/>
      <c r="J27" s="3948">
        <f>SUMIF(99:99,I28,100:100)-SUMIF(99:99,C28,100:100)+100</f>
        <v>100</v>
      </c>
      <c r="K27" s="3320">
        <v>5</v>
      </c>
      <c r="L27" s="2026"/>
      <c r="M27" s="2021"/>
      <c r="N27" s="2021"/>
      <c r="O27" s="2076"/>
      <c r="P27" s="4412"/>
      <c r="Q27" s="1544" t="str">
        <f t="shared" si="8"/>
        <v>自然及人文环境状况</v>
      </c>
      <c r="R27" s="3985" t="s">
        <v>13</v>
      </c>
      <c r="S27" s="3987">
        <f>F27</f>
        <v>105</v>
      </c>
      <c r="T27" s="3985" t="s">
        <v>13</v>
      </c>
      <c r="U27" s="3987">
        <f>H27</f>
        <v>105</v>
      </c>
      <c r="V27" s="3985" t="s">
        <v>13</v>
      </c>
      <c r="W27" s="3987">
        <f>J27</f>
        <v>100</v>
      </c>
      <c r="X27" s="946"/>
      <c r="Y27" s="4414"/>
      <c r="Z27" s="944" t="str">
        <f>Q27</f>
        <v>自然及人文环境状况</v>
      </c>
      <c r="AA27" s="944">
        <f t="shared" si="3"/>
        <v>0.95238095238095233</v>
      </c>
      <c r="AB27" s="944">
        <f t="shared" si="4"/>
        <v>0.95238095238095233</v>
      </c>
      <c r="AC27" s="944">
        <f t="shared" si="5"/>
        <v>1</v>
      </c>
    </row>
    <row r="28" spans="1:29" ht="15">
      <c r="A28" s="3268"/>
      <c r="B28" s="2922"/>
      <c r="C28" s="2944" t="s">
        <v>3635</v>
      </c>
      <c r="D28" s="3016"/>
      <c r="E28" s="2994" t="s">
        <v>3971</v>
      </c>
      <c r="F28" s="3947"/>
      <c r="G28" s="2994" t="s">
        <v>3971</v>
      </c>
      <c r="H28" s="3947"/>
      <c r="I28" s="2944" t="s">
        <v>3635</v>
      </c>
      <c r="J28" s="3947"/>
      <c r="K28" s="3321"/>
      <c r="L28" s="2026"/>
      <c r="M28" s="2021"/>
      <c r="N28" s="2021"/>
      <c r="O28" s="2076"/>
      <c r="P28" s="4412"/>
      <c r="Q28" s="1544"/>
      <c r="R28" s="3985"/>
      <c r="S28" s="3987"/>
      <c r="T28" s="3985"/>
      <c r="U28" s="3987"/>
      <c r="V28" s="3985"/>
      <c r="W28" s="3987"/>
      <c r="X28" s="946"/>
      <c r="Y28" s="4414"/>
      <c r="Z28" s="944"/>
      <c r="AA28" s="944">
        <v>1</v>
      </c>
      <c r="AB28" s="944">
        <v>1</v>
      </c>
      <c r="AC28" s="944">
        <v>1</v>
      </c>
    </row>
    <row r="29" spans="1:29" s="46" customFormat="1" ht="15">
      <c r="A29" s="3270"/>
      <c r="B29" s="2923" t="s">
        <v>1692</v>
      </c>
      <c r="C29" s="2945">
        <f>估价对象房地状况!C21</f>
        <v>0</v>
      </c>
      <c r="D29" s="3017">
        <v>100</v>
      </c>
      <c r="E29" s="2969"/>
      <c r="F29" s="3948">
        <f>SUMIF(101:101,E30,102:102)-SUMIF(101:101,C30,102:102)+100</f>
        <v>100</v>
      </c>
      <c r="G29" s="2969"/>
      <c r="H29" s="3948">
        <f>SUMIF(101:101,G30,102:102)-SUMIF(101:101,C30,102:102)+100</f>
        <v>100</v>
      </c>
      <c r="I29" s="2975"/>
      <c r="J29" s="3948">
        <f>SUMIF(101:101,I30,102:102)-SUMIF(101:101,C30,102:102)+100</f>
        <v>100</v>
      </c>
      <c r="K29" s="3320">
        <v>5</v>
      </c>
      <c r="L29" s="2022"/>
      <c r="M29" s="1973"/>
      <c r="N29" s="1973"/>
      <c r="O29" s="2074"/>
      <c r="P29" s="4412"/>
      <c r="Q29" s="1742" t="str">
        <f t="shared" si="8"/>
        <v>公共配套设施</v>
      </c>
      <c r="R29" s="3984" t="s">
        <v>13</v>
      </c>
      <c r="S29" s="3755">
        <f>F29</f>
        <v>100</v>
      </c>
      <c r="T29" s="3984" t="s">
        <v>13</v>
      </c>
      <c r="U29" s="3755">
        <f>H29</f>
        <v>100</v>
      </c>
      <c r="V29" s="3984" t="s">
        <v>13</v>
      </c>
      <c r="W29" s="3755">
        <f>J29</f>
        <v>100</v>
      </c>
      <c r="X29" s="493"/>
      <c r="Y29" s="4414"/>
      <c r="Z29" s="28" t="str">
        <f>Q29</f>
        <v>公共配套设施</v>
      </c>
      <c r="AA29" s="944">
        <f>D29/F29</f>
        <v>1</v>
      </c>
      <c r="AB29" s="944">
        <f>D29/H29</f>
        <v>1</v>
      </c>
      <c r="AC29" s="944">
        <f>D29/J29</f>
        <v>1</v>
      </c>
    </row>
    <row r="30" spans="1:29" s="46" customFormat="1" ht="15">
      <c r="A30" s="3270"/>
      <c r="B30" s="2922"/>
      <c r="C30" s="3271" t="s">
        <v>3635</v>
      </c>
      <c r="D30" s="3016"/>
      <c r="E30" s="2994" t="s">
        <v>3635</v>
      </c>
      <c r="F30" s="3947"/>
      <c r="G30" s="2994" t="s">
        <v>3635</v>
      </c>
      <c r="H30" s="3947"/>
      <c r="I30" s="2944" t="s">
        <v>3635</v>
      </c>
      <c r="J30" s="3947"/>
      <c r="K30" s="3321"/>
      <c r="L30" s="2022"/>
      <c r="M30" s="1973"/>
      <c r="N30" s="1973"/>
      <c r="O30" s="2074"/>
      <c r="P30" s="4412"/>
      <c r="Q30" s="1742"/>
      <c r="R30" s="3984"/>
      <c r="S30" s="3755"/>
      <c r="T30" s="3984"/>
      <c r="U30" s="3755"/>
      <c r="V30" s="3984"/>
      <c r="W30" s="3755"/>
      <c r="X30" s="493"/>
      <c r="Y30" s="4414"/>
      <c r="Z30" s="28"/>
      <c r="AA30" s="944">
        <v>1</v>
      </c>
      <c r="AB30" s="944">
        <v>1</v>
      </c>
      <c r="AC30" s="944">
        <v>1</v>
      </c>
    </row>
    <row r="31" spans="1:29" s="46" customFormat="1" ht="15">
      <c r="A31" s="3270"/>
      <c r="B31" s="2923" t="s">
        <v>1693</v>
      </c>
      <c r="C31" s="2945">
        <f>估价对象房地状况!C22</f>
        <v>0</v>
      </c>
      <c r="D31" s="3017">
        <v>100</v>
      </c>
      <c r="E31" s="2969"/>
      <c r="F31" s="3948">
        <f>SUMIF(103:103,E32,104:104)-SUMIF(103:103,C32,104:104)+100</f>
        <v>100</v>
      </c>
      <c r="G31" s="2969"/>
      <c r="H31" s="3948">
        <f>SUMIF(103:103,G32,104:104)-SUMIF(103:103,C32,104:104)+100</f>
        <v>100</v>
      </c>
      <c r="I31" s="2975"/>
      <c r="J31" s="3948">
        <f>SUMIF(103:103,I32,104:104)-SUMIF(103:103,C32,104:104)+100</f>
        <v>100</v>
      </c>
      <c r="K31" s="3320">
        <v>2</v>
      </c>
      <c r="L31" s="2022"/>
      <c r="M31" s="1973"/>
      <c r="N31" s="1973"/>
      <c r="O31" s="2074"/>
      <c r="P31" s="4412"/>
      <c r="Q31" s="1742" t="str">
        <f t="shared" ref="Q31" si="9">B31</f>
        <v>基础设施水平</v>
      </c>
      <c r="R31" s="3984" t="s">
        <v>13</v>
      </c>
      <c r="S31" s="3755">
        <f>F31</f>
        <v>100</v>
      </c>
      <c r="T31" s="3984" t="s">
        <v>13</v>
      </c>
      <c r="U31" s="3755">
        <f>H31</f>
        <v>100</v>
      </c>
      <c r="V31" s="3984" t="s">
        <v>13</v>
      </c>
      <c r="W31" s="3755">
        <f>J31</f>
        <v>100</v>
      </c>
      <c r="X31" s="493"/>
      <c r="Y31" s="4414"/>
      <c r="Z31" s="28" t="str">
        <f>Q31</f>
        <v>基础设施水平</v>
      </c>
      <c r="AA31" s="944">
        <f>D31/F31</f>
        <v>1</v>
      </c>
      <c r="AB31" s="944">
        <f>D31/H31</f>
        <v>1</v>
      </c>
      <c r="AC31" s="944">
        <f>D31/J31</f>
        <v>1</v>
      </c>
    </row>
    <row r="32" spans="1:29" s="46" customFormat="1" ht="15">
      <c r="A32" s="3270"/>
      <c r="B32" s="2922"/>
      <c r="C32" s="3271" t="s">
        <v>3636</v>
      </c>
      <c r="D32" s="3016"/>
      <c r="E32" s="3287" t="s">
        <v>3636</v>
      </c>
      <c r="F32" s="3947"/>
      <c r="G32" s="3287" t="s">
        <v>3636</v>
      </c>
      <c r="H32" s="3947"/>
      <c r="I32" s="3287" t="s">
        <v>3636</v>
      </c>
      <c r="J32" s="3947"/>
      <c r="K32" s="3321"/>
      <c r="L32" s="2022"/>
      <c r="M32" s="1973"/>
      <c r="N32" s="1973"/>
      <c r="O32" s="2074"/>
      <c r="P32" s="4412"/>
      <c r="Q32" s="1742"/>
      <c r="R32" s="3984"/>
      <c r="S32" s="3755"/>
      <c r="T32" s="3984"/>
      <c r="U32" s="3755"/>
      <c r="V32" s="3984"/>
      <c r="W32" s="3755"/>
      <c r="X32" s="493"/>
      <c r="Y32" s="4414"/>
      <c r="Z32" s="28"/>
      <c r="AA32" s="944">
        <v>1</v>
      </c>
      <c r="AB32" s="944">
        <v>1</v>
      </c>
      <c r="AC32" s="944">
        <v>1</v>
      </c>
    </row>
    <row r="33" spans="1:29" ht="15">
      <c r="A33" s="3264"/>
      <c r="B33" s="2922" t="s">
        <v>1694</v>
      </c>
      <c r="C33" s="2960"/>
      <c r="D33" s="3013">
        <v>100</v>
      </c>
      <c r="E33" s="3288"/>
      <c r="F33" s="3950">
        <f>SUMIF(105:105,E33,106:106)-SUMIF(105:105,C33,106:106)+100</f>
        <v>100</v>
      </c>
      <c r="G33" s="3288"/>
      <c r="H33" s="3950">
        <f>SUMIF(105:105,G33,106:106)-SUMIF(105:105,C33,106:106)+100</f>
        <v>100</v>
      </c>
      <c r="I33" s="3288"/>
      <c r="J33" s="3950">
        <f>SUMIF(105:105,I33,106:106)-SUMIF(105:105,C33,106:106)+100</f>
        <v>100</v>
      </c>
      <c r="K33" s="3320"/>
      <c r="L33" s="2026"/>
      <c r="M33" s="2021"/>
      <c r="N33" s="2021"/>
      <c r="O33" s="2076"/>
      <c r="P33" s="4412"/>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414"/>
      <c r="Z33" s="944" t="str">
        <f t="shared" ref="Z33:Z47" si="13">Q33</f>
        <v>临街状况</v>
      </c>
      <c r="AA33" s="944">
        <f t="shared" si="3"/>
        <v>1</v>
      </c>
      <c r="AB33" s="944">
        <f t="shared" si="4"/>
        <v>1</v>
      </c>
      <c r="AC33" s="944">
        <f t="shared" si="5"/>
        <v>1</v>
      </c>
    </row>
    <row r="34" spans="1:29" ht="27">
      <c r="A34" s="3264"/>
      <c r="B34" s="2923" t="s">
        <v>1729</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20"/>
      <c r="L34" s="2026"/>
      <c r="M34" s="2021"/>
      <c r="N34" s="2021"/>
      <c r="O34" s="2076"/>
      <c r="P34" s="4412"/>
      <c r="Q34" s="1544" t="str">
        <f t="shared" si="8"/>
        <v>毗邻道路的类型与等级</v>
      </c>
      <c r="R34" s="3985" t="s">
        <v>13</v>
      </c>
      <c r="S34" s="3987">
        <f t="shared" si="10"/>
        <v>100</v>
      </c>
      <c r="T34" s="3985" t="s">
        <v>13</v>
      </c>
      <c r="U34" s="3987">
        <f t="shared" si="11"/>
        <v>100</v>
      </c>
      <c r="V34" s="3985" t="s">
        <v>13</v>
      </c>
      <c r="W34" s="3987">
        <f t="shared" si="12"/>
        <v>100</v>
      </c>
      <c r="X34" s="946"/>
      <c r="Y34" s="4414"/>
      <c r="Z34" s="944" t="str">
        <f t="shared" si="13"/>
        <v>毗邻道路的类型与等级</v>
      </c>
      <c r="AA34" s="944">
        <f t="shared" si="3"/>
        <v>1</v>
      </c>
      <c r="AB34" s="944">
        <f t="shared" si="4"/>
        <v>1</v>
      </c>
      <c r="AC34" s="944">
        <f t="shared" si="5"/>
        <v>1</v>
      </c>
    </row>
    <row r="35" spans="1:29" ht="15">
      <c r="A35" s="3264"/>
      <c r="B35" s="2922"/>
      <c r="C35" s="2944"/>
      <c r="D35" s="3016"/>
      <c r="E35" s="2994"/>
      <c r="F35" s="3947"/>
      <c r="G35" s="2994"/>
      <c r="H35" s="3947"/>
      <c r="I35" s="2944"/>
      <c r="J35" s="3947"/>
      <c r="K35" s="2982"/>
      <c r="L35" s="2026"/>
      <c r="M35" s="2021"/>
      <c r="N35" s="2021"/>
      <c r="O35" s="2076"/>
      <c r="P35" s="4412"/>
      <c r="Q35" s="1544"/>
      <c r="R35" s="3985"/>
      <c r="S35" s="3987"/>
      <c r="T35" s="3985"/>
      <c r="U35" s="3987"/>
      <c r="V35" s="3985"/>
      <c r="W35" s="3987"/>
      <c r="X35" s="946"/>
      <c r="Y35" s="4414"/>
      <c r="Z35" s="944"/>
      <c r="AA35" s="944">
        <v>1</v>
      </c>
      <c r="AB35" s="944">
        <v>1</v>
      </c>
      <c r="AC35" s="944">
        <v>1</v>
      </c>
    </row>
    <row r="36" spans="1:29" ht="15">
      <c r="A36" s="3264"/>
      <c r="B36" s="2913" t="s">
        <v>1786</v>
      </c>
      <c r="C36" s="2960"/>
      <c r="D36" s="3013">
        <v>100</v>
      </c>
      <c r="E36" s="3288"/>
      <c r="F36" s="3950">
        <f>SUMIF(109:109,E36,110:110)-SUMIF(109:109,C36,110:110)+100</f>
        <v>100</v>
      </c>
      <c r="G36" s="3288"/>
      <c r="H36" s="3950">
        <f>SUMIF(109:109,G36,110:110)-SUMIF(109:109,C36,110:110)+100</f>
        <v>100</v>
      </c>
      <c r="I36" s="2960"/>
      <c r="J36" s="3950">
        <f>SUMIF(109:109,I36,110:110)-SUMIF(109:109,C36,110:110)+100</f>
        <v>100</v>
      </c>
      <c r="K36" s="2981"/>
      <c r="L36" s="2026"/>
      <c r="M36" s="2021"/>
      <c r="N36" s="2021"/>
      <c r="O36" s="2076"/>
      <c r="P36" s="4412"/>
      <c r="Q36" s="1544" t="str">
        <f t="shared" si="8"/>
        <v>土地级别</v>
      </c>
      <c r="R36" s="3985" t="s">
        <v>13</v>
      </c>
      <c r="S36" s="3987">
        <f t="shared" si="10"/>
        <v>100</v>
      </c>
      <c r="T36" s="3985" t="s">
        <v>13</v>
      </c>
      <c r="U36" s="3987">
        <f t="shared" si="11"/>
        <v>100</v>
      </c>
      <c r="V36" s="3985" t="s">
        <v>13</v>
      </c>
      <c r="W36" s="3987">
        <f t="shared" si="12"/>
        <v>100</v>
      </c>
      <c r="X36" s="946"/>
      <c r="Y36" s="4414"/>
      <c r="Z36" s="944" t="str">
        <f t="shared" si="13"/>
        <v>土地级别</v>
      </c>
      <c r="AA36" s="944">
        <f t="shared" si="3"/>
        <v>1</v>
      </c>
      <c r="AB36" s="944">
        <f t="shared" si="4"/>
        <v>1</v>
      </c>
      <c r="AC36" s="944">
        <f t="shared" si="5"/>
        <v>1</v>
      </c>
    </row>
    <row r="37" spans="1:29" ht="15">
      <c r="A37" s="3268"/>
      <c r="B37" s="2924">
        <v>111</v>
      </c>
      <c r="C37" s="3272"/>
      <c r="D37" s="3013">
        <v>100</v>
      </c>
      <c r="E37" s="3289"/>
      <c r="F37" s="3950">
        <f>SUMIF(111:111,E37,112:112)-SUMIF(111:111,C37,112:112)+100</f>
        <v>100</v>
      </c>
      <c r="G37" s="3289"/>
      <c r="H37" s="3950">
        <f>SUMIF(111:111,G37,112:112)-SUMIF(111:111,C37,112:112)+100</f>
        <v>100</v>
      </c>
      <c r="I37" s="3272"/>
      <c r="J37" s="3950">
        <f>SUMIF(111:111,I37,112:112)-SUMIF(111:111,C37,112:112)+100</f>
        <v>100</v>
      </c>
      <c r="K37" s="2982"/>
      <c r="L37" s="2026"/>
      <c r="M37" s="2021"/>
      <c r="N37" s="2021"/>
      <c r="O37" s="2076"/>
      <c r="P37" s="4412"/>
      <c r="Q37" s="1544">
        <f t="shared" si="8"/>
        <v>111</v>
      </c>
      <c r="R37" s="3985" t="s">
        <v>13</v>
      </c>
      <c r="S37" s="3987">
        <f t="shared" si="10"/>
        <v>100</v>
      </c>
      <c r="T37" s="3985" t="s">
        <v>13</v>
      </c>
      <c r="U37" s="3987">
        <f t="shared" si="11"/>
        <v>100</v>
      </c>
      <c r="V37" s="3985" t="s">
        <v>13</v>
      </c>
      <c r="W37" s="3987">
        <f t="shared" si="12"/>
        <v>100</v>
      </c>
      <c r="X37" s="946"/>
      <c r="Y37" s="4414"/>
      <c r="Z37" s="944">
        <f t="shared" si="13"/>
        <v>111</v>
      </c>
      <c r="AA37" s="944">
        <f t="shared" si="3"/>
        <v>1</v>
      </c>
      <c r="AB37" s="944">
        <f t="shared" si="4"/>
        <v>1</v>
      </c>
      <c r="AC37" s="944">
        <f t="shared" si="5"/>
        <v>1</v>
      </c>
    </row>
    <row r="38" spans="1:29" ht="15">
      <c r="A38" s="3273"/>
      <c r="B38" s="3274">
        <v>111</v>
      </c>
      <c r="C38" s="3272"/>
      <c r="D38" s="3013">
        <v>100</v>
      </c>
      <c r="E38" s="3289"/>
      <c r="F38" s="3950">
        <f>SUMIF(113:113,E39,114:114)-SUMIF(113:113,C39,114:114)+100</f>
        <v>100</v>
      </c>
      <c r="G38" s="3289"/>
      <c r="H38" s="3950">
        <f>SUMIF(113:113,G38,114:114)-SUMIF(113:113,C38,114:114)+100</f>
        <v>100</v>
      </c>
      <c r="I38" s="3272"/>
      <c r="J38" s="3950">
        <f>SUMIF(113:113,I38,114:114)-SUMIF(113:113,C38,114:114)+100</f>
        <v>100</v>
      </c>
      <c r="K38" s="2982"/>
      <c r="L38" s="2026"/>
      <c r="M38" s="2021"/>
      <c r="N38" s="2021"/>
      <c r="O38" s="2076"/>
      <c r="P38" s="4415" t="s">
        <v>1610</v>
      </c>
      <c r="Q38" s="1544">
        <f t="shared" si="8"/>
        <v>111</v>
      </c>
      <c r="R38" s="3985" t="s">
        <v>13</v>
      </c>
      <c r="S38" s="3987">
        <f t="shared" si="10"/>
        <v>100</v>
      </c>
      <c r="T38" s="3985" t="s">
        <v>13</v>
      </c>
      <c r="U38" s="3987">
        <f t="shared" si="11"/>
        <v>100</v>
      </c>
      <c r="V38" s="3985" t="s">
        <v>13</v>
      </c>
      <c r="W38" s="3987">
        <f t="shared" si="12"/>
        <v>100</v>
      </c>
      <c r="X38" s="946"/>
      <c r="Y38" s="4417" t="s">
        <v>1610</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2">
        <f>SUMIF(115:115,E39,116:116)-SUMIF(115:115,C39,116:116)+100</f>
        <v>100</v>
      </c>
      <c r="G39" s="3290"/>
      <c r="H39" s="3952">
        <f>SUMIF(115:115,G39,116:116)-SUMIF(115:115,C39,116:116)+100</f>
        <v>100</v>
      </c>
      <c r="I39" s="3277"/>
      <c r="J39" s="3952">
        <f>SUMIF(115:115,I39,116:116)-SUMIF(115:115,C39,116:116)+100</f>
        <v>100</v>
      </c>
      <c r="K39" s="2982"/>
      <c r="L39" s="2025"/>
      <c r="M39" s="2027"/>
      <c r="N39" s="2027"/>
      <c r="O39" s="2077"/>
      <c r="P39" s="4416"/>
      <c r="Q39" s="1544">
        <f t="shared" si="8"/>
        <v>111</v>
      </c>
      <c r="R39" s="3986" t="s">
        <v>13</v>
      </c>
      <c r="S39" s="3988">
        <f t="shared" si="10"/>
        <v>100</v>
      </c>
      <c r="T39" s="3986" t="s">
        <v>13</v>
      </c>
      <c r="U39" s="3988">
        <f t="shared" si="11"/>
        <v>100</v>
      </c>
      <c r="V39" s="3986" t="s">
        <v>13</v>
      </c>
      <c r="W39" s="3988">
        <f t="shared" si="12"/>
        <v>100</v>
      </c>
      <c r="X39" s="494"/>
      <c r="Y39" s="4417"/>
      <c r="Z39" s="495">
        <f t="shared" si="13"/>
        <v>111</v>
      </c>
      <c r="AA39" s="944">
        <f t="shared" si="3"/>
        <v>1</v>
      </c>
      <c r="AB39" s="944">
        <f t="shared" si="4"/>
        <v>1</v>
      </c>
      <c r="AC39" s="944">
        <f t="shared" si="5"/>
        <v>1</v>
      </c>
    </row>
    <row r="40" spans="1:29" ht="15">
      <c r="A40" s="3278" t="s">
        <v>1608</v>
      </c>
      <c r="B40" s="2922" t="s">
        <v>1787</v>
      </c>
      <c r="C40" s="3279">
        <v>34678.620000000003</v>
      </c>
      <c r="D40" s="3020">
        <v>100</v>
      </c>
      <c r="E40" s="3279">
        <v>42734.16</v>
      </c>
      <c r="F40" s="3957">
        <f>LOOKUP(E40,118:118,119:119)-LOOKUP(C40,118:118,119:119)+100</f>
        <v>100</v>
      </c>
      <c r="G40" s="3279">
        <v>39303.71</v>
      </c>
      <c r="H40" s="3957">
        <f>LOOKUP(G40,118:118,119:119)-LOOKUP(C40,118:118,119:119)+100</f>
        <v>100</v>
      </c>
      <c r="I40" s="3292">
        <v>42463.44</v>
      </c>
      <c r="J40" s="3957">
        <f>LOOKUP(I40,118:118,119:119)-LOOKUP(C40,118:118,119:119)+100</f>
        <v>100</v>
      </c>
      <c r="K40" s="2982"/>
      <c r="L40" s="2026"/>
      <c r="M40" s="2021"/>
      <c r="N40" s="2021"/>
      <c r="O40" s="2076"/>
      <c r="P40" s="4416"/>
      <c r="Q40" s="1544" t="str">
        <f>B40</f>
        <v>宗地面积</v>
      </c>
      <c r="R40" s="3985" t="s">
        <v>13</v>
      </c>
      <c r="S40" s="3987">
        <f t="shared" si="10"/>
        <v>100</v>
      </c>
      <c r="T40" s="3985" t="s">
        <v>13</v>
      </c>
      <c r="U40" s="3987">
        <f t="shared" si="11"/>
        <v>100</v>
      </c>
      <c r="V40" s="3985" t="s">
        <v>13</v>
      </c>
      <c r="W40" s="3987">
        <f t="shared" si="12"/>
        <v>100</v>
      </c>
      <c r="X40" s="946"/>
      <c r="Y40" s="4417"/>
      <c r="Z40" s="944" t="str">
        <f t="shared" si="13"/>
        <v>宗地面积</v>
      </c>
      <c r="AA40" s="944">
        <f t="shared" si="3"/>
        <v>1</v>
      </c>
      <c r="AB40" s="944">
        <f t="shared" si="4"/>
        <v>1</v>
      </c>
      <c r="AC40" s="944">
        <f t="shared" si="5"/>
        <v>1</v>
      </c>
    </row>
    <row r="41" spans="1:29" ht="15">
      <c r="A41" s="3278"/>
      <c r="B41" s="2913" t="s">
        <v>1788</v>
      </c>
      <c r="C41" s="2950" t="s">
        <v>3642</v>
      </c>
      <c r="D41" s="3013">
        <v>100</v>
      </c>
      <c r="E41" s="2950" t="s">
        <v>3642</v>
      </c>
      <c r="F41" s="3950">
        <f>SUMIF(120:120,E41,121:121)-SUMIF(120:120,C41,121:121)+100</f>
        <v>100</v>
      </c>
      <c r="G41" s="2950" t="s">
        <v>3642</v>
      </c>
      <c r="H41" s="3950">
        <f>SUMIF(120:120,G41,121:121)-SUMIF(120:120,C41,121:121)+100</f>
        <v>100</v>
      </c>
      <c r="I41" s="2950" t="s">
        <v>3642</v>
      </c>
      <c r="J41" s="3950">
        <f>SUMIF(120:120,I41,121:121)-SUMIF(120:120,C41,121:121)+100</f>
        <v>100</v>
      </c>
      <c r="K41" s="2981">
        <v>2</v>
      </c>
      <c r="L41" s="2026"/>
      <c r="M41" s="2021"/>
      <c r="N41" s="2021"/>
      <c r="O41" s="2076"/>
      <c r="P41" s="4416"/>
      <c r="Q41" s="1544" t="str">
        <f t="shared" ref="Q41:Q47" si="14">B41</f>
        <v>宗地形状</v>
      </c>
      <c r="R41" s="3985" t="s">
        <v>13</v>
      </c>
      <c r="S41" s="3987">
        <f t="shared" si="10"/>
        <v>100</v>
      </c>
      <c r="T41" s="3985" t="s">
        <v>13</v>
      </c>
      <c r="U41" s="3987">
        <f t="shared" si="11"/>
        <v>100</v>
      </c>
      <c r="V41" s="3985" t="s">
        <v>13</v>
      </c>
      <c r="W41" s="3987">
        <f t="shared" si="12"/>
        <v>100</v>
      </c>
      <c r="X41" s="946"/>
      <c r="Y41" s="4417"/>
      <c r="Z41" s="944" t="str">
        <f t="shared" si="13"/>
        <v>宗地形状</v>
      </c>
      <c r="AA41" s="944">
        <f t="shared" si="3"/>
        <v>1</v>
      </c>
      <c r="AB41" s="944">
        <f t="shared" si="4"/>
        <v>1</v>
      </c>
      <c r="AC41" s="944">
        <f t="shared" si="5"/>
        <v>1</v>
      </c>
    </row>
    <row r="42" spans="1:29" ht="15">
      <c r="A42" s="3278"/>
      <c r="B42" s="2913" t="s">
        <v>1789</v>
      </c>
      <c r="C42" s="2950" t="s">
        <v>3635</v>
      </c>
      <c r="D42" s="3013">
        <v>100</v>
      </c>
      <c r="E42" s="2950" t="s">
        <v>3635</v>
      </c>
      <c r="F42" s="3950">
        <f>SUMIF(122:122,E42,123:123)-SUMIF(122:122,C42,123:123)+100</f>
        <v>100</v>
      </c>
      <c r="G42" s="2950" t="s">
        <v>3635</v>
      </c>
      <c r="H42" s="3950">
        <f>SUMIF(122:122,G42,123:123)-SUMIF(122:122,C42,123:123)+100</f>
        <v>100</v>
      </c>
      <c r="I42" s="2950" t="s">
        <v>3635</v>
      </c>
      <c r="J42" s="3950">
        <f>SUMIF(122:122,I42,123:123)-SUMIF(122:122,C42,123:123)+100</f>
        <v>100</v>
      </c>
      <c r="K42" s="2981">
        <v>1</v>
      </c>
      <c r="L42" s="2026"/>
      <c r="M42" s="2021"/>
      <c r="N42" s="2021"/>
      <c r="O42" s="2076"/>
      <c r="P42" s="4416"/>
      <c r="Q42" s="1544" t="str">
        <f t="shared" si="14"/>
        <v>临街宽度及深度</v>
      </c>
      <c r="R42" s="3985" t="s">
        <v>13</v>
      </c>
      <c r="S42" s="3987">
        <f t="shared" si="10"/>
        <v>100</v>
      </c>
      <c r="T42" s="3985" t="s">
        <v>13</v>
      </c>
      <c r="U42" s="3987">
        <f t="shared" si="11"/>
        <v>100</v>
      </c>
      <c r="V42" s="3985" t="s">
        <v>13</v>
      </c>
      <c r="W42" s="3987">
        <f t="shared" si="12"/>
        <v>100</v>
      </c>
      <c r="X42" s="946"/>
      <c r="Y42" s="4417"/>
      <c r="Z42" s="944" t="str">
        <f t="shared" si="13"/>
        <v>临街宽度及深度</v>
      </c>
      <c r="AA42" s="944">
        <f t="shared" si="3"/>
        <v>1</v>
      </c>
      <c r="AB42" s="944">
        <f t="shared" si="4"/>
        <v>1</v>
      </c>
      <c r="AC42" s="944">
        <f t="shared" si="5"/>
        <v>1</v>
      </c>
    </row>
    <row r="43" spans="1:29" s="46" customFormat="1" ht="15">
      <c r="A43" s="3280"/>
      <c r="B43" s="2913" t="s">
        <v>1790</v>
      </c>
      <c r="C43" s="3281" t="s">
        <v>3637</v>
      </c>
      <c r="D43" s="3011">
        <v>100</v>
      </c>
      <c r="E43" s="3281" t="s">
        <v>3636</v>
      </c>
      <c r="F43" s="3950">
        <f>SUMIF(124:124,E43,125:125)-SUMIF(124:124,C43,125:125)+100</f>
        <v>101</v>
      </c>
      <c r="G43" s="3281" t="s">
        <v>3636</v>
      </c>
      <c r="H43" s="3950">
        <f>SUMIF(124:124,G43,125:125)-SUMIF(124:124,C43,125:125)+100</f>
        <v>101</v>
      </c>
      <c r="I43" s="3281" t="s">
        <v>3637</v>
      </c>
      <c r="J43" s="3950">
        <f>SUMIF(124:124,I43,125:125)-SUMIF(124:124,C43,125:125)+100</f>
        <v>100</v>
      </c>
      <c r="K43" s="2981">
        <v>1</v>
      </c>
      <c r="L43" s="2022"/>
      <c r="M43" s="1973"/>
      <c r="N43" s="1973"/>
      <c r="O43" s="2074"/>
      <c r="P43" s="4416"/>
      <c r="Q43" s="1544" t="str">
        <f t="shared" si="14"/>
        <v>宗地开发程度</v>
      </c>
      <c r="R43" s="3984" t="s">
        <v>13</v>
      </c>
      <c r="S43" s="3755">
        <f t="shared" si="10"/>
        <v>101</v>
      </c>
      <c r="T43" s="3984" t="s">
        <v>13</v>
      </c>
      <c r="U43" s="3755">
        <f t="shared" si="11"/>
        <v>101</v>
      </c>
      <c r="V43" s="3984" t="s">
        <v>13</v>
      </c>
      <c r="W43" s="3755">
        <f t="shared" si="12"/>
        <v>100</v>
      </c>
      <c r="X43" s="493"/>
      <c r="Y43" s="4417"/>
      <c r="Z43" s="28" t="str">
        <f t="shared" si="13"/>
        <v>宗地开发程度</v>
      </c>
      <c r="AA43" s="28">
        <f t="shared" si="3"/>
        <v>0.99009900990099009</v>
      </c>
      <c r="AB43" s="28">
        <f t="shared" si="4"/>
        <v>0.99009900990099009</v>
      </c>
      <c r="AC43" s="28">
        <f t="shared" si="5"/>
        <v>1</v>
      </c>
    </row>
    <row r="44" spans="1:29" ht="15">
      <c r="A44" s="3278"/>
      <c r="B44" s="2913" t="s">
        <v>1791</v>
      </c>
      <c r="C44" s="2950" t="s">
        <v>3635</v>
      </c>
      <c r="D44" s="3013">
        <v>100</v>
      </c>
      <c r="E44" s="2950" t="s">
        <v>3635</v>
      </c>
      <c r="F44" s="3950">
        <f>SUMIF(126:126,E44,127:127)-SUMIF(126:126,C44,127:127)+100</f>
        <v>100</v>
      </c>
      <c r="G44" s="2950" t="s">
        <v>3635</v>
      </c>
      <c r="H44" s="3950">
        <f>SUMIF(126:126,G44,127:127)-SUMIF(126:126,C44,127:127)+100</f>
        <v>100</v>
      </c>
      <c r="I44" s="2950" t="s">
        <v>3635</v>
      </c>
      <c r="J44" s="3950">
        <f>SUMIF(126:126,I44,127:127)-SUMIF(126:126,C44,127:127)+100</f>
        <v>100</v>
      </c>
      <c r="K44" s="2981">
        <v>1</v>
      </c>
      <c r="L44" s="2026"/>
      <c r="M44" s="2021"/>
      <c r="N44" s="2021"/>
      <c r="O44" s="2076"/>
      <c r="P44" s="4416" t="s">
        <v>1610</v>
      </c>
      <c r="Q44" s="1544" t="str">
        <f t="shared" si="14"/>
        <v>工程地质条件</v>
      </c>
      <c r="R44" s="3985" t="s">
        <v>13</v>
      </c>
      <c r="S44" s="3987">
        <f t="shared" si="10"/>
        <v>100</v>
      </c>
      <c r="T44" s="3985" t="s">
        <v>13</v>
      </c>
      <c r="U44" s="3987">
        <f t="shared" si="11"/>
        <v>100</v>
      </c>
      <c r="V44" s="3985" t="s">
        <v>13</v>
      </c>
      <c r="W44" s="3987">
        <f t="shared" si="12"/>
        <v>100</v>
      </c>
      <c r="X44" s="946"/>
      <c r="Y44" s="4417" t="s">
        <v>1610</v>
      </c>
      <c r="Z44" s="944" t="str">
        <f t="shared" si="13"/>
        <v>工程地质条件</v>
      </c>
      <c r="AA44" s="944">
        <f t="shared" si="3"/>
        <v>1</v>
      </c>
      <c r="AB44" s="944">
        <f t="shared" si="4"/>
        <v>1</v>
      </c>
      <c r="AC44" s="944">
        <f t="shared" si="5"/>
        <v>1</v>
      </c>
    </row>
    <row r="45" spans="1:29" ht="15">
      <c r="A45" s="3278"/>
      <c r="B45" s="3274">
        <v>111</v>
      </c>
      <c r="C45" s="3272"/>
      <c r="D45" s="3013">
        <v>100</v>
      </c>
      <c r="E45" s="3272"/>
      <c r="F45" s="3950">
        <f>SUMIF(128:128,E45,129:129)-SUMIF(128:128,C45,129:129)+100</f>
        <v>100</v>
      </c>
      <c r="G45" s="3272"/>
      <c r="H45" s="3950">
        <f>SUMIF(128:128,G45,129:129)-SUMIF(128:128,C45,129:129)+100</f>
        <v>100</v>
      </c>
      <c r="I45" s="3286"/>
      <c r="J45" s="3950">
        <f>SUMIF(128:128,I45,129:129)-SUMIF(128:128,C45,129:129)+100</f>
        <v>100</v>
      </c>
      <c r="K45" s="2982"/>
      <c r="L45" s="2026"/>
      <c r="M45" s="2021"/>
      <c r="N45" s="2021"/>
      <c r="O45" s="2076"/>
      <c r="P45" s="4416"/>
      <c r="Q45" s="1544">
        <f t="shared" si="14"/>
        <v>111</v>
      </c>
      <c r="R45" s="3985" t="s">
        <v>13</v>
      </c>
      <c r="S45" s="3987">
        <f t="shared" si="10"/>
        <v>100</v>
      </c>
      <c r="T45" s="3985" t="s">
        <v>13</v>
      </c>
      <c r="U45" s="3987">
        <f t="shared" si="11"/>
        <v>100</v>
      </c>
      <c r="V45" s="3985" t="s">
        <v>13</v>
      </c>
      <c r="W45" s="3987">
        <f t="shared" si="12"/>
        <v>100</v>
      </c>
      <c r="X45" s="946"/>
      <c r="Y45" s="4417"/>
      <c r="Z45" s="944">
        <f t="shared" si="13"/>
        <v>111</v>
      </c>
      <c r="AA45" s="944">
        <f t="shared" si="3"/>
        <v>1</v>
      </c>
      <c r="AB45" s="944">
        <f t="shared" si="4"/>
        <v>1</v>
      </c>
      <c r="AC45" s="944">
        <f t="shared" si="5"/>
        <v>1</v>
      </c>
    </row>
    <row r="46" spans="1:29" ht="15">
      <c r="A46" s="3278"/>
      <c r="B46" s="3274">
        <v>111</v>
      </c>
      <c r="C46" s="3272"/>
      <c r="D46" s="3013">
        <v>100</v>
      </c>
      <c r="E46" s="3272"/>
      <c r="F46" s="3950">
        <f>SUMIF(130:130,E46,131:131)-SUMIF(130:130,C46,131:131)+100</f>
        <v>100</v>
      </c>
      <c r="G46" s="3272"/>
      <c r="H46" s="3950">
        <f>SUMIF(130:130,G46,131:131)-SUMIF(130:130,C46,131:131)+100</f>
        <v>100</v>
      </c>
      <c r="I46" s="3286"/>
      <c r="J46" s="3950">
        <f>SUMIF(130:130,I46,131:131)-SUMIF(130:130,C46,131:131)+100</f>
        <v>100</v>
      </c>
      <c r="K46" s="2982"/>
      <c r="L46" s="2026"/>
      <c r="M46" s="2021"/>
      <c r="N46" s="2021"/>
      <c r="O46" s="2076"/>
      <c r="P46" s="4416"/>
      <c r="Q46" s="1544">
        <f t="shared" si="14"/>
        <v>111</v>
      </c>
      <c r="R46" s="3985" t="s">
        <v>13</v>
      </c>
      <c r="S46" s="3987">
        <f t="shared" si="10"/>
        <v>100</v>
      </c>
      <c r="T46" s="3985" t="s">
        <v>13</v>
      </c>
      <c r="U46" s="3987">
        <f t="shared" si="11"/>
        <v>100</v>
      </c>
      <c r="V46" s="3985" t="s">
        <v>13</v>
      </c>
      <c r="W46" s="3987">
        <f t="shared" si="12"/>
        <v>100</v>
      </c>
      <c r="X46" s="946"/>
      <c r="Y46" s="4417"/>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2">
        <f>SUMIF(132:132,E47,133:133)-SUMIF(132:132,C47,133:133)+100</f>
        <v>100</v>
      </c>
      <c r="G47" s="3272"/>
      <c r="H47" s="3952">
        <f>SUMIF(132:132,G47,133:133)-SUMIF(132:132,C47,133:133)+100</f>
        <v>100</v>
      </c>
      <c r="I47" s="3272"/>
      <c r="J47" s="3952">
        <f>SUMIF(132:132,I47,133:133)-SUMIF(132:132,C47,133:133)+100</f>
        <v>100</v>
      </c>
      <c r="K47" s="3323"/>
      <c r="L47" s="2025"/>
      <c r="M47" s="2027"/>
      <c r="N47" s="2027"/>
      <c r="O47" s="2077"/>
      <c r="P47" s="4416"/>
      <c r="Q47" s="1544">
        <f t="shared" si="14"/>
        <v>111</v>
      </c>
      <c r="R47" s="3986" t="s">
        <v>13</v>
      </c>
      <c r="S47" s="3988">
        <f t="shared" si="10"/>
        <v>100</v>
      </c>
      <c r="T47" s="3986" t="s">
        <v>13</v>
      </c>
      <c r="U47" s="3988">
        <f t="shared" si="11"/>
        <v>100</v>
      </c>
      <c r="V47" s="3986" t="s">
        <v>13</v>
      </c>
      <c r="W47" s="3988">
        <f t="shared" si="12"/>
        <v>100</v>
      </c>
      <c r="X47" s="494"/>
      <c r="Y47" s="4417"/>
      <c r="Z47" s="495">
        <f t="shared" si="13"/>
        <v>111</v>
      </c>
      <c r="AA47" s="944">
        <f t="shared" si="3"/>
        <v>1</v>
      </c>
      <c r="AB47" s="944">
        <f t="shared" si="4"/>
        <v>1</v>
      </c>
      <c r="AC47" s="944">
        <f t="shared" si="5"/>
        <v>1</v>
      </c>
    </row>
    <row r="48" spans="1:29" ht="15">
      <c r="A48" s="287" t="s">
        <v>1758</v>
      </c>
      <c r="B48" s="1467" t="s">
        <v>1792</v>
      </c>
      <c r="C48" s="450" t="s">
        <v>0</v>
      </c>
      <c r="D48" s="289"/>
      <c r="E48" s="3386">
        <v>89234</v>
      </c>
      <c r="F48" s="3324"/>
      <c r="G48" s="3387">
        <v>95047</v>
      </c>
      <c r="H48" s="3325"/>
      <c r="I48" s="3386">
        <v>71574</v>
      </c>
      <c r="J48" s="3325"/>
      <c r="K48" s="2986"/>
      <c r="L48" s="2028"/>
      <c r="M48" s="2021"/>
      <c r="N48" s="2021"/>
      <c r="O48" s="2021"/>
      <c r="P48" s="4387" t="str">
        <f>A48</f>
        <v>成交单价</v>
      </c>
      <c r="Q48" s="4387"/>
      <c r="R48" s="4418">
        <f>E48</f>
        <v>89234</v>
      </c>
      <c r="S48" s="4418"/>
      <c r="T48" s="4418">
        <f>G48</f>
        <v>95047</v>
      </c>
      <c r="U48" s="4418"/>
      <c r="V48" s="4418">
        <f>I48</f>
        <v>71574</v>
      </c>
      <c r="W48" s="4418"/>
      <c r="X48" s="266"/>
      <c r="Y48" s="496"/>
      <c r="Z48" s="266"/>
      <c r="AA48" s="266"/>
      <c r="AB48" s="266"/>
      <c r="AC48" s="266"/>
    </row>
    <row r="49" spans="1:29" ht="15.75" thickBot="1">
      <c r="A49" s="290" t="s">
        <v>1707</v>
      </c>
      <c r="B49" s="451"/>
      <c r="C49" s="3969">
        <f>R50</f>
        <v>71592</v>
      </c>
      <c r="D49" s="4082" t="s">
        <v>2048</v>
      </c>
      <c r="E49" s="3969">
        <f>R49</f>
        <v>69199</v>
      </c>
      <c r="F49" s="2925"/>
      <c r="G49" s="3958">
        <f>T49</f>
        <v>73707</v>
      </c>
      <c r="H49" s="2925"/>
      <c r="I49" s="3969">
        <f>V49</f>
        <v>71871</v>
      </c>
      <c r="J49" s="2925"/>
      <c r="K49" s="2979">
        <f>F49+H49+J49</f>
        <v>0</v>
      </c>
      <c r="L49" s="2028"/>
      <c r="M49" s="2021"/>
      <c r="N49" s="2021"/>
      <c r="O49" s="2021"/>
      <c r="P49" s="4387" t="str">
        <f>A49</f>
        <v>比较价值（元/平方米）</v>
      </c>
      <c r="Q49" s="4387"/>
      <c r="R49" s="4418">
        <f>ROUND(PRODUCT(R48,AA9:AA47),0)</f>
        <v>69199</v>
      </c>
      <c r="S49" s="4418"/>
      <c r="T49" s="4418">
        <f>ROUND(PRODUCT(T48,AB9:AB47),0)</f>
        <v>73707</v>
      </c>
      <c r="U49" s="4418"/>
      <c r="V49" s="4418">
        <f>ROUND(PRODUCT(V48,AC9:AC47),0)</f>
        <v>71871</v>
      </c>
      <c r="W49" s="4418"/>
      <c r="X49" s="266"/>
      <c r="Y49" s="266"/>
      <c r="Z49" s="266"/>
      <c r="AA49" s="266"/>
      <c r="AB49" s="266"/>
      <c r="AC49" s="266"/>
    </row>
    <row r="50" spans="1:29" ht="15.75" thickBot="1">
      <c r="A50" s="292" t="s">
        <v>1793</v>
      </c>
      <c r="B50" s="293"/>
      <c r="C50" s="3970">
        <f>R50</f>
        <v>71592</v>
      </c>
      <c r="D50" s="294"/>
      <c r="E50" s="294"/>
      <c r="F50" s="294"/>
      <c r="G50" s="294"/>
      <c r="H50" s="294"/>
      <c r="I50" s="294"/>
      <c r="J50" s="294"/>
      <c r="K50" s="3297"/>
      <c r="L50" s="2028"/>
      <c r="M50" s="2021"/>
      <c r="N50" s="2021"/>
      <c r="O50" s="2021"/>
      <c r="P50" s="4419" t="str">
        <f>A50</f>
        <v>估价对象XX用房的比较价值（楼面单价，元/平方米）</v>
      </c>
      <c r="Q50" s="4420"/>
      <c r="R50" s="4421">
        <f>ROUND(IF(D49="简单平均",AVERAGE(R49:W49),R49*F49+T49*H49+V49*J49),0)</f>
        <v>71592</v>
      </c>
      <c r="S50" s="4421"/>
      <c r="T50" s="4421"/>
      <c r="U50" s="4421"/>
      <c r="V50" s="4421"/>
      <c r="W50" s="4421"/>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f>IF(E48&lt;E49,E49/E48-1,E48/E49-1)</f>
        <v>0.28952730530788018</v>
      </c>
      <c r="F53" s="300" t="str">
        <f>IF(OR(E53&gt;=0.3,E53&lt;=-0.3),"超过30%","")</f>
        <v/>
      </c>
      <c r="G53" s="299">
        <f>IF(G48&lt;G49,G49/G48-1,G48/G49-1)</f>
        <v>0.28952473984831828</v>
      </c>
      <c r="H53" s="300" t="str">
        <f>IF(OR(G53&gt;=0.3,G53&lt;=-0.3),"超过30%","")</f>
        <v/>
      </c>
      <c r="I53" s="299">
        <f>IF(I48&lt;I49,I49/I48-1,I48/I49-1)</f>
        <v>4.1495515131193539E-3</v>
      </c>
      <c r="J53" s="300" t="str">
        <f>IF(OR(I53&gt;=0.3,I53&lt;=-0.3),"超过30%","")</f>
        <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f>IF(E49&lt;G49,G49/E49-1,E49/G49-1)</f>
        <v>6.5145450078758271E-2</v>
      </c>
      <c r="F54" s="300" t="str">
        <f>IF(OR(E54&gt;=0.2,E54&lt;=-0.2),"超过20%","")</f>
        <v/>
      </c>
      <c r="G54" s="299">
        <f>IF(G49&lt;I49,I49/G49-1,G49/I49-1)</f>
        <v>2.5545769503694027E-2</v>
      </c>
      <c r="H54" s="300" t="str">
        <f>IF(OR(G54&gt;=0.2,G54&lt;=-0.2),"超过20%","")</f>
        <v/>
      </c>
      <c r="I54" s="299">
        <f>IF(I49&lt;E49,E49/I49-1,I49/E49-1)</f>
        <v>3.8613274758305671E-2</v>
      </c>
      <c r="J54" s="300" t="str">
        <f>IF(OR(I54&gt;=0.2,I54&lt;=-0.2),"超过20%","")</f>
        <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f>IF(E48&lt;G48,G48/E48-1,E48/G48-1)</f>
        <v>6.5143331017325279E-2</v>
      </c>
      <c r="F55" s="300" t="str">
        <f>IF(OR(E55&gt;=0.3,E55&lt;=-0.3),"超过30%","")</f>
        <v/>
      </c>
      <c r="G55" s="299">
        <f>IF(G48&lt;I48,I48/G48-1,G48/I48-1)</f>
        <v>0.3279542850755861</v>
      </c>
      <c r="H55" s="300" t="str">
        <f>IF(OR(G55&gt;=0.3,G55&lt;=-0.3),"超过30%","")</f>
        <v>超过30%</v>
      </c>
      <c r="I55" s="299">
        <f>IF(I48&lt;E48,E48/I48-1,I48/E48-1)</f>
        <v>0.24673764216056115</v>
      </c>
      <c r="J55" s="300" t="str">
        <f>IF(OR(I55&gt;=0.3,I55&lt;=-0.3),"超过30%","")</f>
        <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22" t="s">
        <v>1800</v>
      </c>
      <c r="H57" s="4423"/>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8">
        <f>C50</f>
        <v>71592</v>
      </c>
      <c r="C58" s="2955">
        <v>1</v>
      </c>
      <c r="D58" s="3236">
        <v>1</v>
      </c>
      <c r="E58" s="3235">
        <f>'数据-汇总表'!E8+'数据-汇总表'!E9</f>
        <v>10800.690000000002</v>
      </c>
      <c r="F58" s="3257">
        <f t="shared" ref="F58:F66" si="15">ROUND(B58*E58/10000,0)</f>
        <v>77324</v>
      </c>
      <c r="G58" s="4424"/>
      <c r="H58" s="4425"/>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8">
        <f>ROUND($C$50*C59*D59,0)</f>
        <v>0</v>
      </c>
      <c r="C59" s="3234">
        <f t="shared" ref="C59:C66" si="16">IF($C$57="北京市系数",I59,J59)</f>
        <v>0</v>
      </c>
      <c r="D59" s="3237">
        <v>0.25</v>
      </c>
      <c r="E59" s="3239"/>
      <c r="F59" s="3257">
        <f t="shared" si="15"/>
        <v>0</v>
      </c>
      <c r="G59" s="2236" t="s">
        <v>1805</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8">
        <f t="shared" ref="B60:B66" si="17">ROUND($C$50*C60*D60,0)</f>
        <v>0</v>
      </c>
      <c r="C60" s="3234">
        <f t="shared" si="16"/>
        <v>0</v>
      </c>
      <c r="D60" s="3237">
        <v>0.25</v>
      </c>
      <c r="E60" s="3239"/>
      <c r="F60" s="3257">
        <f t="shared" si="15"/>
        <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8">
        <f t="shared" si="17"/>
        <v>0</v>
      </c>
      <c r="C61" s="3234">
        <f t="shared" si="16"/>
        <v>0</v>
      </c>
      <c r="D61" s="3237">
        <v>0.25</v>
      </c>
      <c r="E61" s="3239"/>
      <c r="F61" s="3257">
        <f t="shared" si="15"/>
        <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8">
        <f t="shared" si="17"/>
        <v>0</v>
      </c>
      <c r="C62" s="3234">
        <f t="shared" si="16"/>
        <v>0</v>
      </c>
      <c r="D62" s="3237">
        <v>0.25</v>
      </c>
      <c r="E62" s="3240">
        <f>'数据-汇总表'!E11</f>
        <v>0</v>
      </c>
      <c r="F62" s="3257">
        <f t="shared" si="15"/>
        <v>0</v>
      </c>
      <c r="G62" s="3249" t="s">
        <v>1809</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8">
        <f t="shared" si="17"/>
        <v>4475</v>
      </c>
      <c r="C63" s="3234">
        <f t="shared" si="16"/>
        <v>0.25</v>
      </c>
      <c r="D63" s="3237">
        <v>0.25</v>
      </c>
      <c r="E63" s="3240">
        <f>'数据-汇总表'!E12</f>
        <v>4951.4299999999994</v>
      </c>
      <c r="F63" s="3257">
        <f t="shared" si="15"/>
        <v>2216</v>
      </c>
      <c r="G63" s="3250" t="s">
        <v>3276</v>
      </c>
      <c r="H63" s="602" t="str">
        <f>IF(G63="商业",项目基本情况!B37,IF(G63="办公",项目基本情况!C37,IF(G63="住宅",项目基本情况!D37,项目基本情况!E37)))</f>
        <v>五级</v>
      </c>
      <c r="I63" s="3252">
        <f>SUMIF(修正!A59:A70,H63,修正!F59:F70)</f>
        <v>0.25</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8">
        <f t="shared" si="17"/>
        <v>2685</v>
      </c>
      <c r="C64" s="3234">
        <f t="shared" si="16"/>
        <v>0.15</v>
      </c>
      <c r="D64" s="3237">
        <v>0.25</v>
      </c>
      <c r="E64" s="3240">
        <f>'数据-汇总表'!E13</f>
        <v>9216.07</v>
      </c>
      <c r="F64" s="3257">
        <f t="shared" si="15"/>
        <v>2475</v>
      </c>
      <c r="G64" s="3250" t="s">
        <v>1813</v>
      </c>
      <c r="H64" s="602" t="str">
        <f>IF(G64="商业",项目基本情况!B37,IF(G64="办公",项目基本情况!C37,IF(G64="住宅",项目基本情况!D37,项目基本情况!E37)))</f>
        <v>五级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8">
        <f t="shared" si="17"/>
        <v>0</v>
      </c>
      <c r="C65" s="3234">
        <f t="shared" si="16"/>
        <v>0</v>
      </c>
      <c r="D65" s="3237">
        <v>0.25</v>
      </c>
      <c r="E65" s="3240">
        <f>'数据-汇总表'!E14</f>
        <v>0</v>
      </c>
      <c r="F65" s="3257">
        <f t="shared" si="15"/>
        <v>0</v>
      </c>
      <c r="G65" s="3249" t="s">
        <v>1805</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8">
        <f t="shared" si="17"/>
        <v>0</v>
      </c>
      <c r="C66" s="3234">
        <f t="shared" si="16"/>
        <v>0</v>
      </c>
      <c r="D66" s="3237">
        <v>0.25</v>
      </c>
      <c r="E66" s="3240">
        <f>'数据-汇总表'!E15</f>
        <v>0</v>
      </c>
      <c r="F66" s="3257">
        <f t="shared" si="15"/>
        <v>0</v>
      </c>
      <c r="G66" s="3251" t="s">
        <v>1809</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8" t="s">
        <v>386</v>
      </c>
      <c r="E67" s="3241">
        <f>IF(B48="楼面地价",SUM(E58:E66),'数据-汇总表'!D3)</f>
        <v>24968.190000000002</v>
      </c>
      <c r="F67" s="3242">
        <f>IF(B48="楼面地价",SUM(F58:F66),ROUND(C50*E67/10000,0))</f>
        <v>82015</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1712</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5.75" thickBot="1">
      <c r="A73" s="313" t="s">
        <v>1630</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1595</v>
      </c>
      <c r="B74" s="308"/>
      <c r="C74" s="320" t="s">
        <v>1690</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1633</v>
      </c>
      <c r="B76" s="323" t="s">
        <v>1599</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1602</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1603</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97</v>
      </c>
      <c r="E82" s="338">
        <f t="shared" si="21"/>
        <v>94</v>
      </c>
      <c r="F82" s="338">
        <f t="shared" si="21"/>
        <v>91</v>
      </c>
      <c r="G82" s="338">
        <f t="shared" si="21"/>
        <v>88</v>
      </c>
      <c r="H82" s="338">
        <f t="shared" si="21"/>
        <v>85</v>
      </c>
      <c r="I82" s="338">
        <f t="shared" si="21"/>
        <v>82</v>
      </c>
      <c r="J82" s="338">
        <f t="shared" si="21"/>
        <v>79</v>
      </c>
      <c r="K82" s="3310">
        <f t="shared" si="21"/>
        <v>76</v>
      </c>
      <c r="L82" s="338">
        <f t="shared" si="21"/>
        <v>73</v>
      </c>
      <c r="M82" s="338">
        <f t="shared" si="21"/>
        <v>70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限价</v>
      </c>
      <c r="C83" s="348">
        <v>105000</v>
      </c>
      <c r="D83" s="4150" t="s">
        <v>3969</v>
      </c>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v>100</v>
      </c>
      <c r="D84" s="330">
        <v>115</v>
      </c>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0</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0</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1604</v>
      </c>
      <c r="B89" s="323" t="s">
        <v>1634</v>
      </c>
      <c r="C89" s="365" t="s">
        <v>1635</v>
      </c>
      <c r="D89" s="365" t="s">
        <v>1636</v>
      </c>
      <c r="E89" s="365" t="s">
        <v>1637</v>
      </c>
      <c r="F89" s="365" t="s">
        <v>1638</v>
      </c>
      <c r="G89" s="365" t="s">
        <v>1639</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95</v>
      </c>
      <c r="E90" s="338">
        <f>D90-$K17</f>
        <v>90</v>
      </c>
      <c r="F90" s="338">
        <f>E90-$K17</f>
        <v>85</v>
      </c>
      <c r="G90" s="338">
        <f>F90-$K17</f>
        <v>80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1635</v>
      </c>
      <c r="D91" s="369" t="s">
        <v>1636</v>
      </c>
      <c r="E91" s="369" t="s">
        <v>1637</v>
      </c>
      <c r="F91" s="369" t="s">
        <v>1638</v>
      </c>
      <c r="G91" s="369" t="s">
        <v>1639</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1735</v>
      </c>
      <c r="C93" s="369" t="s">
        <v>1635</v>
      </c>
      <c r="D93" s="369" t="s">
        <v>1636</v>
      </c>
      <c r="E93" s="369" t="s">
        <v>1637</v>
      </c>
      <c r="F93" s="369" t="s">
        <v>1638</v>
      </c>
      <c r="G93" s="369" t="s">
        <v>1639</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1640</v>
      </c>
      <c r="C95" s="369" t="s">
        <v>1635</v>
      </c>
      <c r="D95" s="369" t="s">
        <v>1636</v>
      </c>
      <c r="E95" s="369" t="s">
        <v>1637</v>
      </c>
      <c r="F95" s="369" t="s">
        <v>1638</v>
      </c>
      <c r="G95" s="369" t="s">
        <v>1639</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95</v>
      </c>
      <c r="E96" s="338">
        <f>D96-$K23</f>
        <v>90</v>
      </c>
      <c r="F96" s="338">
        <f>E96-$K23</f>
        <v>85</v>
      </c>
      <c r="G96" s="338">
        <f>F96-$K23</f>
        <v>80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1635</v>
      </c>
      <c r="D97" s="369" t="s">
        <v>1636</v>
      </c>
      <c r="E97" s="369" t="s">
        <v>1637</v>
      </c>
      <c r="F97" s="369" t="s">
        <v>1638</v>
      </c>
      <c r="G97" s="369" t="s">
        <v>1639</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98</v>
      </c>
      <c r="E98" s="338">
        <f>D98-$K25</f>
        <v>96</v>
      </c>
      <c r="F98" s="338">
        <f>E98-$K25</f>
        <v>94</v>
      </c>
      <c r="G98" s="338">
        <f>F98-$K25</f>
        <v>92</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1635</v>
      </c>
      <c r="D99" s="365" t="s">
        <v>1636</v>
      </c>
      <c r="E99" s="365" t="s">
        <v>1637</v>
      </c>
      <c r="F99" s="365" t="s">
        <v>1638</v>
      </c>
      <c r="G99" s="365" t="s">
        <v>1639</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95</v>
      </c>
      <c r="E100" s="338">
        <f>D100-$K27</f>
        <v>90</v>
      </c>
      <c r="F100" s="338">
        <f>E100-$K27</f>
        <v>85</v>
      </c>
      <c r="G100" s="338">
        <f>F100-$K27</f>
        <v>80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1692</v>
      </c>
      <c r="C101" s="365" t="s">
        <v>1635</v>
      </c>
      <c r="D101" s="365" t="s">
        <v>1636</v>
      </c>
      <c r="E101" s="365" t="s">
        <v>1637</v>
      </c>
      <c r="F101" s="365" t="s">
        <v>1638</v>
      </c>
      <c r="G101" s="365" t="s">
        <v>1639</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95</v>
      </c>
      <c r="E102" s="338">
        <f>D102-$K29</f>
        <v>90</v>
      </c>
      <c r="F102" s="338">
        <f>E102-$K29</f>
        <v>85</v>
      </c>
      <c r="G102" s="338">
        <f>F102-$K29</f>
        <v>80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1693</v>
      </c>
      <c r="C103" s="436" t="s">
        <v>1713</v>
      </c>
      <c r="D103" s="436" t="s">
        <v>1714</v>
      </c>
      <c r="E103" s="436" t="s">
        <v>1715</v>
      </c>
      <c r="F103" s="436" t="s">
        <v>1716</v>
      </c>
      <c r="G103" s="436" t="s">
        <v>1717</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98</v>
      </c>
      <c r="E104" s="338">
        <f>D104-$K31</f>
        <v>96</v>
      </c>
      <c r="F104" s="338">
        <f>E104-$K31</f>
        <v>94</v>
      </c>
      <c r="G104" s="338">
        <f>F104-$K31</f>
        <v>92</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1729</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1608</v>
      </c>
      <c r="B117" s="323" t="s">
        <v>1826</v>
      </c>
      <c r="C117" s="324" t="str">
        <f>C118&amp;"(含)"&amp;"-"&amp;D118</f>
        <v>0(含)-20000</v>
      </c>
      <c r="D117" s="324" t="str">
        <f t="shared" ref="D117:M117" si="25">D118&amp;"(含)"&amp;"-"&amp;E118</f>
        <v>20000(含)-50000</v>
      </c>
      <c r="E117" s="324" t="str">
        <f t="shared" si="25"/>
        <v>50000(含)-100000</v>
      </c>
      <c r="F117" s="324" t="str">
        <f t="shared" si="25"/>
        <v>100000(含)-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20000</v>
      </c>
      <c r="E118" s="5">
        <v>50000</v>
      </c>
      <c r="F118" s="5">
        <v>100000</v>
      </c>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v>101</v>
      </c>
      <c r="E119" s="381">
        <v>102</v>
      </c>
      <c r="F119" s="381">
        <v>103</v>
      </c>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3641</v>
      </c>
      <c r="D120" s="373" t="s">
        <v>3642</v>
      </c>
      <c r="E120" s="373" t="s">
        <v>3643</v>
      </c>
      <c r="F120" s="373" t="s">
        <v>3644</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98</v>
      </c>
      <c r="E121" s="338">
        <f t="shared" si="26"/>
        <v>96</v>
      </c>
      <c r="F121" s="338">
        <f t="shared" si="26"/>
        <v>94</v>
      </c>
      <c r="G121" s="338">
        <f t="shared" si="26"/>
        <v>92</v>
      </c>
      <c r="H121" s="338">
        <f t="shared" si="26"/>
        <v>90</v>
      </c>
      <c r="I121" s="338">
        <f t="shared" si="26"/>
        <v>88</v>
      </c>
      <c r="J121" s="338">
        <f t="shared" si="26"/>
        <v>86</v>
      </c>
      <c r="K121" s="3310">
        <f t="shared" si="26"/>
        <v>84</v>
      </c>
      <c r="L121" s="338">
        <f t="shared" si="26"/>
        <v>82</v>
      </c>
      <c r="M121" s="339">
        <f t="shared" si="26"/>
        <v>80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0">
        <f t="shared" si="27"/>
        <v>92</v>
      </c>
      <c r="L123" s="338">
        <f t="shared" si="27"/>
        <v>91</v>
      </c>
      <c r="M123" s="339">
        <f t="shared" si="27"/>
        <v>90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3636</v>
      </c>
      <c r="D124" s="348" t="s">
        <v>3637</v>
      </c>
      <c r="E124" s="348" t="s">
        <v>3638</v>
      </c>
      <c r="F124" s="348" t="s">
        <v>3639</v>
      </c>
      <c r="G124" s="348" t="s">
        <v>3640</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0">
        <f t="shared" si="28"/>
        <v>92</v>
      </c>
      <c r="L125" s="338">
        <f t="shared" si="28"/>
        <v>91</v>
      </c>
      <c r="M125" s="339">
        <f t="shared" si="28"/>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0">
        <f t="shared" si="29"/>
        <v>92</v>
      </c>
      <c r="L127" s="338">
        <f t="shared" si="29"/>
        <v>91</v>
      </c>
      <c r="M127" s="339">
        <f t="shared" si="29"/>
        <v>90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G30 I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3" xr:uid="{00000000-0002-0000-1600-000013000000}">
      <formula1>"商业,办公,住宅,工业"</formula1>
    </dataValidation>
    <dataValidation type="list" allowBlank="1" showInputMessage="1" showErrorMessage="1" sqref="G64" xr:uid="{00000000-0002-0000-1600-000014000000}">
      <formula1>"住宅,工业"</formula1>
    </dataValidation>
    <dataValidation type="list" allowBlank="1" showInputMessage="1" showErrorMessage="1" sqref="C32 E32 G32 I32" xr:uid="{00000000-0002-0000-1600-000015000000}">
      <formula1>基础设施水平</formula1>
    </dataValidation>
    <dataValidation type="list" allowBlank="1" showInputMessage="1" showErrorMessage="1" sqref="A72" xr:uid="{00000000-0002-0000-1600-000016000000}">
      <formula1>"综合,商业,办公,住宅"</formula1>
    </dataValidation>
    <dataValidation type="list" allowBlank="1" showInputMessage="1" showErrorMessage="1" sqref="D49" xr:uid="{00000000-0002-0000-1600-000017000000}">
      <formula1>"简单平均,加权平均"</formula1>
    </dataValidation>
    <dataValidation type="list" allowBlank="1" showInputMessage="1" showErrorMessage="1" sqref="D59:D66" xr:uid="{00000000-0002-0000-16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62"/>
  <sheetViews>
    <sheetView zoomScale="90" zoomScaleNormal="90" workbookViewId="0">
      <selection activeCell="G11" sqref="G11"/>
    </sheetView>
  </sheetViews>
  <sheetFormatPr defaultRowHeight="13.5"/>
  <cols>
    <col min="1" max="1" width="13.875" customWidth="1"/>
    <col min="11" max="17" width="0" hidden="1" customWidth="1"/>
    <col min="25" max="30" width="0" hidden="1" customWidth="1"/>
  </cols>
  <sheetData>
    <row r="1" spans="1:44">
      <c r="A1" s="2382">
        <f>基准地价修正!G23</f>
        <v>46043</v>
      </c>
      <c r="B1" s="2374" t="s">
        <v>3267</v>
      </c>
      <c r="C1" s="2375"/>
      <c r="D1" s="2375"/>
      <c r="E1" s="2375"/>
      <c r="F1" s="2375"/>
      <c r="G1" s="2375"/>
      <c r="H1" s="2375"/>
      <c r="I1" s="2375"/>
      <c r="J1" s="2349"/>
      <c r="K1" s="2375" t="s">
        <v>448</v>
      </c>
      <c r="L1" s="2375"/>
      <c r="M1" s="2375"/>
      <c r="N1" s="2375"/>
      <c r="O1" s="2375"/>
      <c r="P1" s="2375"/>
      <c r="Q1" s="2349"/>
      <c r="R1" s="4426" t="s">
        <v>450</v>
      </c>
      <c r="S1" s="4427"/>
      <c r="T1" s="4427"/>
      <c r="U1" s="4427"/>
      <c r="V1" s="4427"/>
      <c r="W1" s="4427"/>
      <c r="X1" s="2349"/>
      <c r="Y1" s="4426" t="s">
        <v>451</v>
      </c>
      <c r="Z1" s="4427"/>
      <c r="AA1" s="4427"/>
      <c r="AB1" s="4427"/>
      <c r="AC1" s="4427"/>
      <c r="AD1" s="4427"/>
    </row>
    <row r="2" spans="1:44" s="1636" customFormat="1" ht="14.25" thickBot="1">
      <c r="B2" s="2335"/>
      <c r="C2" s="2336"/>
      <c r="D2" s="1637" t="s">
        <v>2703</v>
      </c>
      <c r="E2" s="1638" t="s">
        <v>2704</v>
      </c>
      <c r="F2" s="1638" t="s">
        <v>2705</v>
      </c>
      <c r="G2" s="1638" t="s">
        <v>2706</v>
      </c>
      <c r="H2" s="1638" t="s">
        <v>2707</v>
      </c>
      <c r="I2" s="1638" t="s">
        <v>2524</v>
      </c>
      <c r="J2" s="2337"/>
      <c r="K2" s="1637" t="s">
        <v>2703</v>
      </c>
      <c r="L2" s="1638" t="s">
        <v>2704</v>
      </c>
      <c r="M2" s="1638" t="s">
        <v>2705</v>
      </c>
      <c r="N2" s="1638" t="s">
        <v>2706</v>
      </c>
      <c r="O2" s="1638" t="s">
        <v>2708</v>
      </c>
      <c r="P2" s="1638" t="s">
        <v>2524</v>
      </c>
      <c r="Q2" s="2337"/>
      <c r="R2" s="1637" t="s">
        <v>2703</v>
      </c>
      <c r="S2" s="1638" t="s">
        <v>2704</v>
      </c>
      <c r="T2" s="1638" t="s">
        <v>2705</v>
      </c>
      <c r="U2" s="1638" t="s">
        <v>2709</v>
      </c>
      <c r="V2" s="1638" t="s">
        <v>2710</v>
      </c>
      <c r="W2" s="1638" t="s">
        <v>2524</v>
      </c>
      <c r="X2" s="2337"/>
      <c r="Y2" s="1637" t="s">
        <v>2703</v>
      </c>
      <c r="Z2" s="1638" t="s">
        <v>2704</v>
      </c>
      <c r="AA2" s="1638" t="s">
        <v>2705</v>
      </c>
      <c r="AB2" s="1638" t="s">
        <v>2711</v>
      </c>
      <c r="AC2" s="1638" t="s">
        <v>2710</v>
      </c>
      <c r="AD2" s="1638" t="s">
        <v>2524</v>
      </c>
      <c r="AF2" t="s">
        <v>3275</v>
      </c>
      <c r="AG2" t="s">
        <v>660</v>
      </c>
      <c r="AH2" t="s">
        <v>19</v>
      </c>
      <c r="AI2" t="s">
        <v>3276</v>
      </c>
      <c r="AJ2" t="s">
        <v>3</v>
      </c>
      <c r="AK2" t="s">
        <v>3277</v>
      </c>
      <c r="AM2" t="s">
        <v>3275</v>
      </c>
      <c r="AN2" t="s">
        <v>660</v>
      </c>
      <c r="AO2" t="s">
        <v>19</v>
      </c>
      <c r="AP2" t="s">
        <v>3276</v>
      </c>
      <c r="AQ2" t="s">
        <v>3</v>
      </c>
      <c r="AR2" t="s">
        <v>3277</v>
      </c>
    </row>
    <row r="3" spans="1:44" s="2340" customFormat="1" ht="12.75">
      <c r="A3" s="2338" t="s">
        <v>2712</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3662</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3661</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3660</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3663</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3659</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3664</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3289</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3280</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3279</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3271</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3265</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3264</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3260</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3259</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3257</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3256</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3255</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3253</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3244</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2713</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2714</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2715</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2716</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2717</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3270</v>
      </c>
    </row>
    <row r="31" spans="1:44">
      <c r="I31" s="1086" t="s">
        <v>2718</v>
      </c>
    </row>
    <row r="33" spans="1:44" s="1635" customFormat="1" ht="12.75">
      <c r="B33" s="2374" t="s">
        <v>3268</v>
      </c>
      <c r="C33" s="2375"/>
      <c r="D33" s="2375"/>
      <c r="E33" s="2375"/>
      <c r="F33" s="2375"/>
      <c r="G33" s="2375"/>
      <c r="H33" s="2375"/>
      <c r="I33" s="2375"/>
      <c r="J33" s="2349"/>
      <c r="K33" s="2375" t="s">
        <v>2719</v>
      </c>
      <c r="L33" s="2375"/>
      <c r="M33" s="2375"/>
      <c r="N33" s="2375"/>
      <c r="O33" s="2375"/>
      <c r="P33" s="2375"/>
      <c r="Q33" s="2349"/>
      <c r="R33" s="4426" t="s">
        <v>2720</v>
      </c>
      <c r="S33" s="4427"/>
      <c r="T33" s="4427"/>
      <c r="U33" s="4427"/>
      <c r="V33" s="4427"/>
      <c r="W33" s="4427"/>
      <c r="X33" s="2349"/>
      <c r="Y33" s="4426" t="s">
        <v>2721</v>
      </c>
      <c r="Z33" s="4427"/>
      <c r="AA33" s="4427"/>
      <c r="AB33" s="4427"/>
      <c r="AC33" s="4427"/>
      <c r="AD33" s="4427"/>
    </row>
    <row r="34" spans="1:44" s="1636" customFormat="1" ht="14.25" thickBot="1">
      <c r="B34" s="2335"/>
      <c r="C34" s="2336"/>
      <c r="D34" s="1637" t="s">
        <v>2722</v>
      </c>
      <c r="E34" s="1638" t="s">
        <v>2723</v>
      </c>
      <c r="F34" s="1638" t="s">
        <v>2724</v>
      </c>
      <c r="G34" s="1638" t="s">
        <v>2725</v>
      </c>
      <c r="H34" s="1638"/>
      <c r="I34" s="1638" t="s">
        <v>2726</v>
      </c>
      <c r="J34" s="2337"/>
      <c r="K34" s="1637" t="s">
        <v>2722</v>
      </c>
      <c r="L34" s="1638" t="s">
        <v>2723</v>
      </c>
      <c r="M34" s="1638" t="s">
        <v>2724</v>
      </c>
      <c r="N34" s="1638" t="s">
        <v>2725</v>
      </c>
      <c r="O34" s="1638"/>
      <c r="P34" s="1638" t="s">
        <v>2726</v>
      </c>
      <c r="Q34" s="2337"/>
      <c r="R34" s="1637" t="s">
        <v>2722</v>
      </c>
      <c r="S34" s="1638" t="s">
        <v>2723</v>
      </c>
      <c r="T34" s="1638" t="s">
        <v>2724</v>
      </c>
      <c r="U34" s="1638" t="s">
        <v>2725</v>
      </c>
      <c r="V34" s="1638"/>
      <c r="W34" s="1638" t="s">
        <v>2726</v>
      </c>
      <c r="X34" s="2337"/>
      <c r="Y34" s="1637" t="s">
        <v>2722</v>
      </c>
      <c r="Z34" s="1638" t="s">
        <v>2723</v>
      </c>
      <c r="AA34" s="1638" t="s">
        <v>2724</v>
      </c>
      <c r="AB34" s="1638" t="s">
        <v>2725</v>
      </c>
      <c r="AC34" s="1638"/>
      <c r="AD34" s="1638" t="s">
        <v>2726</v>
      </c>
      <c r="AG34" t="s">
        <v>660</v>
      </c>
      <c r="AH34" t="s">
        <v>19</v>
      </c>
      <c r="AI34" t="s">
        <v>3276</v>
      </c>
      <c r="AJ34"/>
      <c r="AK34" t="s">
        <v>3277</v>
      </c>
      <c r="AN34" t="s">
        <v>660</v>
      </c>
      <c r="AO34" t="s">
        <v>19</v>
      </c>
      <c r="AP34" t="s">
        <v>3276</v>
      </c>
      <c r="AQ34"/>
      <c r="AR34" t="s">
        <v>3277</v>
      </c>
    </row>
    <row r="35" spans="1:44" s="2340" customFormat="1" ht="12.75">
      <c r="A35" s="2338" t="s">
        <v>2727</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3662</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3661</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3660</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3665</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3659</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3288</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3289</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3278</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3279</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3262</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3266</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3263</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3261</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3259</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3258</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3256</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3255</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3254</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3244</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2728</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2729</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2730</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2731</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2717</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6"/>
  <sheetViews>
    <sheetView workbookViewId="0">
      <selection activeCell="T26" sqref="T26"/>
    </sheetView>
  </sheetViews>
  <sheetFormatPr defaultRowHeight="13.5"/>
  <cols>
    <col min="1" max="1" width="61.75" style="4136" customWidth="1"/>
    <col min="2" max="2" width="23.25" style="4136" hidden="1" customWidth="1"/>
    <col min="3" max="3" width="19.625" style="4136" customWidth="1"/>
    <col min="4" max="4" width="8" style="4136" bestFit="1" customWidth="1"/>
    <col min="5" max="5" width="8.875" style="4136" customWidth="1"/>
    <col min="6" max="6" width="9" style="4136" customWidth="1"/>
    <col min="7" max="7" width="8.75" style="4136" customWidth="1"/>
    <col min="8" max="8" width="11.625" style="4136" hidden="1" customWidth="1"/>
    <col min="9" max="9" width="20.625" style="4136" customWidth="1"/>
    <col min="10" max="10" width="10.5" style="4136" hidden="1" customWidth="1"/>
    <col min="11" max="11" width="11.125" style="4136" hidden="1" customWidth="1"/>
    <col min="12" max="12" width="10.5" style="4136" bestFit="1" customWidth="1"/>
    <col min="13" max="13" width="11.375" style="4136" hidden="1" customWidth="1"/>
    <col min="14" max="14" width="9" style="4136"/>
    <col min="15" max="17" width="0" style="4136" hidden="1" customWidth="1"/>
    <col min="18" max="18" width="8.625" style="4136" customWidth="1"/>
    <col min="19" max="19" width="8.375" style="4136" customWidth="1"/>
    <col min="20" max="20" width="6.75" style="4136" customWidth="1"/>
    <col min="21" max="16384" width="9" style="4136"/>
  </cols>
  <sheetData>
    <row r="1" spans="1:21">
      <c r="A1" s="4428" t="s">
        <v>3858</v>
      </c>
      <c r="B1" s="4428" t="s">
        <v>3942</v>
      </c>
      <c r="C1" s="4428" t="s">
        <v>3859</v>
      </c>
      <c r="D1" s="4428" t="s">
        <v>3862</v>
      </c>
      <c r="E1" s="4428" t="s">
        <v>3860</v>
      </c>
      <c r="F1" s="4428" t="s">
        <v>3861</v>
      </c>
      <c r="G1" s="4428" t="s">
        <v>3864</v>
      </c>
      <c r="H1" s="4428" t="s">
        <v>3943</v>
      </c>
      <c r="I1" s="4428" t="s">
        <v>3863</v>
      </c>
      <c r="J1" s="4428" t="s">
        <v>3944</v>
      </c>
      <c r="K1" s="4428" t="s">
        <v>3945</v>
      </c>
      <c r="L1" s="4428" t="s">
        <v>3865</v>
      </c>
      <c r="M1" s="4428" t="s">
        <v>3946</v>
      </c>
      <c r="N1" s="4428" t="s">
        <v>3866</v>
      </c>
      <c r="O1" s="4428" t="s">
        <v>3947</v>
      </c>
      <c r="P1" s="4428" t="s">
        <v>3948</v>
      </c>
      <c r="Q1" s="4428" t="s">
        <v>3949</v>
      </c>
      <c r="R1" s="4428" t="s">
        <v>3867</v>
      </c>
      <c r="S1" s="4428" t="s">
        <v>3868</v>
      </c>
      <c r="T1" s="4428" t="s">
        <v>3869</v>
      </c>
      <c r="U1" s="4141" t="s">
        <v>3870</v>
      </c>
    </row>
    <row r="2" spans="1:21">
      <c r="A2" s="4428" t="s">
        <v>3950</v>
      </c>
      <c r="B2" s="4428" t="s">
        <v>3849</v>
      </c>
      <c r="C2" s="4428" t="s">
        <v>3951</v>
      </c>
      <c r="D2" s="4428" t="s">
        <v>3873</v>
      </c>
      <c r="E2" s="4428">
        <v>77132.240000000005</v>
      </c>
      <c r="F2" s="4428">
        <v>225393.28</v>
      </c>
      <c r="G2" s="4428" t="s">
        <v>3952</v>
      </c>
      <c r="H2" s="4428" t="s">
        <v>3953</v>
      </c>
      <c r="I2" s="4428" t="s">
        <v>3921</v>
      </c>
      <c r="J2" s="4428" t="s">
        <v>3878</v>
      </c>
      <c r="K2" s="4428" t="s">
        <v>3954</v>
      </c>
      <c r="L2" s="4428" t="s">
        <v>3954</v>
      </c>
      <c r="M2" s="4428" t="s">
        <v>3955</v>
      </c>
      <c r="N2" s="4428" t="s">
        <v>3906</v>
      </c>
      <c r="O2" s="4428">
        <v>842200</v>
      </c>
      <c r="P2" s="4428">
        <v>168500</v>
      </c>
      <c r="Q2" s="4428" t="s">
        <v>3956</v>
      </c>
      <c r="R2" s="4428">
        <v>845600</v>
      </c>
      <c r="S2" s="4428">
        <v>37517</v>
      </c>
      <c r="T2" s="4428">
        <v>0.4</v>
      </c>
      <c r="U2" s="4142"/>
    </row>
    <row r="3" spans="1:21">
      <c r="A3" s="4428" t="s">
        <v>3871</v>
      </c>
      <c r="B3" s="4428" t="s">
        <v>3849</v>
      </c>
      <c r="C3" s="4428" t="s">
        <v>3872</v>
      </c>
      <c r="D3" s="4428" t="s">
        <v>3873</v>
      </c>
      <c r="E3" s="4428">
        <v>28592.77</v>
      </c>
      <c r="F3" s="4428">
        <v>60044.82</v>
      </c>
      <c r="G3" s="4428" t="s">
        <v>3875</v>
      </c>
      <c r="H3" s="4428" t="s">
        <v>3953</v>
      </c>
      <c r="I3" s="4428" t="s">
        <v>3874</v>
      </c>
      <c r="J3" s="4428" t="s">
        <v>3878</v>
      </c>
      <c r="K3" s="4428" t="s">
        <v>3876</v>
      </c>
      <c r="L3" s="4428" t="s">
        <v>3876</v>
      </c>
      <c r="M3" s="4428" t="s">
        <v>3955</v>
      </c>
      <c r="N3" s="4428" t="s">
        <v>3877</v>
      </c>
      <c r="O3" s="4428">
        <v>331500</v>
      </c>
      <c r="P3" s="4428">
        <v>66300</v>
      </c>
      <c r="Q3" s="4428" t="s">
        <v>3957</v>
      </c>
      <c r="R3" s="4428">
        <v>336400</v>
      </c>
      <c r="S3" s="4428">
        <v>56025</v>
      </c>
      <c r="T3" s="4428">
        <v>1.48</v>
      </c>
      <c r="U3" s="4142"/>
    </row>
    <row r="4" spans="1:21">
      <c r="A4" s="4428" t="s">
        <v>3879</v>
      </c>
      <c r="B4" s="4428" t="s">
        <v>3849</v>
      </c>
      <c r="C4" s="4428" t="s">
        <v>3880</v>
      </c>
      <c r="D4" s="4428" t="s">
        <v>3873</v>
      </c>
      <c r="E4" s="4428">
        <v>24009.55</v>
      </c>
      <c r="F4" s="4428">
        <v>50420.06</v>
      </c>
      <c r="G4" s="4428" t="s">
        <v>3875</v>
      </c>
      <c r="H4" s="4428" t="s">
        <v>3953</v>
      </c>
      <c r="I4" s="4428" t="s">
        <v>3874</v>
      </c>
      <c r="J4" s="4428" t="s">
        <v>3878</v>
      </c>
      <c r="K4" s="4428" t="s">
        <v>3876</v>
      </c>
      <c r="L4" s="4428" t="s">
        <v>3876</v>
      </c>
      <c r="M4" s="4428" t="s">
        <v>3955</v>
      </c>
      <c r="N4" s="4428" t="s">
        <v>3881</v>
      </c>
      <c r="O4" s="4428">
        <v>273000</v>
      </c>
      <c r="P4" s="4428">
        <v>54600</v>
      </c>
      <c r="Q4" s="4428" t="s">
        <v>3957</v>
      </c>
      <c r="R4" s="4428">
        <v>277800</v>
      </c>
      <c r="S4" s="4428">
        <v>55097</v>
      </c>
      <c r="T4" s="4428">
        <v>1.76</v>
      </c>
      <c r="U4" s="4142"/>
    </row>
    <row r="5" spans="1:21">
      <c r="A5" s="4428" t="s">
        <v>3882</v>
      </c>
      <c r="B5" s="4428" t="s">
        <v>3849</v>
      </c>
      <c r="C5" s="4428" t="s">
        <v>3958</v>
      </c>
      <c r="D5" s="4428" t="s">
        <v>3873</v>
      </c>
      <c r="E5" s="4428">
        <v>40629.230000000003</v>
      </c>
      <c r="F5" s="4428">
        <v>57958.6</v>
      </c>
      <c r="G5" s="4428" t="s">
        <v>3884</v>
      </c>
      <c r="H5" s="4428" t="s">
        <v>3953</v>
      </c>
      <c r="I5" s="4428" t="s">
        <v>3883</v>
      </c>
      <c r="J5" s="4428" t="s">
        <v>3878</v>
      </c>
      <c r="K5" s="4428" t="s">
        <v>3885</v>
      </c>
      <c r="L5" s="4428" t="s">
        <v>3885</v>
      </c>
      <c r="M5" s="4428" t="s">
        <v>3955</v>
      </c>
      <c r="N5" s="4428" t="s">
        <v>3886</v>
      </c>
      <c r="O5" s="4428">
        <v>406000</v>
      </c>
      <c r="P5" s="4428">
        <v>81200</v>
      </c>
      <c r="Q5" s="4428" t="s">
        <v>3959</v>
      </c>
      <c r="R5" s="4428">
        <v>454500</v>
      </c>
      <c r="S5" s="4428">
        <v>78418</v>
      </c>
      <c r="T5" s="4428">
        <v>11.95</v>
      </c>
      <c r="U5" s="4142"/>
    </row>
    <row r="6" spans="1:21">
      <c r="A6" s="4428" t="s">
        <v>3887</v>
      </c>
      <c r="B6" s="4428" t="s">
        <v>3849</v>
      </c>
      <c r="C6" s="4428" t="s">
        <v>3960</v>
      </c>
      <c r="D6" s="4428" t="s">
        <v>3873</v>
      </c>
      <c r="E6" s="4428">
        <v>39737.800000000003</v>
      </c>
      <c r="F6" s="4428">
        <v>73299.740000000005</v>
      </c>
      <c r="G6" s="4428" t="s">
        <v>3888</v>
      </c>
      <c r="H6" s="4428" t="s">
        <v>3953</v>
      </c>
      <c r="I6" s="4428" t="s">
        <v>3883</v>
      </c>
      <c r="J6" s="4428" t="s">
        <v>3878</v>
      </c>
      <c r="K6" s="4428" t="s">
        <v>3889</v>
      </c>
      <c r="L6" s="4428" t="s">
        <v>3889</v>
      </c>
      <c r="M6" s="4428" t="s">
        <v>3955</v>
      </c>
      <c r="N6" s="4428" t="s">
        <v>3890</v>
      </c>
      <c r="O6" s="4428">
        <v>586400</v>
      </c>
      <c r="P6" s="4428">
        <v>117300</v>
      </c>
      <c r="Q6" s="4428" t="s">
        <v>3961</v>
      </c>
      <c r="R6" s="4428">
        <v>750200</v>
      </c>
      <c r="S6" s="4428">
        <v>102347</v>
      </c>
      <c r="T6" s="4428">
        <v>27.93</v>
      </c>
      <c r="U6" s="4142"/>
    </row>
    <row r="7" spans="1:21">
      <c r="A7" s="4429" t="s">
        <v>3891</v>
      </c>
      <c r="B7" s="4429" t="s">
        <v>3849</v>
      </c>
      <c r="C7" s="4429" t="s">
        <v>3892</v>
      </c>
      <c r="D7" s="4429" t="s">
        <v>3873</v>
      </c>
      <c r="E7" s="4429">
        <v>42734.16</v>
      </c>
      <c r="F7" s="4429">
        <v>102561.97</v>
      </c>
      <c r="G7" s="4429" t="s">
        <v>3893</v>
      </c>
      <c r="H7" s="4429" t="s">
        <v>3953</v>
      </c>
      <c r="I7" s="4429" t="s">
        <v>3883</v>
      </c>
      <c r="J7" s="4429" t="s">
        <v>3878</v>
      </c>
      <c r="K7" s="4429" t="s">
        <v>3894</v>
      </c>
      <c r="L7" s="4429" t="s">
        <v>3894</v>
      </c>
      <c r="M7" s="4429" t="s">
        <v>3955</v>
      </c>
      <c r="N7" s="4429" t="s">
        <v>3895</v>
      </c>
      <c r="O7" s="4429">
        <v>780000</v>
      </c>
      <c r="P7" s="4429">
        <v>156000</v>
      </c>
      <c r="Q7" s="4429" t="s">
        <v>3962</v>
      </c>
      <c r="R7" s="4429">
        <v>915200</v>
      </c>
      <c r="S7" s="4429">
        <v>89234</v>
      </c>
      <c r="T7" s="4429">
        <v>17.329999999999998</v>
      </c>
      <c r="U7" s="4145"/>
    </row>
    <row r="8" spans="1:21">
      <c r="A8" s="4429" t="s">
        <v>3896</v>
      </c>
      <c r="B8" s="4429" t="s">
        <v>3849</v>
      </c>
      <c r="C8" s="4429" t="s">
        <v>3963</v>
      </c>
      <c r="D8" s="4429" t="s">
        <v>3873</v>
      </c>
      <c r="E8" s="4429">
        <v>39303.71</v>
      </c>
      <c r="F8" s="4429">
        <v>95114.98</v>
      </c>
      <c r="G8" s="4429" t="s">
        <v>3897</v>
      </c>
      <c r="H8" s="4429" t="s">
        <v>3953</v>
      </c>
      <c r="I8" s="4429" t="s">
        <v>3883</v>
      </c>
      <c r="J8" s="4429" t="s">
        <v>3878</v>
      </c>
      <c r="K8" s="4429" t="s">
        <v>3894</v>
      </c>
      <c r="L8" s="4429" t="s">
        <v>3894</v>
      </c>
      <c r="M8" s="4429" t="s">
        <v>3955</v>
      </c>
      <c r="N8" s="4429" t="s">
        <v>3898</v>
      </c>
      <c r="O8" s="4429">
        <v>723000</v>
      </c>
      <c r="P8" s="4429">
        <v>144600</v>
      </c>
      <c r="Q8" s="4429" t="s">
        <v>3962</v>
      </c>
      <c r="R8" s="4429">
        <v>904040</v>
      </c>
      <c r="S8" s="4429">
        <v>95047</v>
      </c>
      <c r="T8" s="4429">
        <v>25.04</v>
      </c>
      <c r="U8" s="4145"/>
    </row>
    <row r="9" spans="1:21">
      <c r="A9" s="4430" t="s">
        <v>3899</v>
      </c>
      <c r="B9" s="4430" t="s">
        <v>3849</v>
      </c>
      <c r="C9" s="4430" t="s">
        <v>3900</v>
      </c>
      <c r="D9" s="4430" t="s">
        <v>3873</v>
      </c>
      <c r="E9" s="4430">
        <v>34678.620000000003</v>
      </c>
      <c r="F9" s="4430">
        <v>72825.100000000006</v>
      </c>
      <c r="G9" s="4430" t="s">
        <v>3875</v>
      </c>
      <c r="H9" s="4430" t="s">
        <v>3953</v>
      </c>
      <c r="I9" s="4430" t="s">
        <v>3883</v>
      </c>
      <c r="J9" s="4430" t="s">
        <v>3878</v>
      </c>
      <c r="K9" s="4430" t="s">
        <v>3901</v>
      </c>
      <c r="L9" s="4430" t="s">
        <v>3901</v>
      </c>
      <c r="M9" s="4430" t="s">
        <v>3955</v>
      </c>
      <c r="N9" s="4430" t="s">
        <v>3902</v>
      </c>
      <c r="O9" s="4430">
        <v>450000</v>
      </c>
      <c r="P9" s="4430">
        <v>90000</v>
      </c>
      <c r="Q9" s="4430" t="s">
        <v>3964</v>
      </c>
      <c r="R9" s="4430">
        <v>517500</v>
      </c>
      <c r="S9" s="4430">
        <v>71061</v>
      </c>
      <c r="T9" s="4430">
        <v>15</v>
      </c>
      <c r="U9" s="4143">
        <v>105000</v>
      </c>
    </row>
    <row r="10" spans="1:21">
      <c r="A10" s="4429" t="s">
        <v>3903</v>
      </c>
      <c r="B10" s="4429" t="s">
        <v>3849</v>
      </c>
      <c r="C10" s="4429" t="s">
        <v>3904</v>
      </c>
      <c r="D10" s="4429" t="s">
        <v>3873</v>
      </c>
      <c r="E10" s="4429">
        <v>42463.44</v>
      </c>
      <c r="F10" s="4429">
        <v>89173.23</v>
      </c>
      <c r="G10" s="4429" t="s">
        <v>3875</v>
      </c>
      <c r="H10" s="4429" t="s">
        <v>3953</v>
      </c>
      <c r="I10" s="4429" t="s">
        <v>3883</v>
      </c>
      <c r="J10" s="4429" t="s">
        <v>3878</v>
      </c>
      <c r="K10" s="4429" t="s">
        <v>3901</v>
      </c>
      <c r="L10" s="4429" t="s">
        <v>3901</v>
      </c>
      <c r="M10" s="4429" t="s">
        <v>3955</v>
      </c>
      <c r="N10" s="4429" t="s">
        <v>3905</v>
      </c>
      <c r="O10" s="4429">
        <v>555000</v>
      </c>
      <c r="P10" s="4429">
        <v>111000</v>
      </c>
      <c r="Q10" s="4429" t="s">
        <v>3964</v>
      </c>
      <c r="R10" s="4429">
        <v>638250</v>
      </c>
      <c r="S10" s="4429">
        <v>71574</v>
      </c>
      <c r="T10" s="4429">
        <v>15</v>
      </c>
      <c r="U10" s="4144" t="s">
        <v>3878</v>
      </c>
    </row>
    <row r="11" spans="1:21">
      <c r="A11" s="4428" t="s">
        <v>3907</v>
      </c>
      <c r="B11" s="4428" t="s">
        <v>3849</v>
      </c>
      <c r="C11" s="4428" t="s">
        <v>3908</v>
      </c>
      <c r="D11" s="4428" t="s">
        <v>3873</v>
      </c>
      <c r="E11" s="4428">
        <v>25268.17</v>
      </c>
      <c r="F11" s="4428">
        <v>45482.71</v>
      </c>
      <c r="G11" s="4428" t="s">
        <v>3910</v>
      </c>
      <c r="H11" s="4428" t="s">
        <v>3953</v>
      </c>
      <c r="I11" s="4428" t="s">
        <v>3909</v>
      </c>
      <c r="J11" s="4428" t="s">
        <v>3878</v>
      </c>
      <c r="K11" s="4428" t="s">
        <v>3911</v>
      </c>
      <c r="L11" s="4428" t="s">
        <v>3911</v>
      </c>
      <c r="M11" s="4428" t="s">
        <v>3955</v>
      </c>
      <c r="N11" s="4428" t="s">
        <v>3912</v>
      </c>
      <c r="O11" s="4428">
        <v>251000</v>
      </c>
      <c r="P11" s="4428">
        <v>51000</v>
      </c>
      <c r="Q11" s="4428" t="s">
        <v>3965</v>
      </c>
      <c r="R11" s="4428">
        <v>288650</v>
      </c>
      <c r="S11" s="4428">
        <v>63464</v>
      </c>
      <c r="T11" s="4428">
        <v>15</v>
      </c>
      <c r="U11" s="4141">
        <v>90000</v>
      </c>
    </row>
    <row r="12" spans="1:21">
      <c r="A12" s="4428" t="s">
        <v>3913</v>
      </c>
      <c r="B12" s="4428" t="s">
        <v>3849</v>
      </c>
      <c r="C12" s="4428" t="s">
        <v>3914</v>
      </c>
      <c r="D12" s="4428" t="s">
        <v>3873</v>
      </c>
      <c r="E12" s="4428">
        <v>73887.38</v>
      </c>
      <c r="F12" s="4428">
        <v>89552.29</v>
      </c>
      <c r="G12" s="4428" t="s">
        <v>3915</v>
      </c>
      <c r="H12" s="4428" t="s">
        <v>3953</v>
      </c>
      <c r="I12" s="4428" t="s">
        <v>3909</v>
      </c>
      <c r="J12" s="4428" t="s">
        <v>3878</v>
      </c>
      <c r="K12" s="4428" t="s">
        <v>3916</v>
      </c>
      <c r="L12" s="4428" t="s">
        <v>3916</v>
      </c>
      <c r="M12" s="4428" t="s">
        <v>3955</v>
      </c>
      <c r="N12" s="4428" t="s">
        <v>3917</v>
      </c>
      <c r="O12" s="4428">
        <v>690000</v>
      </c>
      <c r="P12" s="4428">
        <v>138000</v>
      </c>
      <c r="Q12" s="4428" t="s">
        <v>3878</v>
      </c>
      <c r="R12" s="4428">
        <v>793500</v>
      </c>
      <c r="S12" s="4428">
        <v>88607</v>
      </c>
      <c r="T12" s="4428">
        <v>15</v>
      </c>
      <c r="U12" s="4141">
        <v>93000</v>
      </c>
    </row>
    <row r="13" spans="1:21">
      <c r="A13" s="4428" t="s">
        <v>3918</v>
      </c>
      <c r="B13" s="4428" t="s">
        <v>3849</v>
      </c>
      <c r="C13" s="4428" t="s">
        <v>3919</v>
      </c>
      <c r="D13" s="4428" t="s">
        <v>3873</v>
      </c>
      <c r="E13" s="4428">
        <v>18388.669999999998</v>
      </c>
      <c r="F13" s="4428">
        <v>21809.34</v>
      </c>
      <c r="G13" s="4428" t="s">
        <v>3915</v>
      </c>
      <c r="H13" s="4428" t="s">
        <v>3953</v>
      </c>
      <c r="I13" s="4428" t="s">
        <v>3909</v>
      </c>
      <c r="J13" s="4428" t="s">
        <v>3878</v>
      </c>
      <c r="K13" s="4428" t="s">
        <v>3916</v>
      </c>
      <c r="L13" s="4428" t="s">
        <v>3916</v>
      </c>
      <c r="M13" s="4428" t="s">
        <v>3955</v>
      </c>
      <c r="N13" s="4428" t="s">
        <v>3920</v>
      </c>
      <c r="O13" s="4428">
        <v>170000</v>
      </c>
      <c r="P13" s="4428">
        <v>34000</v>
      </c>
      <c r="Q13" s="4428" t="s">
        <v>3878</v>
      </c>
      <c r="R13" s="4428">
        <v>195500</v>
      </c>
      <c r="S13" s="4428">
        <v>89640</v>
      </c>
      <c r="T13" s="4428">
        <v>15</v>
      </c>
      <c r="U13" s="4141">
        <v>85000</v>
      </c>
    </row>
    <row r="14" spans="1:21" ht="14.25">
      <c r="A14" s="4135"/>
      <c r="B14" s="4135"/>
      <c r="C14" s="4135"/>
      <c r="D14" s="4135"/>
      <c r="E14" s="4135"/>
      <c r="F14" s="4135"/>
      <c r="G14" s="4135"/>
      <c r="H14" s="4135"/>
      <c r="I14" s="4135"/>
      <c r="J14" s="4135"/>
      <c r="K14" s="4135"/>
      <c r="L14" s="4135"/>
    </row>
    <row r="15" spans="1:21" ht="14.25">
      <c r="A15" s="4135"/>
      <c r="B15" s="4135"/>
      <c r="C15" s="4135"/>
      <c r="D15" s="4135"/>
      <c r="E15" s="4135"/>
      <c r="F15" s="4135"/>
      <c r="G15" s="4135"/>
      <c r="H15" s="4135"/>
      <c r="I15" s="4135"/>
      <c r="J15" s="4135"/>
      <c r="K15" s="4135"/>
      <c r="L15" s="4135"/>
    </row>
    <row r="16" spans="1:21" ht="14.25">
      <c r="A16" s="4135"/>
      <c r="B16" s="4135"/>
      <c r="C16" s="4135"/>
      <c r="D16" s="4135"/>
      <c r="E16" s="4135"/>
      <c r="F16" s="4135"/>
      <c r="G16" s="4135"/>
      <c r="H16" s="4135"/>
      <c r="I16" s="4135"/>
      <c r="J16" s="4135"/>
      <c r="K16" s="4135"/>
      <c r="L16" s="4135"/>
    </row>
    <row r="17" spans="1:21" ht="14.25">
      <c r="A17" s="4135"/>
      <c r="B17" s="4135"/>
      <c r="C17" s="4135"/>
      <c r="D17" s="4135"/>
      <c r="E17" s="4135"/>
      <c r="F17" s="4135"/>
      <c r="G17" s="4135"/>
      <c r="H17" s="4135"/>
      <c r="I17" s="4135"/>
      <c r="J17" s="4135"/>
      <c r="K17" s="4135"/>
      <c r="L17" s="4135"/>
    </row>
    <row r="32" spans="1:21" ht="14.25">
      <c r="U32" s="4135"/>
    </row>
    <row r="33" spans="21:21" ht="14.25">
      <c r="U33" s="4135"/>
    </row>
    <row r="34" spans="21:21" ht="14.25">
      <c r="U34" s="4135"/>
    </row>
    <row r="35" spans="21:21" ht="14.25">
      <c r="U35" s="4135"/>
    </row>
    <row r="36" spans="21:21" ht="14.25">
      <c r="U36" s="4135"/>
    </row>
  </sheetData>
  <mergeCells count="260">
    <mergeCell ref="S13"/>
    <mergeCell ref="T13"/>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F67:S97"/>
  <sheetViews>
    <sheetView topLeftCell="D79" workbookViewId="0">
      <selection activeCell="I114" sqref="I114"/>
    </sheetView>
  </sheetViews>
  <sheetFormatPr defaultRowHeight="13.5"/>
  <cols>
    <col min="1" max="5" width="9" style="4136"/>
    <col min="6" max="6" width="48.375" style="4136" bestFit="1" customWidth="1"/>
    <col min="7" max="7" width="10.5" style="4136" bestFit="1" customWidth="1"/>
    <col min="8" max="8" width="9.5" style="4136" bestFit="1" customWidth="1"/>
    <col min="9" max="9" width="11.625" style="4136" bestFit="1" customWidth="1"/>
    <col min="10" max="10" width="10.5" style="4136" bestFit="1" customWidth="1"/>
    <col min="11" max="11" width="15.125" style="4136" bestFit="1" customWidth="1"/>
    <col min="12" max="12" width="9.5" style="4136" bestFit="1" customWidth="1"/>
    <col min="13" max="13" width="11.625" style="4136" bestFit="1" customWidth="1"/>
    <col min="14" max="14" width="10.5" style="4136" bestFit="1" customWidth="1"/>
    <col min="15" max="16384" width="9" style="4136"/>
  </cols>
  <sheetData>
    <row r="67" spans="19:19">
      <c r="S67" s="4136">
        <f>10032.47/203</f>
        <v>49.421034482758614</v>
      </c>
    </row>
    <row r="88" spans="6:14" ht="85.5" customHeight="1">
      <c r="F88" s="4271" t="s">
        <v>4024</v>
      </c>
      <c r="G88" s="4275" t="s">
        <v>3842</v>
      </c>
      <c r="H88" s="4275" t="s">
        <v>3995</v>
      </c>
      <c r="I88" s="4284" t="s">
        <v>3994</v>
      </c>
      <c r="J88" s="4285"/>
      <c r="K88" s="4315" t="s">
        <v>3993</v>
      </c>
      <c r="L88" s="4315"/>
      <c r="M88" s="4271" t="s">
        <v>4025</v>
      </c>
      <c r="N88" s="4271"/>
    </row>
    <row r="89" spans="6:14" ht="14.25">
      <c r="F89" s="4271"/>
      <c r="G89" s="4276"/>
      <c r="H89" s="4276"/>
      <c r="I89" s="1742" t="s">
        <v>4026</v>
      </c>
      <c r="J89" s="1742" t="s">
        <v>4029</v>
      </c>
      <c r="K89" s="1742" t="s">
        <v>4026</v>
      </c>
      <c r="L89" s="1742" t="s">
        <v>4027</v>
      </c>
      <c r="M89" s="1742" t="s">
        <v>4026</v>
      </c>
      <c r="N89" s="1742" t="s">
        <v>4027</v>
      </c>
    </row>
    <row r="90" spans="6:14" ht="14.25" customHeight="1">
      <c r="F90" s="1925" t="s">
        <v>4028</v>
      </c>
      <c r="G90" s="2687">
        <v>24968.190000000002</v>
      </c>
      <c r="H90" s="2687">
        <v>7720.15</v>
      </c>
      <c r="I90" s="4159">
        <v>100922</v>
      </c>
      <c r="J90" s="4159">
        <v>40421</v>
      </c>
      <c r="K90" s="4159">
        <v>14023</v>
      </c>
      <c r="L90" s="4159">
        <v>5616</v>
      </c>
      <c r="M90" s="4159">
        <v>114945</v>
      </c>
      <c r="N90" s="4159">
        <v>46037</v>
      </c>
    </row>
    <row r="94" spans="6:14">
      <c r="K94" s="4160"/>
      <c r="L94" s="4160" t="s">
        <v>4033</v>
      </c>
    </row>
    <row r="95" spans="6:14">
      <c r="K95" s="4160" t="s">
        <v>4030</v>
      </c>
      <c r="L95" s="4161">
        <f>M90</f>
        <v>114945</v>
      </c>
    </row>
    <row r="96" spans="6:14">
      <c r="K96" s="4160" t="s">
        <v>4031</v>
      </c>
      <c r="L96" s="4161">
        <f>I90</f>
        <v>100922</v>
      </c>
    </row>
    <row r="97" spans="11:12">
      <c r="K97" s="4160" t="s">
        <v>4032</v>
      </c>
      <c r="L97" s="4161">
        <f>K90</f>
        <v>14023</v>
      </c>
    </row>
  </sheetData>
  <mergeCells count="6">
    <mergeCell ref="H88:H89"/>
    <mergeCell ref="I88:J88"/>
    <mergeCell ref="K88:L88"/>
    <mergeCell ref="M88:N88"/>
    <mergeCell ref="F88:F89"/>
    <mergeCell ref="G88:G8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79"/>
  <sheetViews>
    <sheetView zoomScaleNormal="100" zoomScaleSheetLayoutView="100" workbookViewId="0">
      <selection activeCell="C37" sqref="C37"/>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1535</v>
      </c>
      <c r="B1" s="47"/>
      <c r="C1" s="818"/>
      <c r="D1" s="817"/>
      <c r="E1" s="2098"/>
      <c r="F1" s="2098"/>
      <c r="G1" s="1982"/>
      <c r="H1" s="2098"/>
      <c r="I1" s="2098"/>
      <c r="J1" s="2098"/>
      <c r="K1" s="2099">
        <f>MATCH(C1,'数据-取费表'!A6:A16,0)+5</f>
        <v>9</v>
      </c>
    </row>
    <row r="2" spans="1:33" ht="18" customHeight="1">
      <c r="A2" s="97" t="s">
        <v>1433</v>
      </c>
      <c r="B2" s="2611">
        <f ca="1">IF(D2="含税",C37,C36)</f>
        <v>111334</v>
      </c>
      <c r="C2" s="172" t="s">
        <v>1536</v>
      </c>
      <c r="D2" s="3510" t="s">
        <v>3938</v>
      </c>
      <c r="E2" s="2098"/>
      <c r="G2" s="2098"/>
      <c r="H2" s="2098"/>
      <c r="I2" s="2098"/>
      <c r="J2" s="2098"/>
      <c r="K2" s="2098"/>
    </row>
    <row r="3" spans="1:33" ht="18" customHeight="1">
      <c r="A3" s="99" t="s">
        <v>1435</v>
      </c>
      <c r="B3" s="2611">
        <f ca="1">ROUND(B2*10000/IF(C1="",'数据-汇总表'!E3,INDIRECT("'数据-取费表'!K"&amp;$K$1)),0)</f>
        <v>44590</v>
      </c>
      <c r="C3" s="172" t="s">
        <v>1537</v>
      </c>
      <c r="E3" s="542"/>
      <c r="I3" s="2098"/>
      <c r="J3" s="2098"/>
      <c r="K3" s="2098"/>
    </row>
    <row r="4" spans="1:33" ht="18" customHeight="1">
      <c r="A4" s="3566" t="s">
        <v>3650</v>
      </c>
      <c r="B4" s="3571">
        <f ca="1">ROUND(B2*10000/IF(C1="",'数据-汇总表'!D3,INDIRECT("'数据-取费表'!R"&amp;$K$1)),0)</f>
        <v>144212</v>
      </c>
      <c r="C4" s="3570" t="s">
        <v>1537</v>
      </c>
      <c r="E4" s="542"/>
      <c r="I4" s="2098"/>
      <c r="J4" s="2098"/>
      <c r="K4" s="2098"/>
    </row>
    <row r="5" spans="1:33" ht="18" customHeight="1" thickBot="1">
      <c r="A5" s="95"/>
      <c r="B5" s="3567">
        <f ca="1">ROUND(B2/(IF(C1="",'数据-汇总表'!D3,INDIRECT("'数据-取费表'!R"&amp;$K$1))/666.67),0)</f>
        <v>9614</v>
      </c>
      <c r="C5" s="3569" t="s">
        <v>3648</v>
      </c>
      <c r="E5" s="542"/>
      <c r="I5" s="2098"/>
      <c r="J5" s="2098"/>
      <c r="K5" s="2098"/>
    </row>
    <row r="6" spans="1:33" s="543" customFormat="1" ht="16.5" customHeight="1">
      <c r="A6" s="2754" t="s">
        <v>3387</v>
      </c>
      <c r="B6" s="2753"/>
      <c r="C6" s="4431" t="s">
        <v>3389</v>
      </c>
      <c r="D6" s="4431"/>
      <c r="E6" s="4431"/>
      <c r="F6" s="4431"/>
      <c r="G6" s="4431"/>
      <c r="H6" s="4431"/>
      <c r="I6" s="4431"/>
      <c r="J6" s="4431"/>
      <c r="K6" s="4432"/>
      <c r="M6" s="543">
        <f ca="1">'比较法-住宅'!D2+收益法!C28+'比较法-车位'!D2</f>
        <v>139866</v>
      </c>
    </row>
    <row r="7" spans="1:33" s="546" customFormat="1" ht="15">
      <c r="A7" s="2580" t="s">
        <v>1538</v>
      </c>
      <c r="B7" s="2761" t="s">
        <v>1539</v>
      </c>
      <c r="C7" s="1379" t="s">
        <v>3276</v>
      </c>
      <c r="D7" s="1379" t="s">
        <v>3923</v>
      </c>
      <c r="E7" s="1379" t="s">
        <v>3925</v>
      </c>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v>105000</v>
      </c>
      <c r="D8" s="2812">
        <f ca="1">收益法!B3</f>
        <v>16973</v>
      </c>
      <c r="E8" s="2812">
        <f>'比较法-车位'!B3</f>
        <v>12832</v>
      </c>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SUMIF('数据-汇总表'!$C19:$C33,假设开发法!C7,'数据-汇总表'!$E19:$E33)</f>
        <v>10800.690000000002</v>
      </c>
      <c r="D9" s="2814">
        <f>SUMIF('数据-汇总表'!$C19:$C33,假设开发法!D7,'数据-汇总表'!$E19:$E33)</f>
        <v>4951.4299999999994</v>
      </c>
      <c r="E9" s="2814">
        <f>SUMIF('数据-汇总表'!$C19:$C33,假设开发法!E7,'数据-汇总表'!$E19:$E33)</f>
        <v>9216.07</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3386</v>
      </c>
      <c r="C10" s="2816">
        <f>ROUND(C8*C9/10000/(1+9%),0)</f>
        <v>104043</v>
      </c>
      <c r="D10" s="2816">
        <f ca="1">收益法!B2</f>
        <v>8404</v>
      </c>
      <c r="E10" s="2816">
        <f>'比较法-车位'!B2</f>
        <v>11826</v>
      </c>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35" t="s">
        <v>3402</v>
      </c>
      <c r="B11" s="4436"/>
      <c r="C11" s="4436"/>
      <c r="D11" s="4436"/>
      <c r="E11" s="4436"/>
      <c r="F11" s="4436"/>
      <c r="G11" s="4436"/>
      <c r="H11" s="4436"/>
      <c r="I11" s="4436"/>
      <c r="J11" s="4436"/>
      <c r="K11" s="4437"/>
    </row>
    <row r="12" spans="1:33" s="549" customFormat="1" ht="13.5" customHeight="1">
      <c r="A12" s="3392" t="s">
        <v>3532</v>
      </c>
      <c r="B12" s="2778" t="s">
        <v>1544</v>
      </c>
      <c r="C12" s="2779" t="s">
        <v>1545</v>
      </c>
      <c r="D12" s="1201" t="s">
        <v>1546</v>
      </c>
      <c r="E12" s="1201" t="s">
        <v>1547</v>
      </c>
      <c r="F12" s="1201" t="s">
        <v>1548</v>
      </c>
      <c r="G12" s="2820" t="s">
        <v>3413</v>
      </c>
      <c r="H12" s="2778"/>
      <c r="I12" s="2778"/>
      <c r="J12" s="2778"/>
      <c r="K12" s="2780"/>
    </row>
    <row r="13" spans="1:33" s="549" customFormat="1" ht="13.5" customHeight="1">
      <c r="A13" s="2580">
        <v>1</v>
      </c>
      <c r="B13" s="2781" t="s">
        <v>3388</v>
      </c>
      <c r="C13" s="2765">
        <f ca="1">SUM(C10:K10)</f>
        <v>124273</v>
      </c>
      <c r="D13" s="548"/>
      <c r="E13" s="548"/>
      <c r="F13" s="548"/>
      <c r="G13" s="2782"/>
      <c r="H13" s="2782"/>
      <c r="I13" s="2782"/>
      <c r="J13" s="2782"/>
      <c r="K13" s="2783"/>
    </row>
    <row r="14" spans="1:33" s="551" customFormat="1" ht="13.5" customHeight="1">
      <c r="A14" s="2580">
        <v>2</v>
      </c>
      <c r="B14" s="558" t="s">
        <v>1559</v>
      </c>
      <c r="C14" s="2805" t="str">
        <f>F14&amp;"V"</f>
        <v>0.0305V</v>
      </c>
      <c r="D14" s="174"/>
      <c r="E14" s="174"/>
      <c r="F14" s="2773">
        <f>IF(项目基本情况!B8="出让",0,'数据-取费表'!B49+'数据-取费表'!B50)</f>
        <v>3.0499999999999999E-2</v>
      </c>
      <c r="G14" s="3408" t="s">
        <v>3688</v>
      </c>
      <c r="H14" s="25"/>
      <c r="I14" s="25"/>
      <c r="J14" s="25"/>
      <c r="K14" s="27"/>
    </row>
    <row r="15" spans="1:33" s="551" customFormat="1" ht="13.5" customHeight="1">
      <c r="A15" s="2580">
        <v>3</v>
      </c>
      <c r="B15" s="2756" t="s">
        <v>3390</v>
      </c>
      <c r="C15" s="2766">
        <f ca="1">SUM(C16:C19)+C25+C26</f>
        <v>9874</v>
      </c>
      <c r="D15" s="558"/>
      <c r="E15" s="174"/>
      <c r="F15" s="2766"/>
      <c r="G15" s="2823" t="s">
        <v>3689</v>
      </c>
      <c r="H15" s="55"/>
      <c r="I15" s="55"/>
      <c r="J15" s="55"/>
      <c r="K15" s="2784"/>
    </row>
    <row r="16" spans="1:33" s="551" customFormat="1" ht="13.5" customHeight="1">
      <c r="A16" s="547" t="s">
        <v>355</v>
      </c>
      <c r="B16" s="2798" t="s">
        <v>3403</v>
      </c>
      <c r="C16" s="2767">
        <f ca="1">IF(C1="",'数据-取费表'!P16,INDIRECT("'数据-取费表'!P"&amp;$K$1)+INDIRECT("'数据-取费表'!ar"&amp;$K$1))</f>
        <v>8366</v>
      </c>
      <c r="D16" s="550"/>
      <c r="E16" s="55"/>
      <c r="F16" s="2774">
        <f ca="1">1-IF('数据-取费表'!B24=0,1,IF(C1="",'数据-取费表'!N16,INDIRECT("'数据-取费表'!n"&amp;$K$1)))</f>
        <v>0.44999999999999996</v>
      </c>
      <c r="G16" s="2782"/>
      <c r="H16" s="2782"/>
      <c r="I16" s="2782"/>
      <c r="J16" s="2782"/>
      <c r="K16" s="2783"/>
    </row>
    <row r="17" spans="1:33" s="551" customFormat="1" ht="13.5" customHeight="1">
      <c r="A17" s="547" t="s">
        <v>1541</v>
      </c>
      <c r="B17" s="2798" t="s">
        <v>3404</v>
      </c>
      <c r="C17" s="2807">
        <f ca="1">ROUND(C16*F17,0)</f>
        <v>209</v>
      </c>
      <c r="D17" s="550"/>
      <c r="E17" s="55"/>
      <c r="F17" s="2774">
        <f>'数据-取费表'!B33</f>
        <v>2.5000000000000001E-2</v>
      </c>
      <c r="G17" s="3597" t="s">
        <v>3700</v>
      </c>
      <c r="H17" s="2782"/>
      <c r="I17" s="2782"/>
      <c r="J17" s="2782"/>
      <c r="K17" s="2783"/>
    </row>
    <row r="18" spans="1:33" s="551" customFormat="1" ht="13.5" customHeight="1">
      <c r="A18" s="547" t="s">
        <v>1543</v>
      </c>
      <c r="B18" s="2798" t="s">
        <v>3405</v>
      </c>
      <c r="C18" s="2807">
        <f ca="1">ROUND(IF(C1="",SUMIF('数据-取费表'!C:C,"住宅",'数据-取费表'!P:P)*F18,IF(INDIRECT("'数据-取费表'!c"&amp;$K$1)="住宅",INDIRECT("'数据-取费表'!P"&amp;$K$1)*F18,0)),0)</f>
        <v>146</v>
      </c>
      <c r="D18" s="567"/>
      <c r="E18" s="55"/>
      <c r="F18" s="2774">
        <f>'数据-取费表'!B34</f>
        <v>0.03</v>
      </c>
      <c r="G18" s="2782" t="s">
        <v>1549</v>
      </c>
      <c r="H18" s="2782"/>
      <c r="I18" s="2782"/>
      <c r="J18" s="2782"/>
      <c r="K18" s="2783"/>
    </row>
    <row r="19" spans="1:33" s="551" customFormat="1" ht="13.5" customHeight="1">
      <c r="A19" s="547" t="s">
        <v>3392</v>
      </c>
      <c r="B19" s="2798" t="s">
        <v>3406</v>
      </c>
      <c r="C19" s="2807">
        <f ca="1">C20+C23+C24</f>
        <v>910</v>
      </c>
      <c r="D19" s="567"/>
      <c r="E19" s="55"/>
      <c r="F19" s="2774"/>
      <c r="G19" s="2782"/>
      <c r="H19" s="2782"/>
      <c r="I19" s="2782"/>
      <c r="J19" s="2782"/>
      <c r="K19" s="2783"/>
    </row>
    <row r="20" spans="1:33" s="551" customFormat="1" ht="13.5" customHeight="1">
      <c r="A20" s="2757" t="s">
        <v>3395</v>
      </c>
      <c r="B20" s="2785" t="s">
        <v>1554</v>
      </c>
      <c r="C20" s="2807">
        <f ca="1">C21+C22-IF(C1="",'数据-取费表'!B29,IF(G20="已全部缴纳",C21+C22,H20))</f>
        <v>456</v>
      </c>
      <c r="D20" s="567"/>
      <c r="E20" s="12"/>
      <c r="F20" s="2775"/>
      <c r="G20" s="2786"/>
      <c r="H20" s="2787"/>
      <c r="I20" s="2788" t="s">
        <v>1555</v>
      </c>
      <c r="J20" s="55"/>
      <c r="K20" s="2784"/>
    </row>
    <row r="21" spans="1:33" s="551" customFormat="1" ht="13.5" customHeight="1">
      <c r="A21" s="2800" t="s">
        <v>3398</v>
      </c>
      <c r="B21" s="2801" t="s">
        <v>3409</v>
      </c>
      <c r="C21" s="2808">
        <f ca="1">ROUND(D21*E21/10000,0)</f>
        <v>173</v>
      </c>
      <c r="D21" s="2810">
        <f ca="1">IF(C1="",'数据-汇总表'!E5,IF(INDIRECT("'数据-取费表'!c"&amp;$K$1)="住宅",INDIRECT("'数据-取费表'!k"&amp;$K$1),0))</f>
        <v>10800.690000000002</v>
      </c>
      <c r="E21" s="2808">
        <f>'数据-取费表'!B27</f>
        <v>160</v>
      </c>
      <c r="F21" s="2802"/>
      <c r="G21" s="187"/>
      <c r="H21" s="187"/>
      <c r="I21" s="187"/>
      <c r="J21" s="187"/>
      <c r="K21" s="1912"/>
    </row>
    <row r="22" spans="1:33" s="551" customFormat="1" ht="13.5" customHeight="1">
      <c r="A22" s="2800" t="s">
        <v>3399</v>
      </c>
      <c r="B22" s="2801" t="s">
        <v>3410</v>
      </c>
      <c r="C22" s="2808">
        <f ca="1">ROUND(D22*E22/10000,0)</f>
        <v>283</v>
      </c>
      <c r="D22" s="2810">
        <f ca="1">IF(C1="",'数据-汇总表'!E6,IF(INDIRECT("'数据-取费表'!c"&amp;$K$1)="住宅",INDIRECT("'数据-取费表'!s"&amp;$K$1),INDIRECT("'数据-取费表'!k"&amp;$K$1)+INDIRECT("'数据-取费表'!s"&amp;$K$1)))</f>
        <v>14167.5</v>
      </c>
      <c r="E22" s="2808">
        <f>'数据-取费表'!B28</f>
        <v>200</v>
      </c>
      <c r="F22" s="2802"/>
      <c r="G22" s="187"/>
      <c r="H22" s="187"/>
      <c r="I22" s="187"/>
      <c r="J22" s="187"/>
      <c r="K22" s="1912"/>
    </row>
    <row r="23" spans="1:33" s="552" customFormat="1" ht="13.5" customHeight="1">
      <c r="A23" s="2757" t="s">
        <v>3396</v>
      </c>
      <c r="B23" s="2785" t="s">
        <v>1550</v>
      </c>
      <c r="C23" s="2807">
        <f ca="1">ROUND(D23*E23*F16/10000,0)</f>
        <v>404</v>
      </c>
      <c r="D23" s="2811">
        <f ca="1">IF(C1="",'数据-汇总表'!E3,INDIRECT("'数据-取费表'!K"&amp;$K$1)+INDIRECT("'数据-取费表'!S"&amp;$K$1))</f>
        <v>24968.190000000002</v>
      </c>
      <c r="E23" s="2807">
        <f>'数据-取费表'!B35</f>
        <v>360</v>
      </c>
      <c r="F23" s="2775"/>
      <c r="G23" s="2781" t="s">
        <v>3690</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3397</v>
      </c>
      <c r="B24" s="2785" t="s">
        <v>1552</v>
      </c>
      <c r="C24" s="2807">
        <f ca="1">ROUND(D24*E24/10000,0)</f>
        <v>50</v>
      </c>
      <c r="D24" s="2811">
        <f ca="1">D23</f>
        <v>24968.190000000002</v>
      </c>
      <c r="E24" s="2807">
        <f>'数据-取费表'!B32</f>
        <v>20</v>
      </c>
      <c r="F24" s="2770"/>
      <c r="G24" s="55" t="s">
        <v>1553</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3393</v>
      </c>
      <c r="B25" s="2799" t="s">
        <v>3407</v>
      </c>
      <c r="C25" s="2769">
        <f ca="1">ROUND(C16*F25,0)</f>
        <v>109</v>
      </c>
      <c r="D25" s="2758"/>
      <c r="E25" s="2759"/>
      <c r="F25" s="2774">
        <f>'数据-取费表'!B36</f>
        <v>1.2999999999999999E-2</v>
      </c>
      <c r="G25" s="2758"/>
      <c r="H25" s="2758"/>
      <c r="I25" s="2758"/>
      <c r="J25" s="2758"/>
      <c r="K25" s="2789"/>
    </row>
    <row r="26" spans="1:33" s="552" customFormat="1" ht="13.5" customHeight="1">
      <c r="A26" s="2755" t="s">
        <v>3394</v>
      </c>
      <c r="B26" s="2798" t="s">
        <v>3408</v>
      </c>
      <c r="C26" s="2770">
        <f ca="1">ROUND(C16*F26,0)</f>
        <v>134</v>
      </c>
      <c r="D26" s="553"/>
      <c r="E26" s="557"/>
      <c r="F26" s="2774">
        <f>'数据-取费表'!B37</f>
        <v>1.6E-2</v>
      </c>
      <c r="G26" s="55" t="s">
        <v>1551</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1556</v>
      </c>
      <c r="C27" s="2766">
        <f ca="1">ROUND(C15*F27,0)</f>
        <v>197</v>
      </c>
      <c r="D27" s="174"/>
      <c r="E27" s="174"/>
      <c r="F27" s="2773">
        <f>'数据-取费表'!B38</f>
        <v>0.02</v>
      </c>
      <c r="G27" s="2782" t="s">
        <v>1557</v>
      </c>
      <c r="H27" s="2782"/>
      <c r="I27" s="2782"/>
      <c r="J27" s="2782"/>
      <c r="K27" s="2783"/>
    </row>
    <row r="28" spans="1:33" s="551" customFormat="1" ht="13.5" customHeight="1">
      <c r="A28" s="2580">
        <v>5</v>
      </c>
      <c r="B28" s="558" t="s">
        <v>1558</v>
      </c>
      <c r="C28" s="2766">
        <f ca="1">ROUND(C13*F28*F16,0)</f>
        <v>1678</v>
      </c>
      <c r="D28" s="174"/>
      <c r="E28" s="174"/>
      <c r="F28" s="2773">
        <f>'数据-取费表'!B39</f>
        <v>0.03</v>
      </c>
      <c r="G28" s="2782" t="s">
        <v>3691</v>
      </c>
      <c r="H28" s="2782"/>
      <c r="I28" s="2782"/>
      <c r="J28" s="2782"/>
      <c r="K28" s="2783"/>
    </row>
    <row r="29" spans="1:33" s="551" customFormat="1" ht="13.5" customHeight="1">
      <c r="A29" s="2580">
        <v>6</v>
      </c>
      <c r="B29" s="2756" t="s">
        <v>3391</v>
      </c>
      <c r="C29" s="2805" t="str">
        <f ca="1">C31&amp;"+"&amp;C30&amp;"V"</f>
        <v>164+0.029V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1560</v>
      </c>
      <c r="C30" s="2771">
        <f ca="1">ROUND(IF('数据-取费表'!B22&lt;=1,(1+F14)*F29*'数据-取费表'!B24,(1+F14)*(POWER((1+F29),'数据-取费表'!B24)-1)),4)</f>
        <v>2.9000000000000001E-2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1541</v>
      </c>
      <c r="B31" s="2785" t="s">
        <v>3411</v>
      </c>
      <c r="C31" s="2767">
        <f ca="1">ROUND(IF('数据-取费表'!B22&lt;=1,(C15+C27+C28)*F29*'数据-取费表'!B24/2,(C15+C27+C28)*(POWER((1+F29),'数据-取费表'!B24/2)-1)),0)</f>
        <v>164</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1564</v>
      </c>
      <c r="C32" s="2790">
        <f ca="1">ROUND(C13*F32/(1+'数据-取费表'!C43),0)</f>
        <v>0</v>
      </c>
      <c r="D32" s="2782"/>
      <c r="E32" s="2794"/>
      <c r="F32" s="2791"/>
      <c r="G32" s="4433" t="s">
        <v>3401</v>
      </c>
      <c r="H32" s="4433"/>
      <c r="I32" s="4433"/>
      <c r="J32" s="4433"/>
      <c r="K32" s="4434"/>
    </row>
    <row r="33" spans="1:11" s="177" customFormat="1" ht="13.5" customHeight="1">
      <c r="A33" s="2580">
        <v>8</v>
      </c>
      <c r="B33" s="2760" t="s">
        <v>1561</v>
      </c>
      <c r="C33" s="2809" t="str">
        <f ca="1">C35&amp;"+"&amp;C34&amp;"V"</f>
        <v>822+0.0325V</v>
      </c>
      <c r="D33" s="173"/>
      <c r="E33" s="174"/>
      <c r="F33" s="2777">
        <f ca="1">IF(C1="",'数据-取费表'!Q16,INDIRECT("'数据-取费表'!q"&amp;$K$1))</f>
        <v>7.0000000000000007E-2</v>
      </c>
      <c r="G33" s="25"/>
      <c r="H33" s="25"/>
      <c r="I33" s="25"/>
      <c r="J33" s="25"/>
      <c r="K33" s="27"/>
    </row>
    <row r="34" spans="1:11" s="178" customFormat="1" ht="13.5" customHeight="1">
      <c r="A34" s="2804" t="s">
        <v>355</v>
      </c>
      <c r="B34" s="2785" t="s">
        <v>1562</v>
      </c>
      <c r="C34" s="2771">
        <f ca="1">ROUND((1+F14)*F33*'数据-取费表'!B24/'数据-取费表'!B22,4)</f>
        <v>3.2500000000000001E-2</v>
      </c>
      <c r="D34" s="175"/>
      <c r="E34" s="553"/>
      <c r="F34" s="2776"/>
      <c r="G34" s="55" t="s">
        <v>1563</v>
      </c>
      <c r="H34" s="55"/>
      <c r="I34" s="55"/>
      <c r="J34" s="55"/>
      <c r="K34" s="2784"/>
    </row>
    <row r="35" spans="1:11" s="178" customFormat="1" ht="13.5" customHeight="1">
      <c r="A35" s="2804" t="s">
        <v>1541</v>
      </c>
      <c r="B35" s="2785" t="s">
        <v>3411</v>
      </c>
      <c r="C35" s="2772">
        <f ca="1">ROUND((C15+C27+C28)*F33,0)</f>
        <v>822</v>
      </c>
      <c r="D35" s="175"/>
      <c r="E35" s="553"/>
      <c r="F35" s="2776"/>
      <c r="G35" s="55"/>
      <c r="H35" s="55"/>
      <c r="I35" s="55"/>
      <c r="J35" s="55"/>
      <c r="K35" s="2784"/>
    </row>
    <row r="36" spans="1:11" s="549" customFormat="1" ht="15">
      <c r="A36" s="2580">
        <v>9</v>
      </c>
      <c r="B36" s="2781" t="s">
        <v>3400</v>
      </c>
      <c r="C36" s="2765">
        <f ca="1">ROUND((C13-C15-C27-C28-C31-C35-C32)/(1+F14+C30+C34),0)</f>
        <v>102141</v>
      </c>
      <c r="D36" s="2782"/>
      <c r="E36" s="2782"/>
      <c r="F36" s="173"/>
      <c r="G36" s="2819" t="s">
        <v>3412</v>
      </c>
      <c r="H36" s="2782"/>
      <c r="I36" s="2782"/>
      <c r="J36" s="2782"/>
      <c r="K36" s="2783"/>
    </row>
    <row r="37" spans="1:11" s="2912" customFormat="1" ht="15.75" thickBot="1">
      <c r="A37" s="2795">
        <v>10</v>
      </c>
      <c r="B37" s="2796" t="s">
        <v>3495</v>
      </c>
      <c r="C37" s="2909">
        <f ca="1">ROUND(C36*(1+F37),0)</f>
        <v>111334</v>
      </c>
      <c r="D37" s="2910"/>
      <c r="E37" s="2911"/>
      <c r="F37" s="2797">
        <v>0.09</v>
      </c>
      <c r="G37" s="2781" t="s">
        <v>3496</v>
      </c>
      <c r="H37" s="2782"/>
      <c r="I37" s="2782"/>
      <c r="J37" s="2782"/>
      <c r="K37" s="2783"/>
    </row>
    <row r="38" spans="1:11" ht="12.75" customHeight="1"/>
    <row r="44" spans="1:11" s="3390" customFormat="1" ht="19.5" thickBot="1">
      <c r="A44" s="3395" t="s">
        <v>3505</v>
      </c>
      <c r="B44" s="1905"/>
      <c r="C44" s="3396"/>
      <c r="D44" s="1905"/>
      <c r="E44" s="1905"/>
      <c r="F44" s="1905"/>
      <c r="G44" s="1905"/>
    </row>
    <row r="45" spans="1:11" s="3390" customFormat="1" ht="15">
      <c r="A45" s="3392" t="s">
        <v>3532</v>
      </c>
      <c r="B45" s="2778" t="s">
        <v>1544</v>
      </c>
      <c r="C45" s="2779" t="s">
        <v>1545</v>
      </c>
      <c r="D45" s="1201" t="s">
        <v>1546</v>
      </c>
      <c r="E45" s="1201" t="s">
        <v>1547</v>
      </c>
      <c r="F45" s="1201" t="s">
        <v>1548</v>
      </c>
      <c r="G45" s="2820" t="s">
        <v>3413</v>
      </c>
    </row>
    <row r="46" spans="1:11" s="3390" customFormat="1">
      <c r="A46" s="654">
        <v>1</v>
      </c>
      <c r="B46" s="2799" t="s">
        <v>3506</v>
      </c>
      <c r="C46" s="2769">
        <f ca="1">C13</f>
        <v>124273</v>
      </c>
      <c r="D46" s="654"/>
      <c r="E46" s="654"/>
      <c r="F46" s="654"/>
      <c r="G46" s="654"/>
    </row>
    <row r="47" spans="1:11" s="3390" customFormat="1">
      <c r="A47" s="654">
        <v>2</v>
      </c>
      <c r="B47" s="2799" t="s">
        <v>3508</v>
      </c>
      <c r="C47" s="2769" t="str">
        <f>C14</f>
        <v>0.0305V</v>
      </c>
      <c r="D47" s="654"/>
      <c r="E47" s="654"/>
      <c r="F47" s="654"/>
      <c r="G47" s="654"/>
    </row>
    <row r="48" spans="1:11" s="3390" customFormat="1">
      <c r="A48" s="654">
        <v>3</v>
      </c>
      <c r="B48" s="2799" t="s">
        <v>3507</v>
      </c>
      <c r="C48" s="2769" t="e">
        <f ca="1">C49+C59+C60+C63</f>
        <v>#VALUE!</v>
      </c>
      <c r="D48" s="654"/>
      <c r="E48" s="654"/>
      <c r="F48" s="654"/>
      <c r="G48" s="654"/>
    </row>
    <row r="49" spans="1:7" s="3390" customFormat="1">
      <c r="A49" s="3393" t="s">
        <v>355</v>
      </c>
      <c r="B49" s="2799" t="s">
        <v>3517</v>
      </c>
      <c r="C49" s="2769">
        <f ca="1">C50+C51+C52+C53+C57+C58</f>
        <v>9874</v>
      </c>
      <c r="D49" s="654"/>
      <c r="E49" s="654"/>
      <c r="F49" s="654"/>
      <c r="G49" s="654"/>
    </row>
    <row r="50" spans="1:7" s="3390" customFormat="1">
      <c r="A50" s="3394" t="s">
        <v>3518</v>
      </c>
      <c r="B50" s="2799" t="s">
        <v>3522</v>
      </c>
      <c r="C50" s="2769">
        <f ca="1">C16</f>
        <v>8366</v>
      </c>
      <c r="D50" s="654"/>
      <c r="E50" s="654"/>
      <c r="F50" s="654"/>
      <c r="G50" s="654"/>
    </row>
    <row r="51" spans="1:7" s="3390" customFormat="1">
      <c r="A51" s="3394" t="s">
        <v>3533</v>
      </c>
      <c r="B51" s="654" t="s">
        <v>3519</v>
      </c>
      <c r="C51" s="2769">
        <f t="shared" ref="C51:C53" ca="1" si="0">C17</f>
        <v>209</v>
      </c>
      <c r="D51" s="654"/>
      <c r="E51" s="654"/>
      <c r="F51" s="654"/>
      <c r="G51" s="654"/>
    </row>
    <row r="52" spans="1:7" s="3390" customFormat="1">
      <c r="A52" s="3394" t="s">
        <v>3534</v>
      </c>
      <c r="B52" s="654" t="s">
        <v>3520</v>
      </c>
      <c r="C52" s="2769">
        <f t="shared" ca="1" si="0"/>
        <v>146</v>
      </c>
      <c r="D52" s="654"/>
      <c r="E52" s="654"/>
      <c r="F52" s="654"/>
      <c r="G52" s="654"/>
    </row>
    <row r="53" spans="1:7" s="3390" customFormat="1">
      <c r="A53" s="3394" t="s">
        <v>3535</v>
      </c>
      <c r="B53" s="654" t="s">
        <v>3521</v>
      </c>
      <c r="C53" s="2769">
        <f t="shared" ca="1" si="0"/>
        <v>910</v>
      </c>
      <c r="D53" s="654"/>
      <c r="E53" s="654"/>
      <c r="F53" s="654"/>
      <c r="G53" s="654"/>
    </row>
    <row r="54" spans="1:7" s="3390" customFormat="1">
      <c r="A54" s="3592" t="s">
        <v>3398</v>
      </c>
      <c r="B54" s="3593" t="s">
        <v>3525</v>
      </c>
      <c r="C54" s="3594">
        <f ca="1">C20</f>
        <v>456</v>
      </c>
      <c r="D54" s="654"/>
      <c r="E54" s="654"/>
      <c r="F54" s="654"/>
      <c r="G54" s="654"/>
    </row>
    <row r="55" spans="1:7" s="3390" customFormat="1">
      <c r="A55" s="3592" t="s">
        <v>3399</v>
      </c>
      <c r="B55" s="3593" t="s">
        <v>3526</v>
      </c>
      <c r="C55" s="3594">
        <f ca="1">C23</f>
        <v>404</v>
      </c>
      <c r="D55" s="654"/>
      <c r="E55" s="654"/>
      <c r="F55" s="654"/>
      <c r="G55" s="654"/>
    </row>
    <row r="56" spans="1:7" s="3390" customFormat="1">
      <c r="A56" s="3592" t="s">
        <v>3685</v>
      </c>
      <c r="B56" s="3593" t="s">
        <v>3527</v>
      </c>
      <c r="C56" s="3594">
        <f ca="1">C24</f>
        <v>50</v>
      </c>
      <c r="D56" s="654"/>
      <c r="E56" s="654"/>
      <c r="F56" s="654"/>
      <c r="G56" s="654"/>
    </row>
    <row r="57" spans="1:7" s="3390" customFormat="1">
      <c r="A57" s="3394" t="s">
        <v>3536</v>
      </c>
      <c r="B57" s="654" t="s">
        <v>3523</v>
      </c>
      <c r="C57" s="2769">
        <f ca="1">C25</f>
        <v>109</v>
      </c>
      <c r="D57" s="654"/>
      <c r="E57" s="654"/>
      <c r="F57" s="654"/>
      <c r="G57" s="654"/>
    </row>
    <row r="58" spans="1:7" s="3390" customFormat="1">
      <c r="A58" s="3394" t="s">
        <v>3537</v>
      </c>
      <c r="B58" s="654" t="s">
        <v>3524</v>
      </c>
      <c r="C58" s="2769">
        <f ca="1">C26</f>
        <v>134</v>
      </c>
      <c r="D58" s="654"/>
      <c r="E58" s="654"/>
      <c r="F58" s="654"/>
      <c r="G58" s="654"/>
    </row>
    <row r="59" spans="1:7" s="3390" customFormat="1">
      <c r="A59" s="3393" t="s">
        <v>3516</v>
      </c>
      <c r="B59" s="2799" t="s">
        <v>3510</v>
      </c>
      <c r="C59" s="2769">
        <f ca="1">C27</f>
        <v>197</v>
      </c>
      <c r="D59" s="654"/>
      <c r="E59" s="654"/>
      <c r="F59" s="654"/>
      <c r="G59" s="654"/>
    </row>
    <row r="60" spans="1:7" s="3390" customFormat="1">
      <c r="A60" s="3393" t="s">
        <v>3528</v>
      </c>
      <c r="B60" s="2799" t="s">
        <v>3529</v>
      </c>
      <c r="C60" s="2769">
        <f ca="1">C61+C62</f>
        <v>1678</v>
      </c>
      <c r="D60" s="654"/>
      <c r="E60" s="654"/>
      <c r="F60" s="654"/>
      <c r="G60" s="654"/>
    </row>
    <row r="61" spans="1:7" s="3390" customFormat="1">
      <c r="A61" s="3394" t="s">
        <v>3518</v>
      </c>
      <c r="B61" s="2799" t="s">
        <v>3513</v>
      </c>
      <c r="C61" s="2769">
        <f ca="1">C28</f>
        <v>1678</v>
      </c>
      <c r="D61" s="654"/>
      <c r="E61" s="654"/>
      <c r="F61" s="654"/>
      <c r="G61" s="654"/>
    </row>
    <row r="62" spans="1:7" s="3390" customFormat="1">
      <c r="A62" s="3394" t="s">
        <v>3530</v>
      </c>
      <c r="B62" s="2799" t="s">
        <v>3512</v>
      </c>
      <c r="C62" s="2769">
        <f ca="1">C32</f>
        <v>0</v>
      </c>
      <c r="D62" s="654"/>
      <c r="E62" s="654"/>
      <c r="F62" s="654"/>
      <c r="G62" s="654"/>
    </row>
    <row r="63" spans="1:7" s="3390" customFormat="1">
      <c r="A63" s="3393" t="s">
        <v>3531</v>
      </c>
      <c r="B63" s="2799" t="s">
        <v>3511</v>
      </c>
      <c r="C63" s="2769" t="str">
        <f ca="1">C29</f>
        <v>164+0.029V</v>
      </c>
      <c r="D63" s="654"/>
      <c r="E63" s="654"/>
      <c r="F63" s="654"/>
      <c r="G63" s="654"/>
    </row>
    <row r="64" spans="1:7" s="3390" customFormat="1">
      <c r="A64" s="654">
        <v>4</v>
      </c>
      <c r="B64" s="2799" t="s">
        <v>3514</v>
      </c>
      <c r="C64" s="2769" t="str">
        <f ca="1">C33</f>
        <v>822+0.0325V</v>
      </c>
      <c r="D64" s="654"/>
      <c r="E64" s="654"/>
      <c r="F64" s="654"/>
      <c r="G64" s="654"/>
    </row>
    <row r="65" spans="1:7" s="3390" customFormat="1">
      <c r="A65" s="654">
        <v>5</v>
      </c>
      <c r="B65" s="2799" t="s">
        <v>3515</v>
      </c>
      <c r="C65" s="2769">
        <f ca="1">C36</f>
        <v>102141</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1A00-000000000000}">
      <formula1>项目类型</formula1>
    </dataValidation>
    <dataValidation type="list" allowBlank="1" showInputMessage="1" showErrorMessage="1" sqref="G20" xr:uid="{00000000-0002-0000-1A00-000001000000}">
      <formula1>"已部分缴纳,已全部缴纳"</formula1>
    </dataValidation>
    <dataValidation type="list" allowBlank="1" showInputMessage="1" showErrorMessage="1" sqref="D2" xr:uid="{00000000-0002-0000-1A00-000002000000}">
      <formula1>"含税,不含税"</formula1>
    </dataValidation>
  </dataValidations>
  <pageMargins left="0.7" right="0.7" top="0.75" bottom="0.75" header="0.3" footer="0.3"/>
  <pageSetup paperSize="9" scale="6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76" zoomScaleNormal="60" zoomScaleSheetLayoutView="100" workbookViewId="0">
      <selection activeCell="C107" sqref="C107:E107"/>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389" t="s">
        <v>1575</v>
      </c>
      <c r="C1" s="862" t="s">
        <v>1576</v>
      </c>
      <c r="D1" s="849" t="s">
        <v>3276</v>
      </c>
      <c r="E1" s="2559" t="s">
        <v>3974</v>
      </c>
      <c r="F1" s="1390" t="s">
        <v>3975</v>
      </c>
      <c r="G1" s="859" t="s">
        <v>1577</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39">
        <f>IF(C2="含税",D2,ROUND(D2/(1+F3),0))</f>
        <v>108088</v>
      </c>
      <c r="C2" s="2908" t="s">
        <v>3972</v>
      </c>
      <c r="D2" s="3940">
        <f>IF(E1="项目模式",IF(E2="——",ROUND(C49*D3/10000,0),ROUND(C49*D3/10000,0)-F2),IF(E1="单套模式",IF(E2="——",ROUND(C49*D3/10000,4),ROUND(C49*D3/10000,4)-F2)))</f>
        <v>117816</v>
      </c>
      <c r="E2" s="2915" t="s">
        <v>41</v>
      </c>
      <c r="F2" s="3941" t="e">
        <f ca="1">IF(E1="项目模式",SUMIF(INDIRECT("'"&amp;H2&amp;"'"&amp;"!A:A"),"承租人权益价值",INDIRECT("'"&amp;H2&amp;"'"&amp;"!c:c")),SUMIF(INDIRECT("'"&amp;H2&amp;"'"&amp;"!A:A"),"承租人权益价值（单套）",INDIRECT("'"&amp;H2&amp;"'"&amp;"!c:c")))</f>
        <v>#REF!</v>
      </c>
      <c r="G2" s="1393" t="s">
        <v>1578</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109082</v>
      </c>
      <c r="C3" s="235" t="s">
        <v>1579</v>
      </c>
      <c r="D3" s="3004">
        <f>IF(D1="",'数据-汇总表'!E3,SUMIF('数据-汇总表'!$C19:$C33,D1,'数据-汇总表'!$E19:$E33))</f>
        <v>10800.690000000002</v>
      </c>
      <c r="E3" s="3385" t="s">
        <v>3973</v>
      </c>
      <c r="F3" s="4081">
        <f>IF(E3="其他类型—销项税率",9%,3%)</f>
        <v>0.09</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1580</v>
      </c>
      <c r="B4" s="237"/>
      <c r="C4" s="4389" t="s">
        <v>1581</v>
      </c>
      <c r="D4" s="4390"/>
      <c r="E4" s="4391" t="s">
        <v>1582</v>
      </c>
      <c r="F4" s="4392"/>
      <c r="G4" s="4389" t="s">
        <v>1583</v>
      </c>
      <c r="H4" s="4390"/>
      <c r="I4" s="4389" t="s">
        <v>1584</v>
      </c>
      <c r="J4" s="4390"/>
      <c r="K4" s="2933" t="s">
        <v>1585</v>
      </c>
      <c r="L4" s="2020"/>
      <c r="M4" s="2021"/>
      <c r="N4" s="2021"/>
      <c r="O4" s="2021"/>
      <c r="P4" s="4393" t="s">
        <v>1586</v>
      </c>
      <c r="Q4" s="4394"/>
      <c r="R4" s="4375" t="s">
        <v>1582</v>
      </c>
      <c r="S4" s="4376"/>
      <c r="T4" s="4375" t="s">
        <v>1583</v>
      </c>
      <c r="U4" s="4376"/>
      <c r="V4" s="4401" t="s">
        <v>1584</v>
      </c>
      <c r="W4" s="4401"/>
      <c r="X4" s="946"/>
      <c r="Y4" s="4404" t="s">
        <v>1586</v>
      </c>
      <c r="Z4" s="4405"/>
      <c r="AA4" s="4370" t="s">
        <v>1582</v>
      </c>
      <c r="AB4" s="4370" t="s">
        <v>1583</v>
      </c>
      <c r="AC4" s="4370" t="s">
        <v>1584</v>
      </c>
    </row>
    <row r="5" spans="1:29" ht="15">
      <c r="A5" s="239"/>
      <c r="B5" s="240"/>
      <c r="C5" s="4381" t="s">
        <v>1587</v>
      </c>
      <c r="D5" s="4382"/>
      <c r="E5" s="4379" t="s">
        <v>3996</v>
      </c>
      <c r="F5" s="4380"/>
      <c r="G5" s="4381" t="s">
        <v>3997</v>
      </c>
      <c r="H5" s="4382"/>
      <c r="I5" s="4381" t="s">
        <v>3983</v>
      </c>
      <c r="J5" s="4382"/>
      <c r="K5" s="2934"/>
      <c r="L5" s="2020"/>
      <c r="M5" s="2021"/>
      <c r="N5" s="2021"/>
      <c r="O5" s="2021"/>
      <c r="P5" s="4395"/>
      <c r="Q5" s="4396"/>
      <c r="R5" s="4377"/>
      <c r="S5" s="4378"/>
      <c r="T5" s="4377"/>
      <c r="U5" s="4378"/>
      <c r="V5" s="4401"/>
      <c r="W5" s="4401"/>
      <c r="X5" s="946"/>
      <c r="Y5" s="4406"/>
      <c r="Z5" s="4407"/>
      <c r="AA5" s="4371"/>
      <c r="AB5" s="4371"/>
      <c r="AC5" s="4371"/>
    </row>
    <row r="6" spans="1:29" ht="15.75" thickBot="1">
      <c r="A6" s="241"/>
      <c r="B6" s="242"/>
      <c r="C6" s="4383" t="s">
        <v>1591</v>
      </c>
      <c r="D6" s="4384"/>
      <c r="E6" s="4385" t="s">
        <v>1591</v>
      </c>
      <c r="F6" s="4386"/>
      <c r="G6" s="4383" t="s">
        <v>1591</v>
      </c>
      <c r="H6" s="4384"/>
      <c r="I6" s="4383" t="s">
        <v>1591</v>
      </c>
      <c r="J6" s="4384"/>
      <c r="K6" s="2934" t="s">
        <v>1592</v>
      </c>
      <c r="L6" s="2020"/>
      <c r="M6" s="2021"/>
      <c r="N6" s="2021"/>
      <c r="O6" s="2021"/>
      <c r="P6" s="4397"/>
      <c r="Q6" s="4398"/>
      <c r="R6" s="4377"/>
      <c r="S6" s="4378"/>
      <c r="T6" s="4399"/>
      <c r="U6" s="4400"/>
      <c r="V6" s="4401"/>
      <c r="W6" s="4401"/>
      <c r="X6" s="946"/>
      <c r="Y6" s="4408"/>
      <c r="Z6" s="4409"/>
      <c r="AA6" s="4372"/>
      <c r="AB6" s="4372"/>
      <c r="AC6" s="4372"/>
    </row>
    <row r="7" spans="1:29" s="46" customFormat="1" ht="15.75" thickBot="1">
      <c r="A7" s="243" t="s">
        <v>1593</v>
      </c>
      <c r="B7" s="244"/>
      <c r="C7" s="2935">
        <f>'数据-取费表'!B2</f>
        <v>46043</v>
      </c>
      <c r="D7" s="3009">
        <v>100</v>
      </c>
      <c r="E7" s="2964">
        <f>C7</f>
        <v>46043</v>
      </c>
      <c r="F7" s="3942">
        <f>SUMIF(58:58,YEAR(E7)&amp;"-"&amp;MONTH(E7),59:59)</f>
        <v>100</v>
      </c>
      <c r="G7" s="2964">
        <f>E7</f>
        <v>46043</v>
      </c>
      <c r="H7" s="3954">
        <f>SUMIF(58:58,YEAR(G7)&amp;"-"&amp;MONTH(G7),59:59)</f>
        <v>100</v>
      </c>
      <c r="I7" s="2964">
        <f>G7</f>
        <v>46043</v>
      </c>
      <c r="J7" s="3954">
        <f>SUMIF(58:58,YEAR(I7)&amp;"-"&amp;MONTH(I7),59:59)</f>
        <v>100</v>
      </c>
      <c r="K7" s="2926"/>
      <c r="L7" s="2022"/>
      <c r="M7" s="1973"/>
      <c r="N7" s="1973"/>
      <c r="O7" s="1973"/>
      <c r="P7" s="4402" t="s">
        <v>1594</v>
      </c>
      <c r="Q7" s="4410"/>
      <c r="R7" s="3854" t="s">
        <v>18</v>
      </c>
      <c r="S7" s="3327">
        <f t="shared" ref="S7:S15" si="0">F7</f>
        <v>100</v>
      </c>
      <c r="T7" s="3854" t="s">
        <v>18</v>
      </c>
      <c r="U7" s="3327">
        <f t="shared" ref="U7:U15" si="1">H7</f>
        <v>100</v>
      </c>
      <c r="V7" s="3854" t="s">
        <v>18</v>
      </c>
      <c r="W7" s="3327">
        <f t="shared" ref="W7:W15" si="2">J7</f>
        <v>100</v>
      </c>
      <c r="X7" s="493"/>
      <c r="Y7" s="4373" t="s">
        <v>1594</v>
      </c>
      <c r="Z7" s="4374"/>
      <c r="AA7" s="28">
        <f>D7/F7</f>
        <v>1</v>
      </c>
      <c r="AB7" s="28">
        <f>D7/H7</f>
        <v>1</v>
      </c>
      <c r="AC7" s="28">
        <f>D7/J7</f>
        <v>1</v>
      </c>
    </row>
    <row r="8" spans="1:29" s="46" customFormat="1" ht="15.75" thickBot="1">
      <c r="A8" s="243" t="s">
        <v>1595</v>
      </c>
      <c r="B8" s="244"/>
      <c r="C8" s="2936" t="s">
        <v>3966</v>
      </c>
      <c r="D8" s="3009">
        <v>100</v>
      </c>
      <c r="E8" s="2988" t="s">
        <v>3966</v>
      </c>
      <c r="F8" s="3942">
        <f>SUMIF(61:61,E8,62:62)-SUMIF(61:61,C8,62:62)+100</f>
        <v>100</v>
      </c>
      <c r="G8" s="2936" t="s">
        <v>3966</v>
      </c>
      <c r="H8" s="3954">
        <f>SUMIF(61:61,G8,62:62)-SUMIF(61:61,C8,62:62)+100</f>
        <v>100</v>
      </c>
      <c r="I8" s="2988" t="s">
        <v>3966</v>
      </c>
      <c r="J8" s="3954">
        <f>SUMIF(61:61,I8,62:62)-SUMIF(61:61,C8,62:62)+100</f>
        <v>100</v>
      </c>
      <c r="K8" s="2926"/>
      <c r="L8" s="2022"/>
      <c r="M8" s="1973"/>
      <c r="N8" s="1973"/>
      <c r="O8" s="1973"/>
      <c r="P8" s="4402" t="s">
        <v>1597</v>
      </c>
      <c r="Q8" s="4403"/>
      <c r="R8" s="3854" t="s">
        <v>18</v>
      </c>
      <c r="S8" s="3327">
        <f t="shared" si="0"/>
        <v>100</v>
      </c>
      <c r="T8" s="3854" t="s">
        <v>18</v>
      </c>
      <c r="U8" s="3327">
        <f t="shared" si="1"/>
        <v>100</v>
      </c>
      <c r="V8" s="3854" t="s">
        <v>18</v>
      </c>
      <c r="W8" s="3327">
        <f t="shared" si="2"/>
        <v>100</v>
      </c>
      <c r="X8" s="493"/>
      <c r="Y8" s="4373" t="s">
        <v>1597</v>
      </c>
      <c r="Z8" s="4374"/>
      <c r="AA8" s="28">
        <f t="shared" ref="AA8:AA19" si="3">D8/F8</f>
        <v>1</v>
      </c>
      <c r="AB8" s="28">
        <f t="shared" ref="AB8:AB19" si="4">D8/H8</f>
        <v>1</v>
      </c>
      <c r="AC8" s="28">
        <f t="shared" ref="AC8:AC19" si="5">D8/J8</f>
        <v>1</v>
      </c>
    </row>
    <row r="9" spans="1:29" s="46" customFormat="1">
      <c r="A9" s="248" t="s">
        <v>1598</v>
      </c>
      <c r="B9" s="2916" t="s">
        <v>1599</v>
      </c>
      <c r="C9" s="2937" t="s">
        <v>3276</v>
      </c>
      <c r="D9" s="3010">
        <v>100</v>
      </c>
      <c r="E9" s="2965" t="s">
        <v>3276</v>
      </c>
      <c r="F9" s="3943">
        <f>SUMIF(63:63,E9,64:64)-SUMIF(63:63,C9,64:64)+100</f>
        <v>100</v>
      </c>
      <c r="G9" s="2993" t="s">
        <v>3276</v>
      </c>
      <c r="H9" s="3955">
        <f>SUMIF(63:63,G9,64:64)-SUMIF(63:63,C9,64:64)+100</f>
        <v>100</v>
      </c>
      <c r="I9" s="2993" t="s">
        <v>3276</v>
      </c>
      <c r="J9" s="3955">
        <f>SUMIF(63:63,I9,64:64)-SUMIF(63:63,C9,64:64)+100</f>
        <v>100</v>
      </c>
      <c r="K9" s="2926"/>
      <c r="L9" s="2022"/>
      <c r="M9" s="1973"/>
      <c r="N9" s="1973"/>
      <c r="O9" s="1973"/>
      <c r="P9" s="4438" t="s">
        <v>1600</v>
      </c>
      <c r="Q9" s="1742" t="str">
        <f t="shared" ref="Q9:Q15" si="6">B9</f>
        <v>用途</v>
      </c>
      <c r="R9" s="3854" t="s">
        <v>13</v>
      </c>
      <c r="S9" s="3327">
        <f t="shared" si="0"/>
        <v>100</v>
      </c>
      <c r="T9" s="3854" t="s">
        <v>13</v>
      </c>
      <c r="U9" s="3327">
        <f t="shared" si="1"/>
        <v>100</v>
      </c>
      <c r="V9" s="3854" t="s">
        <v>13</v>
      </c>
      <c r="W9" s="3327">
        <f t="shared" si="2"/>
        <v>100</v>
      </c>
      <c r="X9" s="493"/>
      <c r="Y9" s="4388"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38"/>
      <c r="Q10" s="1742" t="str">
        <f t="shared" si="6"/>
        <v>土地使用年限（年）</v>
      </c>
      <c r="R10" s="3854" t="s">
        <v>13</v>
      </c>
      <c r="S10" s="3327">
        <f t="shared" si="0"/>
        <v>100</v>
      </c>
      <c r="T10" s="3854" t="s">
        <v>13</v>
      </c>
      <c r="U10" s="3327">
        <f t="shared" si="1"/>
        <v>100</v>
      </c>
      <c r="V10" s="3854" t="s">
        <v>13</v>
      </c>
      <c r="W10" s="3327">
        <f t="shared" si="2"/>
        <v>100</v>
      </c>
      <c r="X10" s="493"/>
      <c r="Y10" s="4388"/>
      <c r="Z10" s="28" t="str">
        <f t="shared" si="7"/>
        <v>土地使用年限（年）</v>
      </c>
      <c r="AA10" s="28">
        <f t="shared" si="3"/>
        <v>1</v>
      </c>
      <c r="AB10" s="28">
        <f t="shared" si="4"/>
        <v>1</v>
      </c>
      <c r="AC10" s="28">
        <f t="shared" si="5"/>
        <v>1</v>
      </c>
    </row>
    <row r="11" spans="1:29" ht="15">
      <c r="A11" s="255"/>
      <c r="B11" s="2913" t="s">
        <v>1603</v>
      </c>
      <c r="C11" s="2939">
        <v>2.4</v>
      </c>
      <c r="D11" s="3011">
        <v>100</v>
      </c>
      <c r="E11" s="2967">
        <v>2.4</v>
      </c>
      <c r="F11" s="3944">
        <f>LOOKUP(E11,68:68,69:69)-LOOKUP(C11,68:68,69:69)+100</f>
        <v>100</v>
      </c>
      <c r="G11" s="2939">
        <v>2.42</v>
      </c>
      <c r="H11" s="3956">
        <f>LOOKUP(G11,68:68,69:69)-LOOKUP(C11,68:68,69:69)+100</f>
        <v>100</v>
      </c>
      <c r="I11" s="2939">
        <v>1.05</v>
      </c>
      <c r="J11" s="3956">
        <f>LOOKUP(I11,68:68,69:69)-LOOKUP(C11,68:68,69:69)+100</f>
        <v>106</v>
      </c>
      <c r="K11" s="2927">
        <v>3</v>
      </c>
      <c r="L11" s="2025"/>
      <c r="M11" s="2021"/>
      <c r="N11" s="2021"/>
      <c r="O11" s="2021"/>
      <c r="P11" s="4438"/>
      <c r="Q11" s="1742" t="str">
        <f t="shared" si="6"/>
        <v>容积率</v>
      </c>
      <c r="R11" s="3854" t="s">
        <v>16</v>
      </c>
      <c r="S11" s="3327">
        <f t="shared" si="0"/>
        <v>100</v>
      </c>
      <c r="T11" s="3854" t="s">
        <v>16</v>
      </c>
      <c r="U11" s="3327">
        <f t="shared" si="1"/>
        <v>100</v>
      </c>
      <c r="V11" s="3854" t="s">
        <v>16</v>
      </c>
      <c r="W11" s="3327">
        <f t="shared" si="2"/>
        <v>106</v>
      </c>
      <c r="X11" s="493"/>
      <c r="Y11" s="4388"/>
      <c r="Z11" s="28" t="str">
        <f t="shared" si="7"/>
        <v>容积率</v>
      </c>
      <c r="AA11" s="28">
        <f t="shared" si="3"/>
        <v>1</v>
      </c>
      <c r="AB11" s="28">
        <f t="shared" si="4"/>
        <v>1</v>
      </c>
      <c r="AC11" s="28">
        <f t="shared" si="5"/>
        <v>0.94339622641509435</v>
      </c>
    </row>
    <row r="12" spans="1:29" s="46" customFormat="1" ht="1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38"/>
      <c r="Q12" s="1742">
        <f t="shared" si="6"/>
        <v>111</v>
      </c>
      <c r="R12" s="3854" t="s">
        <v>16</v>
      </c>
      <c r="S12" s="3327">
        <f t="shared" si="0"/>
        <v>100</v>
      </c>
      <c r="T12" s="3854" t="s">
        <v>16</v>
      </c>
      <c r="U12" s="3327">
        <f t="shared" si="1"/>
        <v>100</v>
      </c>
      <c r="V12" s="3854" t="s">
        <v>16</v>
      </c>
      <c r="W12" s="3327">
        <f t="shared" si="2"/>
        <v>100</v>
      </c>
      <c r="X12" s="493"/>
      <c r="Y12" s="4388"/>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38"/>
      <c r="Q13" s="1742">
        <f t="shared" si="6"/>
        <v>111</v>
      </c>
      <c r="R13" s="3854" t="s">
        <v>16</v>
      </c>
      <c r="S13" s="3327">
        <f t="shared" si="0"/>
        <v>100</v>
      </c>
      <c r="T13" s="3854" t="s">
        <v>16</v>
      </c>
      <c r="U13" s="3327">
        <f t="shared" si="1"/>
        <v>100</v>
      </c>
      <c r="V13" s="3854" t="s">
        <v>16</v>
      </c>
      <c r="W13" s="3327">
        <f t="shared" si="2"/>
        <v>100</v>
      </c>
      <c r="X13" s="493"/>
      <c r="Y13" s="4388"/>
      <c r="Z13" s="28">
        <f t="shared" si="7"/>
        <v>111</v>
      </c>
      <c r="AA13" s="28">
        <f t="shared" si="3"/>
        <v>1</v>
      </c>
      <c r="AB13" s="28">
        <f t="shared" si="4"/>
        <v>1</v>
      </c>
      <c r="AC13" s="28">
        <f t="shared" si="5"/>
        <v>1</v>
      </c>
    </row>
    <row r="14" spans="1:29" ht="15.75"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38"/>
      <c r="Q14" s="1742">
        <f t="shared" si="6"/>
        <v>111</v>
      </c>
      <c r="R14" s="3854" t="s">
        <v>16</v>
      </c>
      <c r="S14" s="3327">
        <f t="shared" si="0"/>
        <v>100</v>
      </c>
      <c r="T14" s="3854" t="s">
        <v>16</v>
      </c>
      <c r="U14" s="3327">
        <f t="shared" si="1"/>
        <v>100</v>
      </c>
      <c r="V14" s="3854" t="s">
        <v>16</v>
      </c>
      <c r="W14" s="3327">
        <f t="shared" si="2"/>
        <v>100</v>
      </c>
      <c r="X14" s="493"/>
      <c r="Y14" s="4388"/>
      <c r="Z14" s="28">
        <f t="shared" si="7"/>
        <v>111</v>
      </c>
      <c r="AA14" s="28">
        <f t="shared" si="3"/>
        <v>1</v>
      </c>
      <c r="AB14" s="28">
        <f t="shared" si="4"/>
        <v>1</v>
      </c>
      <c r="AC14" s="28">
        <f t="shared" si="5"/>
        <v>1</v>
      </c>
    </row>
    <row r="15" spans="1:29" ht="15">
      <c r="A15" s="263" t="s">
        <v>1604</v>
      </c>
      <c r="B15" s="2919" t="s">
        <v>1240</v>
      </c>
      <c r="C15" s="2943">
        <f>估价对象房地状况!C3</f>
        <v>0</v>
      </c>
      <c r="D15" s="3015">
        <v>100</v>
      </c>
      <c r="E15" s="2974"/>
      <c r="F15" s="3946">
        <f>SUMIF(76:76,E16,77:77)-SUMIF(76:76,C16,77:77)+100</f>
        <v>100</v>
      </c>
      <c r="G15" s="2968"/>
      <c r="H15" s="3946">
        <f>SUMIF(76:76,G16,77:77)-SUMIF(76:76,C16,77:77)+100</f>
        <v>100</v>
      </c>
      <c r="I15" s="2968"/>
      <c r="J15" s="3946">
        <f>SUMIF(76:76,I16,77:77)-SUMIF(76:76,C16,77:77)+100</f>
        <v>100</v>
      </c>
      <c r="K15" s="2929">
        <v>5</v>
      </c>
      <c r="L15" s="2026"/>
      <c r="M15" s="2021"/>
      <c r="N15" s="2021"/>
      <c r="O15" s="2021"/>
      <c r="P15" s="4443" t="s">
        <v>1605</v>
      </c>
      <c r="Q15" s="1544" t="str">
        <f t="shared" si="6"/>
        <v>居住社区成熟度</v>
      </c>
      <c r="R15" s="3960" t="s">
        <v>16</v>
      </c>
      <c r="S15" s="3328">
        <f t="shared" si="0"/>
        <v>100</v>
      </c>
      <c r="T15" s="3960" t="s">
        <v>16</v>
      </c>
      <c r="U15" s="3328">
        <f t="shared" si="1"/>
        <v>100</v>
      </c>
      <c r="V15" s="3960" t="s">
        <v>16</v>
      </c>
      <c r="W15" s="3328">
        <f t="shared" si="2"/>
        <v>100</v>
      </c>
      <c r="X15" s="946"/>
      <c r="Y15" s="4413" t="s">
        <v>1605</v>
      </c>
      <c r="Z15" s="944" t="str">
        <f t="shared" si="7"/>
        <v>居住社区成熟度</v>
      </c>
      <c r="AA15" s="944">
        <f t="shared" si="3"/>
        <v>1</v>
      </c>
      <c r="AB15" s="944">
        <f t="shared" si="4"/>
        <v>1</v>
      </c>
      <c r="AC15" s="944">
        <f t="shared" si="5"/>
        <v>1</v>
      </c>
    </row>
    <row r="16" spans="1:29" ht="15">
      <c r="A16" s="255"/>
      <c r="B16" s="2920"/>
      <c r="C16" s="2944" t="s">
        <v>3634</v>
      </c>
      <c r="D16" s="3016"/>
      <c r="E16" s="2978" t="s">
        <v>3634</v>
      </c>
      <c r="F16" s="3947"/>
      <c r="G16" s="2972" t="s">
        <v>3634</v>
      </c>
      <c r="H16" s="3948"/>
      <c r="I16" s="2972" t="s">
        <v>3634</v>
      </c>
      <c r="J16" s="3947"/>
      <c r="K16" s="2930"/>
      <c r="L16" s="2026"/>
      <c r="M16" s="2021"/>
      <c r="N16" s="2021"/>
      <c r="O16" s="2021"/>
      <c r="P16" s="4444"/>
      <c r="Q16" s="1544"/>
      <c r="R16" s="3960"/>
      <c r="S16" s="3328"/>
      <c r="T16" s="3960"/>
      <c r="U16" s="3328"/>
      <c r="V16" s="3960"/>
      <c r="W16" s="3328"/>
      <c r="X16" s="946"/>
      <c r="Y16" s="4414"/>
      <c r="Z16" s="944"/>
      <c r="AA16" s="944">
        <v>1</v>
      </c>
      <c r="AB16" s="944">
        <v>1</v>
      </c>
      <c r="AC16" s="944">
        <v>1</v>
      </c>
    </row>
    <row r="17" spans="1:29" ht="15">
      <c r="A17" s="255"/>
      <c r="B17" s="2921" t="s">
        <v>1242</v>
      </c>
      <c r="C17" s="2945">
        <f>估价对象房地状况!C6</f>
        <v>0</v>
      </c>
      <c r="D17" s="3017">
        <v>100</v>
      </c>
      <c r="E17" s="2975"/>
      <c r="F17" s="3948">
        <f>SUMIF(78:78,E18,79:79)-SUMIF(78:78,C18,79:79)+100</f>
        <v>105</v>
      </c>
      <c r="G17" s="2969"/>
      <c r="H17" s="3949">
        <f>SUMIF(78:78,G18,79:79)-SUMIF(78:78,C18,79:79)+100</f>
        <v>105</v>
      </c>
      <c r="I17" s="2969"/>
      <c r="J17" s="3949">
        <f>SUMIF(78:78,I18,79:79)-SUMIF(78:78,C18,79:79)+100</f>
        <v>100</v>
      </c>
      <c r="K17" s="2929">
        <v>5</v>
      </c>
      <c r="L17" s="2026"/>
      <c r="M17" s="2021"/>
      <c r="N17" s="2021"/>
      <c r="O17" s="2021"/>
      <c r="P17" s="4444"/>
      <c r="Q17" s="1544" t="str">
        <f>B17</f>
        <v>交通便捷度</v>
      </c>
      <c r="R17" s="3960" t="s">
        <v>16</v>
      </c>
      <c r="S17" s="3328">
        <f>F17</f>
        <v>105</v>
      </c>
      <c r="T17" s="3960" t="s">
        <v>16</v>
      </c>
      <c r="U17" s="3328">
        <f>H17</f>
        <v>105</v>
      </c>
      <c r="V17" s="3960" t="s">
        <v>16</v>
      </c>
      <c r="W17" s="3328">
        <f>J17</f>
        <v>100</v>
      </c>
      <c r="X17" s="946"/>
      <c r="Y17" s="4414"/>
      <c r="Z17" s="944" t="str">
        <f>Q17</f>
        <v>交通便捷度</v>
      </c>
      <c r="AA17" s="944">
        <f t="shared" si="3"/>
        <v>0.95238095238095233</v>
      </c>
      <c r="AB17" s="944">
        <f t="shared" si="4"/>
        <v>0.95238095238095233</v>
      </c>
      <c r="AC17" s="944">
        <f t="shared" si="5"/>
        <v>1</v>
      </c>
    </row>
    <row r="18" spans="1:29" ht="15">
      <c r="A18" s="255"/>
      <c r="B18" s="2922"/>
      <c r="C18" s="2946" t="s">
        <v>3634</v>
      </c>
      <c r="D18" s="3017"/>
      <c r="E18" s="2976" t="s">
        <v>3635</v>
      </c>
      <c r="F18" s="3948"/>
      <c r="G18" s="2970" t="s">
        <v>3635</v>
      </c>
      <c r="H18" s="3947"/>
      <c r="I18" s="2970" t="s">
        <v>3634</v>
      </c>
      <c r="J18" s="3947"/>
      <c r="K18" s="2930"/>
      <c r="L18" s="2026"/>
      <c r="M18" s="2021"/>
      <c r="N18" s="2021"/>
      <c r="O18" s="2021"/>
      <c r="P18" s="4444"/>
      <c r="Q18" s="1544"/>
      <c r="R18" s="3960"/>
      <c r="S18" s="3328"/>
      <c r="T18" s="3960"/>
      <c r="U18" s="3328"/>
      <c r="V18" s="3960"/>
      <c r="W18" s="3328"/>
      <c r="X18" s="946"/>
      <c r="Y18" s="4414"/>
      <c r="Z18" s="944"/>
      <c r="AA18" s="944">
        <v>1</v>
      </c>
      <c r="AB18" s="944">
        <v>1</v>
      </c>
      <c r="AC18" s="944">
        <v>1</v>
      </c>
    </row>
    <row r="19" spans="1:29" ht="15">
      <c r="A19" s="255"/>
      <c r="B19" s="2921" t="s">
        <v>1241</v>
      </c>
      <c r="C19" s="2945">
        <f>估价对象房地状况!C7</f>
        <v>0</v>
      </c>
      <c r="D19" s="3018">
        <v>100</v>
      </c>
      <c r="E19" s="2977"/>
      <c r="F19" s="3949">
        <f>SUMIF(80:80,E20,81:81)-SUMIF(80:80,C20,81:81)+100</f>
        <v>100</v>
      </c>
      <c r="G19" s="2971"/>
      <c r="H19" s="3948">
        <f>SUMIF(80:80,G20,81:81)-SUMIF(80:80,C20,81:81)+100</f>
        <v>100</v>
      </c>
      <c r="I19" s="2971"/>
      <c r="J19" s="3948">
        <f>SUMIF(80:80,I20,81:81)-SUMIF(80:80,C20,81:81)+100</f>
        <v>95</v>
      </c>
      <c r="K19" s="2929">
        <v>5</v>
      </c>
      <c r="L19" s="2026"/>
      <c r="M19" s="2021"/>
      <c r="N19" s="2021"/>
      <c r="O19" s="2021"/>
      <c r="P19" s="4444"/>
      <c r="Q19" s="1544" t="str">
        <f>B19</f>
        <v>公共配套设施</v>
      </c>
      <c r="R19" s="3960" t="s">
        <v>16</v>
      </c>
      <c r="S19" s="3328">
        <f>F19</f>
        <v>100</v>
      </c>
      <c r="T19" s="3960" t="s">
        <v>16</v>
      </c>
      <c r="U19" s="3328">
        <f>H19</f>
        <v>100</v>
      </c>
      <c r="V19" s="3960" t="s">
        <v>16</v>
      </c>
      <c r="W19" s="3328">
        <f>J19</f>
        <v>95</v>
      </c>
      <c r="X19" s="946"/>
      <c r="Y19" s="4414"/>
      <c r="Z19" s="944" t="str">
        <f>Q19</f>
        <v>公共配套设施</v>
      </c>
      <c r="AA19" s="944">
        <f t="shared" si="3"/>
        <v>1</v>
      </c>
      <c r="AB19" s="944">
        <f t="shared" si="4"/>
        <v>1</v>
      </c>
      <c r="AC19" s="944">
        <f t="shared" si="5"/>
        <v>1.0526315789473684</v>
      </c>
    </row>
    <row r="20" spans="1:29" ht="15">
      <c r="A20" s="255"/>
      <c r="B20" s="2922"/>
      <c r="C20" s="2944" t="s">
        <v>3635</v>
      </c>
      <c r="D20" s="3016"/>
      <c r="E20" s="2978" t="s">
        <v>3635</v>
      </c>
      <c r="F20" s="3947"/>
      <c r="G20" s="2972" t="s">
        <v>3635</v>
      </c>
      <c r="H20" s="3947"/>
      <c r="I20" s="2972" t="s">
        <v>3634</v>
      </c>
      <c r="J20" s="3947"/>
      <c r="K20" s="2930"/>
      <c r="L20" s="2026"/>
      <c r="M20" s="2021"/>
      <c r="N20" s="2021"/>
      <c r="O20" s="2021"/>
      <c r="P20" s="4444"/>
      <c r="Q20" s="1544"/>
      <c r="R20" s="3960"/>
      <c r="S20" s="3328"/>
      <c r="T20" s="3960"/>
      <c r="U20" s="3328"/>
      <c r="V20" s="3960"/>
      <c r="W20" s="3328"/>
      <c r="X20" s="946"/>
      <c r="Y20" s="4414"/>
      <c r="Z20" s="944"/>
      <c r="AA20" s="944">
        <v>1</v>
      </c>
      <c r="AB20" s="944">
        <v>1</v>
      </c>
      <c r="AC20" s="944">
        <v>1</v>
      </c>
    </row>
    <row r="21" spans="1:29" ht="15">
      <c r="A21" s="255"/>
      <c r="B21" s="2923" t="s">
        <v>1243</v>
      </c>
      <c r="C21" s="2945">
        <f>估价对象房地状况!C8</f>
        <v>0</v>
      </c>
      <c r="D21" s="3017">
        <v>100</v>
      </c>
      <c r="E21" s="2977"/>
      <c r="F21" s="3949">
        <f>SUMIF(82:82,E22,83:83)-SUMIF(82:82,C22,83:83)+100</f>
        <v>100</v>
      </c>
      <c r="G21" s="2971"/>
      <c r="H21" s="3948">
        <f>SUMIF(82:82,G22,83:83)-SUMIF(82:82,C22,83:83)+100</f>
        <v>100</v>
      </c>
      <c r="I21" s="2971"/>
      <c r="J21" s="3948">
        <f>SUMIF(82:82,I22,83:83)-SUMIF(82:82,C22,83:83)+100</f>
        <v>100</v>
      </c>
      <c r="K21" s="2929">
        <v>2</v>
      </c>
      <c r="L21" s="2026"/>
      <c r="M21" s="2021"/>
      <c r="N21" s="2021"/>
      <c r="O21" s="2021"/>
      <c r="P21" s="4444"/>
      <c r="Q21" s="1544" t="str">
        <f>B21</f>
        <v>基础设施水平</v>
      </c>
      <c r="R21" s="3960" t="s">
        <v>13</v>
      </c>
      <c r="S21" s="3328">
        <f>F21</f>
        <v>100</v>
      </c>
      <c r="T21" s="3960" t="s">
        <v>13</v>
      </c>
      <c r="U21" s="3328">
        <f>H21</f>
        <v>100</v>
      </c>
      <c r="V21" s="3960" t="s">
        <v>13</v>
      </c>
      <c r="W21" s="3328">
        <f>J21</f>
        <v>100</v>
      </c>
      <c r="X21" s="946"/>
      <c r="Y21" s="4414"/>
      <c r="Z21" s="944" t="str">
        <f>Q21</f>
        <v>基础设施水平</v>
      </c>
      <c r="AA21" s="944">
        <f t="shared" ref="AA21" si="8">D21/F21</f>
        <v>1</v>
      </c>
      <c r="AB21" s="944">
        <f t="shared" ref="AB21" si="9">D21/H21</f>
        <v>1</v>
      </c>
      <c r="AC21" s="944">
        <f t="shared" ref="AC21" si="10">D21/J21</f>
        <v>1</v>
      </c>
    </row>
    <row r="22" spans="1:29" ht="15">
      <c r="A22" s="255"/>
      <c r="B22" s="2923"/>
      <c r="C22" s="2946" t="s">
        <v>3636</v>
      </c>
      <c r="D22" s="3016"/>
      <c r="E22" s="2944" t="s">
        <v>3636</v>
      </c>
      <c r="F22" s="3947"/>
      <c r="G22" s="2994" t="s">
        <v>3636</v>
      </c>
      <c r="H22" s="3947"/>
      <c r="I22" s="2944" t="s">
        <v>3636</v>
      </c>
      <c r="J22" s="3947"/>
      <c r="K22" s="2931"/>
      <c r="L22" s="2026"/>
      <c r="M22" s="2021"/>
      <c r="N22" s="2021"/>
      <c r="O22" s="2021"/>
      <c r="P22" s="4444"/>
      <c r="Q22" s="1544"/>
      <c r="R22" s="3960"/>
      <c r="S22" s="3328"/>
      <c r="T22" s="3960"/>
      <c r="U22" s="3328"/>
      <c r="V22" s="3960"/>
      <c r="W22" s="3328"/>
      <c r="X22" s="946"/>
      <c r="Y22" s="4414"/>
      <c r="Z22" s="944"/>
      <c r="AA22" s="944">
        <v>1</v>
      </c>
      <c r="AB22" s="944">
        <v>1</v>
      </c>
      <c r="AC22" s="944">
        <v>1</v>
      </c>
    </row>
    <row r="23" spans="1:29" ht="15">
      <c r="A23" s="255"/>
      <c r="B23" s="2921" t="s">
        <v>1244</v>
      </c>
      <c r="C23" s="2945">
        <f>估价对象房地状况!C9</f>
        <v>0</v>
      </c>
      <c r="D23" s="3017">
        <v>100</v>
      </c>
      <c r="E23" s="2975"/>
      <c r="F23" s="3948">
        <f>SUMIF(84:84,E24,85:85)-SUMIF(84:84,C24,85:85)+100</f>
        <v>105</v>
      </c>
      <c r="G23" s="2969"/>
      <c r="H23" s="3948">
        <f>SUMIF(84:84,G24,85:85)-SUMIF(84:84,C24,85:85)+100</f>
        <v>105</v>
      </c>
      <c r="I23" s="2969"/>
      <c r="J23" s="3948">
        <f>SUMIF(84:84,I24,85:85)-SUMIF(84:84,C24,85:85)+100</f>
        <v>105</v>
      </c>
      <c r="K23" s="2929">
        <v>5</v>
      </c>
      <c r="L23" s="2026"/>
      <c r="M23" s="2021"/>
      <c r="N23" s="2021"/>
      <c r="O23" s="2021"/>
      <c r="P23" s="4444"/>
      <c r="Q23" s="1544" t="str">
        <f>B23</f>
        <v>自然及人文环境</v>
      </c>
      <c r="R23" s="3960" t="s">
        <v>16</v>
      </c>
      <c r="S23" s="3328">
        <f>F23</f>
        <v>105</v>
      </c>
      <c r="T23" s="3960" t="s">
        <v>16</v>
      </c>
      <c r="U23" s="3328">
        <f>H23</f>
        <v>105</v>
      </c>
      <c r="V23" s="3960" t="s">
        <v>16</v>
      </c>
      <c r="W23" s="3328">
        <f>J23</f>
        <v>105</v>
      </c>
      <c r="X23" s="946"/>
      <c r="Y23" s="4414"/>
      <c r="Z23" s="944" t="str">
        <f>Q23</f>
        <v>自然及人文环境</v>
      </c>
      <c r="AA23" s="944">
        <f>D23/F23</f>
        <v>0.95238095238095233</v>
      </c>
      <c r="AB23" s="944">
        <f>D23/H23</f>
        <v>0.95238095238095233</v>
      </c>
      <c r="AC23" s="944">
        <f>D23/J23</f>
        <v>0.95238095238095233</v>
      </c>
    </row>
    <row r="24" spans="1:29" ht="15">
      <c r="A24" s="255"/>
      <c r="B24" s="2922"/>
      <c r="C24" s="2944" t="s">
        <v>3635</v>
      </c>
      <c r="D24" s="3016"/>
      <c r="E24" s="2978" t="s">
        <v>3971</v>
      </c>
      <c r="F24" s="3947"/>
      <c r="G24" s="2972" t="s">
        <v>3971</v>
      </c>
      <c r="H24" s="3947"/>
      <c r="I24" s="2972" t="s">
        <v>3971</v>
      </c>
      <c r="J24" s="3947"/>
      <c r="K24" s="2930"/>
      <c r="L24" s="2026"/>
      <c r="M24" s="2021"/>
      <c r="N24" s="2021"/>
      <c r="O24" s="2021"/>
      <c r="P24" s="4444"/>
      <c r="Q24" s="1544"/>
      <c r="R24" s="3960"/>
      <c r="S24" s="3328"/>
      <c r="T24" s="3960"/>
      <c r="U24" s="3328"/>
      <c r="V24" s="3960"/>
      <c r="W24" s="3328"/>
      <c r="X24" s="946"/>
      <c r="Y24" s="4414"/>
      <c r="Z24" s="944"/>
      <c r="AA24" s="944">
        <v>1</v>
      </c>
      <c r="AB24" s="944">
        <v>1</v>
      </c>
      <c r="AC24" s="944">
        <v>1</v>
      </c>
    </row>
    <row r="25" spans="1:29" ht="15">
      <c r="A25" s="255"/>
      <c r="B25" s="2913" t="s">
        <v>1606</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444"/>
      <c r="Q25" s="1544" t="str">
        <f t="shared" ref="Q25:Q46" si="11">B25</f>
        <v>楼层-1</v>
      </c>
      <c r="R25" s="3960" t="s">
        <v>16</v>
      </c>
      <c r="S25" s="3328">
        <f t="shared" ref="S25:S46" si="12">F25</f>
        <v>100</v>
      </c>
      <c r="T25" s="3960" t="s">
        <v>16</v>
      </c>
      <c r="U25" s="3328">
        <f t="shared" ref="U25:U46" si="13">H25</f>
        <v>100</v>
      </c>
      <c r="V25" s="3960" t="s">
        <v>16</v>
      </c>
      <c r="W25" s="3328">
        <f t="shared" ref="W25:W46" si="14">J25</f>
        <v>100</v>
      </c>
      <c r="X25" s="946"/>
      <c r="Y25" s="4414"/>
      <c r="Z25" s="944" t="str">
        <f>Q25</f>
        <v>楼层-1</v>
      </c>
      <c r="AA25" s="944">
        <f t="shared" ref="AA25:AA46" si="15">D25/F25</f>
        <v>1</v>
      </c>
      <c r="AB25" s="944">
        <f t="shared" ref="AB25:AB46" si="16">D25/H25</f>
        <v>1</v>
      </c>
      <c r="AC25" s="944">
        <f t="shared" ref="AC25:AC46" si="17">D25/J25</f>
        <v>1</v>
      </c>
    </row>
    <row r="26" spans="1:29" ht="15">
      <c r="A26" s="255"/>
      <c r="B26" s="2913" t="s">
        <v>1607</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444"/>
      <c r="Q26" s="1544" t="str">
        <f t="shared" si="11"/>
        <v>朝向</v>
      </c>
      <c r="R26" s="3960" t="s">
        <v>16</v>
      </c>
      <c r="S26" s="3328">
        <f t="shared" si="12"/>
        <v>100</v>
      </c>
      <c r="T26" s="3960" t="s">
        <v>16</v>
      </c>
      <c r="U26" s="3328">
        <f t="shared" si="13"/>
        <v>100</v>
      </c>
      <c r="V26" s="3960" t="s">
        <v>16</v>
      </c>
      <c r="W26" s="3328">
        <f t="shared" si="14"/>
        <v>100</v>
      </c>
      <c r="X26" s="946"/>
      <c r="Y26" s="4414"/>
      <c r="Z26" s="944" t="str">
        <f>Q26</f>
        <v>朝向</v>
      </c>
      <c r="AA26" s="944">
        <f t="shared" si="15"/>
        <v>1</v>
      </c>
      <c r="AB26" s="944">
        <f t="shared" si="16"/>
        <v>1</v>
      </c>
      <c r="AC26" s="944">
        <f t="shared" si="17"/>
        <v>1</v>
      </c>
    </row>
    <row r="27" spans="1:29" s="46" customFormat="1" ht="1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444"/>
      <c r="Q27" s="1742">
        <f t="shared" si="11"/>
        <v>111</v>
      </c>
      <c r="R27" s="3854" t="s">
        <v>16</v>
      </c>
      <c r="S27" s="3327">
        <f t="shared" si="12"/>
        <v>100</v>
      </c>
      <c r="T27" s="3854" t="s">
        <v>16</v>
      </c>
      <c r="U27" s="3327">
        <f t="shared" si="13"/>
        <v>100</v>
      </c>
      <c r="V27" s="3854" t="s">
        <v>16</v>
      </c>
      <c r="W27" s="3327">
        <f t="shared" si="14"/>
        <v>100</v>
      </c>
      <c r="X27" s="493"/>
      <c r="Y27" s="4414"/>
      <c r="Z27" s="28">
        <f>Q27</f>
        <v>111</v>
      </c>
      <c r="AA27" s="944">
        <f t="shared" si="15"/>
        <v>1</v>
      </c>
      <c r="AB27" s="944">
        <f t="shared" si="16"/>
        <v>1</v>
      </c>
      <c r="AC27" s="944">
        <f t="shared" si="17"/>
        <v>1</v>
      </c>
    </row>
    <row r="28" spans="1:29" ht="1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444"/>
      <c r="Q28" s="1544">
        <f t="shared" si="11"/>
        <v>111</v>
      </c>
      <c r="R28" s="3960" t="s">
        <v>16</v>
      </c>
      <c r="S28" s="3328">
        <f t="shared" si="12"/>
        <v>100</v>
      </c>
      <c r="T28" s="3960" t="s">
        <v>16</v>
      </c>
      <c r="U28" s="3328">
        <f t="shared" si="13"/>
        <v>100</v>
      </c>
      <c r="V28" s="3960" t="s">
        <v>16</v>
      </c>
      <c r="W28" s="3328">
        <f t="shared" si="14"/>
        <v>100</v>
      </c>
      <c r="X28" s="946"/>
      <c r="Y28" s="4414"/>
      <c r="Z28" s="944">
        <f t="shared" ref="Z28:Z46" si="18">Q28</f>
        <v>111</v>
      </c>
      <c r="AA28" s="944">
        <f t="shared" si="15"/>
        <v>1</v>
      </c>
      <c r="AB28" s="944">
        <f t="shared" si="16"/>
        <v>1</v>
      </c>
      <c r="AC28" s="944">
        <f t="shared" si="17"/>
        <v>1</v>
      </c>
    </row>
    <row r="29" spans="1:29" ht="1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444"/>
      <c r="Q29" s="1544">
        <f t="shared" si="11"/>
        <v>111</v>
      </c>
      <c r="R29" s="3960" t="s">
        <v>16</v>
      </c>
      <c r="S29" s="3328">
        <f t="shared" si="12"/>
        <v>100</v>
      </c>
      <c r="T29" s="3960" t="s">
        <v>16</v>
      </c>
      <c r="U29" s="3328">
        <f t="shared" si="13"/>
        <v>100</v>
      </c>
      <c r="V29" s="3960" t="s">
        <v>16</v>
      </c>
      <c r="W29" s="3328">
        <f t="shared" si="14"/>
        <v>100</v>
      </c>
      <c r="X29" s="946"/>
      <c r="Y29" s="4414"/>
      <c r="Z29" s="944">
        <f t="shared" si="18"/>
        <v>111</v>
      </c>
      <c r="AA29" s="944">
        <f t="shared" si="15"/>
        <v>1</v>
      </c>
      <c r="AB29" s="944">
        <f t="shared" si="16"/>
        <v>1</v>
      </c>
      <c r="AC29" s="944">
        <f t="shared" si="17"/>
        <v>1</v>
      </c>
    </row>
    <row r="30" spans="1:29" ht="1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444"/>
      <c r="Q30" s="1544">
        <f t="shared" si="11"/>
        <v>111</v>
      </c>
      <c r="R30" s="3960" t="s">
        <v>16</v>
      </c>
      <c r="S30" s="3328">
        <f t="shared" si="12"/>
        <v>100</v>
      </c>
      <c r="T30" s="3960" t="s">
        <v>16</v>
      </c>
      <c r="U30" s="3328">
        <f t="shared" si="13"/>
        <v>100</v>
      </c>
      <c r="V30" s="3960" t="s">
        <v>16</v>
      </c>
      <c r="W30" s="3328">
        <f t="shared" si="14"/>
        <v>100</v>
      </c>
      <c r="X30" s="946"/>
      <c r="Y30" s="4414"/>
      <c r="Z30" s="944">
        <f t="shared" si="18"/>
        <v>111</v>
      </c>
      <c r="AA30" s="944">
        <f t="shared" si="15"/>
        <v>1</v>
      </c>
      <c r="AB30" s="944">
        <f t="shared" si="16"/>
        <v>1</v>
      </c>
      <c r="AC30" s="944">
        <f t="shared" si="17"/>
        <v>1</v>
      </c>
    </row>
    <row r="31" spans="1:29" ht="15.75"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444"/>
      <c r="Q31" s="1544">
        <f t="shared" si="11"/>
        <v>111</v>
      </c>
      <c r="R31" s="3960" t="s">
        <v>16</v>
      </c>
      <c r="S31" s="3328">
        <f t="shared" si="12"/>
        <v>100</v>
      </c>
      <c r="T31" s="3960" t="s">
        <v>16</v>
      </c>
      <c r="U31" s="3328">
        <f t="shared" si="13"/>
        <v>100</v>
      </c>
      <c r="V31" s="3960" t="s">
        <v>16</v>
      </c>
      <c r="W31" s="3328">
        <f t="shared" si="14"/>
        <v>100</v>
      </c>
      <c r="X31" s="946"/>
      <c r="Y31" s="4414"/>
      <c r="Z31" s="944">
        <f t="shared" si="18"/>
        <v>111</v>
      </c>
      <c r="AA31" s="944">
        <f t="shared" si="15"/>
        <v>1</v>
      </c>
      <c r="AB31" s="944">
        <f t="shared" si="16"/>
        <v>1</v>
      </c>
      <c r="AC31" s="944">
        <f t="shared" si="17"/>
        <v>1</v>
      </c>
    </row>
    <row r="32" spans="1:29" ht="15">
      <c r="A32" s="263" t="s">
        <v>1608</v>
      </c>
      <c r="B32" s="2916" t="s">
        <v>1609</v>
      </c>
      <c r="C32" s="2948" t="s">
        <v>3998</v>
      </c>
      <c r="D32" s="3020">
        <v>100</v>
      </c>
      <c r="E32" s="2990" t="s">
        <v>3998</v>
      </c>
      <c r="F32" s="3953">
        <f>SUMIF(100:100,E32,101:101)-SUMIF(100:100,C32,101:101)+100</f>
        <v>100</v>
      </c>
      <c r="G32" s="2948" t="s">
        <v>3998</v>
      </c>
      <c r="H32" s="3957">
        <f>SUMIF(100:100,G32,101:101)-SUMIF(100:100,C32,101:101)+100</f>
        <v>100</v>
      </c>
      <c r="I32" s="2990" t="s">
        <v>4001</v>
      </c>
      <c r="J32" s="3950">
        <f>SUMIF(100:100,I32,101:101)-SUMIF(100:100,C32,101:101)+100</f>
        <v>105</v>
      </c>
      <c r="K32" s="2927">
        <v>5</v>
      </c>
      <c r="L32" s="2026"/>
      <c r="M32" s="2021"/>
      <c r="N32" s="2021"/>
      <c r="O32" s="2021"/>
      <c r="P32" s="4439" t="s">
        <v>1610</v>
      </c>
      <c r="Q32" s="1544" t="str">
        <f t="shared" si="11"/>
        <v>建筑类型</v>
      </c>
      <c r="R32" s="3960" t="s">
        <v>16</v>
      </c>
      <c r="S32" s="3328">
        <f t="shared" si="12"/>
        <v>100</v>
      </c>
      <c r="T32" s="3960" t="s">
        <v>16</v>
      </c>
      <c r="U32" s="3328">
        <f t="shared" si="13"/>
        <v>100</v>
      </c>
      <c r="V32" s="3960" t="s">
        <v>16</v>
      </c>
      <c r="W32" s="3328">
        <f t="shared" si="14"/>
        <v>105</v>
      </c>
      <c r="X32" s="946"/>
      <c r="Y32" s="4417" t="s">
        <v>1610</v>
      </c>
      <c r="Z32" s="944" t="str">
        <f t="shared" si="18"/>
        <v>建筑类型</v>
      </c>
      <c r="AA32" s="944">
        <f t="shared" si="15"/>
        <v>1</v>
      </c>
      <c r="AB32" s="944">
        <f t="shared" si="16"/>
        <v>1</v>
      </c>
      <c r="AC32" s="944">
        <f t="shared" si="17"/>
        <v>0.95238095238095233</v>
      </c>
    </row>
    <row r="33" spans="1:29" s="280" customFormat="1" ht="15">
      <c r="A33" s="278"/>
      <c r="B33" s="2913" t="s">
        <v>1611</v>
      </c>
      <c r="C33" s="3005">
        <v>72825.102000000014</v>
      </c>
      <c r="D33" s="3011">
        <v>100</v>
      </c>
      <c r="E33" s="2966">
        <v>102561.97</v>
      </c>
      <c r="F33" s="3944">
        <f>LOOKUP(E33,103:103,104:104)-LOOKUP(C33,103:103,104:104)+100</f>
        <v>101</v>
      </c>
      <c r="G33" s="2938">
        <v>95114.98</v>
      </c>
      <c r="H33" s="3956">
        <f>LOOKUP(G33,103:103,104:104)-LOOKUP(C33,103:103,104:104)+100</f>
        <v>100</v>
      </c>
      <c r="I33" s="2966">
        <v>89552.29</v>
      </c>
      <c r="J33" s="3956">
        <f>LOOKUP(I33,103:103,104:104)-LOOKUP(C33,103:103,104:104)+100</f>
        <v>100</v>
      </c>
      <c r="K33" s="2928"/>
      <c r="L33" s="2025"/>
      <c r="M33" s="2027"/>
      <c r="N33" s="2027"/>
      <c r="O33" s="2027"/>
      <c r="P33" s="4440"/>
      <c r="Q33" s="392" t="str">
        <f t="shared" si="11"/>
        <v>项目建筑规模</v>
      </c>
      <c r="R33" s="3961" t="s">
        <v>16</v>
      </c>
      <c r="S33" s="3329">
        <f t="shared" si="12"/>
        <v>101</v>
      </c>
      <c r="T33" s="3961" t="s">
        <v>16</v>
      </c>
      <c r="U33" s="3329">
        <f t="shared" si="13"/>
        <v>100</v>
      </c>
      <c r="V33" s="3961" t="s">
        <v>16</v>
      </c>
      <c r="W33" s="3329">
        <f t="shared" si="14"/>
        <v>100</v>
      </c>
      <c r="X33" s="494"/>
      <c r="Y33" s="4417"/>
      <c r="Z33" s="495" t="str">
        <f t="shared" si="18"/>
        <v>项目建筑规模</v>
      </c>
      <c r="AA33" s="944">
        <f t="shared" si="15"/>
        <v>0.99009900990099009</v>
      </c>
      <c r="AB33" s="944">
        <f t="shared" si="16"/>
        <v>1</v>
      </c>
      <c r="AC33" s="944">
        <f t="shared" si="17"/>
        <v>1</v>
      </c>
    </row>
    <row r="34" spans="1:29" ht="15">
      <c r="A34" s="281"/>
      <c r="B34" s="2913" t="s">
        <v>1612</v>
      </c>
      <c r="C34" s="2947" t="s">
        <v>3979</v>
      </c>
      <c r="D34" s="3013">
        <v>100</v>
      </c>
      <c r="E34" s="2991" t="s">
        <v>3979</v>
      </c>
      <c r="F34" s="3953">
        <f>SUMIF(105:105,E34,106:106)-SUMIF(105:105,C34,106:106)+100</f>
        <v>100</v>
      </c>
      <c r="G34" s="2947" t="s">
        <v>3979</v>
      </c>
      <c r="H34" s="3950">
        <f>SUMIF(105:105,G34,106:106)-SUMIF(105:105,C34,106:106)+100</f>
        <v>100</v>
      </c>
      <c r="I34" s="2991" t="s">
        <v>3979</v>
      </c>
      <c r="J34" s="3950">
        <f>SUMIF(105:105,I34,106:106)-SUMIF(105:105,C34,106:106)+100</f>
        <v>100</v>
      </c>
      <c r="K34" s="2927">
        <v>2</v>
      </c>
      <c r="L34" s="2026"/>
      <c r="M34" s="2021"/>
      <c r="N34" s="2021"/>
      <c r="O34" s="2021"/>
      <c r="P34" s="4440"/>
      <c r="Q34" s="1544" t="str">
        <f t="shared" si="11"/>
        <v>建筑结构</v>
      </c>
      <c r="R34" s="3960" t="s">
        <v>16</v>
      </c>
      <c r="S34" s="3328">
        <f t="shared" si="12"/>
        <v>100</v>
      </c>
      <c r="T34" s="3960" t="s">
        <v>16</v>
      </c>
      <c r="U34" s="3328">
        <f t="shared" si="13"/>
        <v>100</v>
      </c>
      <c r="V34" s="3960" t="s">
        <v>16</v>
      </c>
      <c r="W34" s="3328">
        <f t="shared" si="14"/>
        <v>100</v>
      </c>
      <c r="X34" s="946"/>
      <c r="Y34" s="4417"/>
      <c r="Z34" s="944" t="str">
        <f t="shared" si="18"/>
        <v>建筑结构</v>
      </c>
      <c r="AA34" s="944">
        <f t="shared" si="15"/>
        <v>1</v>
      </c>
      <c r="AB34" s="944">
        <f t="shared" si="16"/>
        <v>1</v>
      </c>
      <c r="AC34" s="944">
        <f t="shared" si="17"/>
        <v>1</v>
      </c>
    </row>
    <row r="35" spans="1:29" ht="15">
      <c r="A35" s="281"/>
      <c r="B35" s="2913" t="s">
        <v>1613</v>
      </c>
      <c r="C35" s="2950" t="s">
        <v>4003</v>
      </c>
      <c r="D35" s="3013">
        <v>100</v>
      </c>
      <c r="E35" s="2992" t="s">
        <v>3999</v>
      </c>
      <c r="F35" s="3953">
        <f>SUMIF(107:107,E35,108:108)-SUMIF(107:107,C35,108:108)+100</f>
        <v>105</v>
      </c>
      <c r="G35" s="2950" t="s">
        <v>3999</v>
      </c>
      <c r="H35" s="3950">
        <f>SUMIF(107:107,G35,108:108)-SUMIF(107:107,C35,108:108)+100</f>
        <v>105</v>
      </c>
      <c r="I35" s="2992" t="s">
        <v>3999</v>
      </c>
      <c r="J35" s="3950">
        <f>SUMIF(107:107,I35,108:108)-SUMIF(107:107,C35,108:108)+100</f>
        <v>105</v>
      </c>
      <c r="K35" s="2927">
        <v>5</v>
      </c>
      <c r="L35" s="2026"/>
      <c r="M35" s="2021"/>
      <c r="N35" s="2021"/>
      <c r="O35" s="2021"/>
      <c r="P35" s="4440"/>
      <c r="Q35" s="1544" t="str">
        <f t="shared" si="11"/>
        <v>建筑品质</v>
      </c>
      <c r="R35" s="3960" t="s">
        <v>16</v>
      </c>
      <c r="S35" s="3328">
        <f t="shared" si="12"/>
        <v>105</v>
      </c>
      <c r="T35" s="3960" t="s">
        <v>16</v>
      </c>
      <c r="U35" s="3328">
        <f t="shared" si="13"/>
        <v>105</v>
      </c>
      <c r="V35" s="3960" t="s">
        <v>16</v>
      </c>
      <c r="W35" s="3328">
        <f t="shared" si="14"/>
        <v>105</v>
      </c>
      <c r="X35" s="946"/>
      <c r="Y35" s="4417"/>
      <c r="Z35" s="944" t="str">
        <f t="shared" si="18"/>
        <v>建筑品质</v>
      </c>
      <c r="AA35" s="944">
        <f t="shared" si="15"/>
        <v>0.95238095238095233</v>
      </c>
      <c r="AB35" s="944">
        <f t="shared" si="16"/>
        <v>0.95238095238095233</v>
      </c>
      <c r="AC35" s="944">
        <f t="shared" si="17"/>
        <v>0.95238095238095233</v>
      </c>
    </row>
    <row r="36" spans="1:29" ht="15">
      <c r="A36" s="281"/>
      <c r="B36" s="2913" t="s">
        <v>1614</v>
      </c>
      <c r="C36" s="2950" t="s">
        <v>4000</v>
      </c>
      <c r="D36" s="3013">
        <v>100</v>
      </c>
      <c r="E36" s="2992" t="s">
        <v>4000</v>
      </c>
      <c r="F36" s="3953">
        <f>SUMIF(109:109,E36,110:110)-SUMIF(109:109,C36,110:110)+100</f>
        <v>100</v>
      </c>
      <c r="G36" s="2950" t="s">
        <v>4000</v>
      </c>
      <c r="H36" s="3950">
        <f>SUMIF(109:109,G36,110:110)-SUMIF(109:109,C36,110:110)+100</f>
        <v>100</v>
      </c>
      <c r="I36" s="2992" t="s">
        <v>4000</v>
      </c>
      <c r="J36" s="3950">
        <f>SUMIF(109:109,I36,110:110)-SUMIF(109:109,C36,110:110)+100</f>
        <v>100</v>
      </c>
      <c r="K36" s="2927">
        <v>2</v>
      </c>
      <c r="L36" s="2026"/>
      <c r="M36" s="2021"/>
      <c r="N36" s="2021"/>
      <c r="O36" s="2021"/>
      <c r="P36" s="4440"/>
      <c r="Q36" s="1544" t="str">
        <f t="shared" si="11"/>
        <v>公共部分装修</v>
      </c>
      <c r="R36" s="3960" t="s">
        <v>16</v>
      </c>
      <c r="S36" s="3328">
        <f t="shared" si="12"/>
        <v>100</v>
      </c>
      <c r="T36" s="3960" t="s">
        <v>16</v>
      </c>
      <c r="U36" s="3328">
        <f t="shared" si="13"/>
        <v>100</v>
      </c>
      <c r="V36" s="3960" t="s">
        <v>16</v>
      </c>
      <c r="W36" s="3328">
        <f t="shared" si="14"/>
        <v>100</v>
      </c>
      <c r="X36" s="946"/>
      <c r="Y36" s="4417"/>
      <c r="Z36" s="944" t="str">
        <f t="shared" si="18"/>
        <v>公共部分装修</v>
      </c>
      <c r="AA36" s="944">
        <f t="shared" si="15"/>
        <v>1</v>
      </c>
      <c r="AB36" s="944">
        <f t="shared" si="16"/>
        <v>1</v>
      </c>
      <c r="AC36" s="944">
        <f t="shared" si="17"/>
        <v>1</v>
      </c>
    </row>
    <row r="37" spans="1:29" s="46" customFormat="1" ht="15">
      <c r="A37" s="282"/>
      <c r="B37" s="2913" t="s">
        <v>1615</v>
      </c>
      <c r="C37" s="2951">
        <v>1</v>
      </c>
      <c r="D37" s="3011">
        <v>100</v>
      </c>
      <c r="E37" s="2951">
        <v>1</v>
      </c>
      <c r="F37" s="3944">
        <f>LOOKUP(E37,112:112,113:113)-LOOKUP(C37,112:112,113:113)+100</f>
        <v>100</v>
      </c>
      <c r="G37" s="2998">
        <v>1</v>
      </c>
      <c r="H37" s="3956">
        <f>LOOKUP(G37,112:112,113:113)-LOOKUP(C37,112:112,113:113)+100</f>
        <v>100</v>
      </c>
      <c r="I37" s="2999">
        <v>1</v>
      </c>
      <c r="J37" s="3956">
        <f>LOOKUP(I37,112:112,113:113)-LOOKUP(C37,112:112,113:113)+100</f>
        <v>100</v>
      </c>
      <c r="K37" s="2927">
        <v>2</v>
      </c>
      <c r="L37" s="2022"/>
      <c r="M37" s="1973"/>
      <c r="N37" s="1973"/>
      <c r="O37" s="1973"/>
      <c r="P37" s="4440"/>
      <c r="Q37" s="1742" t="str">
        <f t="shared" si="11"/>
        <v>成新度</v>
      </c>
      <c r="R37" s="3854" t="s">
        <v>16</v>
      </c>
      <c r="S37" s="3327">
        <f t="shared" si="12"/>
        <v>100</v>
      </c>
      <c r="T37" s="3854" t="s">
        <v>16</v>
      </c>
      <c r="U37" s="3327">
        <f t="shared" si="13"/>
        <v>100</v>
      </c>
      <c r="V37" s="3854" t="s">
        <v>16</v>
      </c>
      <c r="W37" s="3327">
        <f t="shared" si="14"/>
        <v>100</v>
      </c>
      <c r="X37" s="493"/>
      <c r="Y37" s="4417"/>
      <c r="Z37" s="28" t="str">
        <f t="shared" si="18"/>
        <v>成新度</v>
      </c>
      <c r="AA37" s="28">
        <f t="shared" si="15"/>
        <v>1</v>
      </c>
      <c r="AB37" s="28">
        <f t="shared" si="16"/>
        <v>1</v>
      </c>
      <c r="AC37" s="28">
        <f t="shared" si="17"/>
        <v>1</v>
      </c>
    </row>
    <row r="38" spans="1:29" ht="15">
      <c r="A38" s="281"/>
      <c r="B38" s="2913" t="s">
        <v>1616</v>
      </c>
      <c r="C38" s="2950" t="s">
        <v>3987</v>
      </c>
      <c r="D38" s="3013">
        <v>100</v>
      </c>
      <c r="E38" s="2992" t="s">
        <v>3987</v>
      </c>
      <c r="F38" s="3953">
        <f>SUMIF(114:114,E38,115:115)-SUMIF(114:114,C38,115:115)+100</f>
        <v>100</v>
      </c>
      <c r="G38" s="2950" t="s">
        <v>3987</v>
      </c>
      <c r="H38" s="3950">
        <f>SUMIF(114:114,G38,115:115)-SUMIF(114:114,C38,115:115)+100</f>
        <v>100</v>
      </c>
      <c r="I38" s="2992" t="s">
        <v>4002</v>
      </c>
      <c r="J38" s="3950">
        <f>SUMIF(114:114,I38,115:115)-SUMIF(114:114,C38,115:115)+100</f>
        <v>100</v>
      </c>
      <c r="K38" s="2927">
        <v>2</v>
      </c>
      <c r="L38" s="2026"/>
      <c r="M38" s="2021"/>
      <c r="N38" s="2021"/>
      <c r="O38" s="2021"/>
      <c r="P38" s="4440" t="s">
        <v>1610</v>
      </c>
      <c r="Q38" s="1544" t="str">
        <f t="shared" si="11"/>
        <v>物业管理</v>
      </c>
      <c r="R38" s="3960" t="s">
        <v>16</v>
      </c>
      <c r="S38" s="3328">
        <f t="shared" si="12"/>
        <v>100</v>
      </c>
      <c r="T38" s="3960" t="s">
        <v>16</v>
      </c>
      <c r="U38" s="3328">
        <f t="shared" si="13"/>
        <v>100</v>
      </c>
      <c r="V38" s="3960" t="s">
        <v>16</v>
      </c>
      <c r="W38" s="3328">
        <f t="shared" si="14"/>
        <v>100</v>
      </c>
      <c r="X38" s="946"/>
      <c r="Y38" s="4417" t="s">
        <v>1610</v>
      </c>
      <c r="Z38" s="944" t="str">
        <f t="shared" si="18"/>
        <v>物业管理</v>
      </c>
      <c r="AA38" s="944">
        <f t="shared" si="15"/>
        <v>1</v>
      </c>
      <c r="AB38" s="944">
        <f t="shared" si="16"/>
        <v>1</v>
      </c>
      <c r="AC38" s="944">
        <f t="shared" si="17"/>
        <v>1</v>
      </c>
    </row>
    <row r="39" spans="1:29" ht="15">
      <c r="A39" s="281"/>
      <c r="B39" s="2913" t="s">
        <v>1617</v>
      </c>
      <c r="C39" s="2950" t="s">
        <v>3636</v>
      </c>
      <c r="D39" s="3013">
        <v>100</v>
      </c>
      <c r="E39" s="2992" t="s">
        <v>3636</v>
      </c>
      <c r="F39" s="3953">
        <f>SUMIF(116:116,E39,117:117)-SUMIF(116:116,C39,117:117)+100</f>
        <v>100</v>
      </c>
      <c r="G39" s="2950" t="s">
        <v>3636</v>
      </c>
      <c r="H39" s="3950">
        <f>SUMIF(116:116,G39,117:117)-SUMIF(116:116,C39,117:117)+100</f>
        <v>100</v>
      </c>
      <c r="I39" s="2992" t="s">
        <v>3637</v>
      </c>
      <c r="J39" s="3950">
        <f>SUMIF(116:116,I39,117:117)-SUMIF(116:116,C39,117:117)+100</f>
        <v>99</v>
      </c>
      <c r="K39" s="2927">
        <v>1</v>
      </c>
      <c r="L39" s="2026"/>
      <c r="M39" s="2021"/>
      <c r="N39" s="2021"/>
      <c r="O39" s="2021"/>
      <c r="P39" s="4440"/>
      <c r="Q39" s="1544" t="str">
        <f t="shared" si="11"/>
        <v>市政基础设施</v>
      </c>
      <c r="R39" s="3960" t="s">
        <v>16</v>
      </c>
      <c r="S39" s="3328">
        <f t="shared" si="12"/>
        <v>100</v>
      </c>
      <c r="T39" s="3960" t="s">
        <v>16</v>
      </c>
      <c r="U39" s="3328">
        <f t="shared" si="13"/>
        <v>100</v>
      </c>
      <c r="V39" s="3960" t="s">
        <v>16</v>
      </c>
      <c r="W39" s="3328">
        <f t="shared" si="14"/>
        <v>99</v>
      </c>
      <c r="X39" s="946"/>
      <c r="Y39" s="4417"/>
      <c r="Z39" s="944" t="str">
        <f t="shared" si="18"/>
        <v>市政基础设施</v>
      </c>
      <c r="AA39" s="944">
        <f t="shared" si="15"/>
        <v>1</v>
      </c>
      <c r="AB39" s="944">
        <f t="shared" si="16"/>
        <v>1</v>
      </c>
      <c r="AC39" s="944">
        <f t="shared" si="17"/>
        <v>1.0101010101010102</v>
      </c>
    </row>
    <row r="40" spans="1:29" ht="15">
      <c r="A40" s="281"/>
      <c r="B40" s="2913" t="s">
        <v>1618</v>
      </c>
      <c r="C40" s="4594" t="s">
        <v>4035</v>
      </c>
      <c r="D40" s="3013">
        <v>100</v>
      </c>
      <c r="E40" s="2992" t="s">
        <v>4035</v>
      </c>
      <c r="F40" s="3953">
        <f>SUMIF(118:118,E40,119:119)-SUMIF(118:118,C40,119:119)+100</f>
        <v>100</v>
      </c>
      <c r="G40" s="2950" t="s">
        <v>4035</v>
      </c>
      <c r="H40" s="3950">
        <f>SUMIF(118:118,G40,119:119)-SUMIF(118:118,C40,119:119)+100</f>
        <v>100</v>
      </c>
      <c r="I40" s="2992" t="s">
        <v>4035</v>
      </c>
      <c r="J40" s="3950">
        <f>SUMIF(118:118,I40,119:119)-SUMIF(118:118,C40,119:119)+100</f>
        <v>100</v>
      </c>
      <c r="K40" s="2927"/>
      <c r="L40" s="2026"/>
      <c r="M40" s="2021"/>
      <c r="N40" s="2021"/>
      <c r="O40" s="2021"/>
      <c r="P40" s="4440"/>
      <c r="Q40" s="1544" t="str">
        <f t="shared" si="11"/>
        <v>房型</v>
      </c>
      <c r="R40" s="3960" t="s">
        <v>16</v>
      </c>
      <c r="S40" s="3328">
        <f t="shared" si="12"/>
        <v>100</v>
      </c>
      <c r="T40" s="3960" t="s">
        <v>16</v>
      </c>
      <c r="U40" s="3328">
        <f t="shared" si="13"/>
        <v>100</v>
      </c>
      <c r="V40" s="3960" t="s">
        <v>16</v>
      </c>
      <c r="W40" s="3328">
        <f t="shared" si="14"/>
        <v>100</v>
      </c>
      <c r="X40" s="946"/>
      <c r="Y40" s="4417"/>
      <c r="Z40" s="944" t="str">
        <f t="shared" si="18"/>
        <v>房型</v>
      </c>
      <c r="AA40" s="944">
        <f t="shared" si="15"/>
        <v>1</v>
      </c>
      <c r="AB40" s="944">
        <f t="shared" si="16"/>
        <v>1</v>
      </c>
      <c r="AC40" s="944">
        <f t="shared" si="17"/>
        <v>1</v>
      </c>
    </row>
    <row r="41" spans="1:29" s="280" customFormat="1" ht="28.5">
      <c r="A41" s="278"/>
      <c r="B41" s="2913" t="s">
        <v>1619</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440"/>
      <c r="Q41" s="392" t="str">
        <f t="shared" si="11"/>
        <v>单套/主力户型建筑面积</v>
      </c>
      <c r="R41" s="3961" t="s">
        <v>16</v>
      </c>
      <c r="S41" s="3329">
        <f t="shared" si="12"/>
        <v>100</v>
      </c>
      <c r="T41" s="3961" t="s">
        <v>16</v>
      </c>
      <c r="U41" s="3329">
        <f t="shared" si="13"/>
        <v>100</v>
      </c>
      <c r="V41" s="3961" t="s">
        <v>16</v>
      </c>
      <c r="W41" s="3329">
        <f t="shared" si="14"/>
        <v>100</v>
      </c>
      <c r="X41" s="494"/>
      <c r="Y41" s="4417"/>
      <c r="Z41" s="495" t="str">
        <f t="shared" si="18"/>
        <v>单套/主力户型建筑面积</v>
      </c>
      <c r="AA41" s="944">
        <f t="shared" si="15"/>
        <v>1</v>
      </c>
      <c r="AB41" s="944">
        <f t="shared" si="16"/>
        <v>1</v>
      </c>
      <c r="AC41" s="944">
        <f t="shared" si="17"/>
        <v>1</v>
      </c>
    </row>
    <row r="42" spans="1:29" ht="15">
      <c r="A42" s="281"/>
      <c r="B42" s="2913" t="s">
        <v>1620</v>
      </c>
      <c r="C42" s="2950" t="s">
        <v>4000</v>
      </c>
      <c r="D42" s="3013">
        <v>100</v>
      </c>
      <c r="E42" s="2992" t="s">
        <v>4000</v>
      </c>
      <c r="F42" s="3953">
        <f>SUMIF(122:122,E42,123:123)-SUMIF(122:122,C42,123:123)+100</f>
        <v>100</v>
      </c>
      <c r="G42" s="2950" t="s">
        <v>4000</v>
      </c>
      <c r="H42" s="3950">
        <f>SUMIF(122:122,G42,123:123)-SUMIF(122:122,C42,123:123)+100</f>
        <v>100</v>
      </c>
      <c r="I42" s="2992" t="s">
        <v>4000</v>
      </c>
      <c r="J42" s="3950">
        <f>SUMIF(122:122,I42,123:123)-SUMIF(122:122,C42,123:123)+100</f>
        <v>100</v>
      </c>
      <c r="K42" s="2927"/>
      <c r="L42" s="2026"/>
      <c r="M42" s="2021"/>
      <c r="N42" s="2021"/>
      <c r="O42" s="2021"/>
      <c r="P42" s="4440"/>
      <c r="Q42" s="1544" t="str">
        <f t="shared" si="11"/>
        <v>内部装修</v>
      </c>
      <c r="R42" s="3960" t="s">
        <v>16</v>
      </c>
      <c r="S42" s="3328">
        <f t="shared" si="12"/>
        <v>100</v>
      </c>
      <c r="T42" s="3960" t="s">
        <v>16</v>
      </c>
      <c r="U42" s="3328">
        <f t="shared" si="13"/>
        <v>100</v>
      </c>
      <c r="V42" s="3960" t="s">
        <v>16</v>
      </c>
      <c r="W42" s="3328">
        <f t="shared" si="14"/>
        <v>100</v>
      </c>
      <c r="X42" s="946"/>
      <c r="Y42" s="4417"/>
      <c r="Z42" s="944" t="str">
        <f t="shared" si="18"/>
        <v>内部装修</v>
      </c>
      <c r="AA42" s="944">
        <f t="shared" si="15"/>
        <v>1</v>
      </c>
      <c r="AB42" s="944">
        <f t="shared" si="16"/>
        <v>1</v>
      </c>
      <c r="AC42" s="944">
        <f t="shared" si="17"/>
        <v>1</v>
      </c>
    </row>
    <row r="43" spans="1:29" ht="15">
      <c r="A43" s="281"/>
      <c r="B43" s="2913" t="s">
        <v>1621</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440"/>
      <c r="Q43" s="1544" t="str">
        <f t="shared" si="11"/>
        <v>内部装修维护情况</v>
      </c>
      <c r="R43" s="3960" t="s">
        <v>16</v>
      </c>
      <c r="S43" s="3328">
        <f t="shared" si="12"/>
        <v>100</v>
      </c>
      <c r="T43" s="3960" t="s">
        <v>16</v>
      </c>
      <c r="U43" s="3328">
        <f t="shared" si="13"/>
        <v>100</v>
      </c>
      <c r="V43" s="3960" t="s">
        <v>16</v>
      </c>
      <c r="W43" s="3328">
        <f t="shared" si="14"/>
        <v>100</v>
      </c>
      <c r="X43" s="946"/>
      <c r="Y43" s="4417"/>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440"/>
      <c r="Q44" s="1742">
        <f t="shared" si="11"/>
        <v>111</v>
      </c>
      <c r="R44" s="3854" t="s">
        <v>16</v>
      </c>
      <c r="S44" s="3327">
        <f t="shared" si="12"/>
        <v>100</v>
      </c>
      <c r="T44" s="3854" t="s">
        <v>16</v>
      </c>
      <c r="U44" s="3327">
        <f t="shared" si="13"/>
        <v>100</v>
      </c>
      <c r="V44" s="3854" t="s">
        <v>16</v>
      </c>
      <c r="W44" s="3327">
        <f t="shared" si="14"/>
        <v>100</v>
      </c>
      <c r="X44" s="493"/>
      <c r="Y44" s="4417"/>
      <c r="Z44" s="28">
        <f t="shared" si="18"/>
        <v>111</v>
      </c>
      <c r="AA44" s="28">
        <f t="shared" si="15"/>
        <v>1</v>
      </c>
      <c r="AB44" s="28">
        <f t="shared" si="16"/>
        <v>1</v>
      </c>
      <c r="AC44" s="28">
        <f t="shared" si="17"/>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440"/>
      <c r="Q45" s="1544">
        <f t="shared" si="11"/>
        <v>111</v>
      </c>
      <c r="R45" s="3960" t="s">
        <v>16</v>
      </c>
      <c r="S45" s="3328">
        <f t="shared" si="12"/>
        <v>100</v>
      </c>
      <c r="T45" s="3960" t="s">
        <v>16</v>
      </c>
      <c r="U45" s="3328">
        <f t="shared" si="13"/>
        <v>100</v>
      </c>
      <c r="V45" s="3960" t="s">
        <v>16</v>
      </c>
      <c r="W45" s="3328">
        <f t="shared" si="14"/>
        <v>100</v>
      </c>
      <c r="X45" s="946"/>
      <c r="Y45" s="4417"/>
      <c r="Z45" s="944">
        <f t="shared" si="18"/>
        <v>111</v>
      </c>
      <c r="AA45" s="944">
        <f t="shared" si="15"/>
        <v>1</v>
      </c>
      <c r="AB45" s="944">
        <f t="shared" si="16"/>
        <v>1</v>
      </c>
      <c r="AC45" s="944">
        <f t="shared" si="17"/>
        <v>1</v>
      </c>
    </row>
    <row r="46" spans="1:29" ht="15.75"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441"/>
      <c r="Q46" s="1544">
        <f t="shared" si="11"/>
        <v>111</v>
      </c>
      <c r="R46" s="3960" t="s">
        <v>15</v>
      </c>
      <c r="S46" s="3328">
        <f t="shared" si="12"/>
        <v>100</v>
      </c>
      <c r="T46" s="3960" t="s">
        <v>15</v>
      </c>
      <c r="U46" s="3328">
        <f t="shared" si="13"/>
        <v>100</v>
      </c>
      <c r="V46" s="3960" t="s">
        <v>15</v>
      </c>
      <c r="W46" s="3328">
        <f t="shared" si="14"/>
        <v>100</v>
      </c>
      <c r="X46" s="946"/>
      <c r="Y46" s="4442"/>
      <c r="Z46" s="944">
        <f t="shared" si="18"/>
        <v>111</v>
      </c>
      <c r="AA46" s="944">
        <f t="shared" si="15"/>
        <v>1</v>
      </c>
      <c r="AB46" s="944">
        <f t="shared" si="16"/>
        <v>1</v>
      </c>
      <c r="AC46" s="944">
        <f t="shared" si="17"/>
        <v>1</v>
      </c>
    </row>
    <row r="47" spans="1:29" ht="15">
      <c r="A47" s="287" t="s">
        <v>1622</v>
      </c>
      <c r="B47" s="288"/>
      <c r="C47" s="798" t="s">
        <v>14</v>
      </c>
      <c r="D47" s="289"/>
      <c r="E47" s="3386">
        <v>124168</v>
      </c>
      <c r="F47" s="799"/>
      <c r="G47" s="3387">
        <v>135675</v>
      </c>
      <c r="H47" s="800"/>
      <c r="I47" s="3386">
        <v>119847</v>
      </c>
      <c r="J47" s="800"/>
      <c r="K47" s="2932"/>
      <c r="L47" s="2028"/>
      <c r="M47" s="2021"/>
      <c r="N47" s="2021"/>
      <c r="O47" s="2021"/>
      <c r="P47" s="4387" t="str">
        <f>A47</f>
        <v>成交单价（元/平方米）</v>
      </c>
      <c r="Q47" s="4387"/>
      <c r="R47" s="4418">
        <f>E47</f>
        <v>124168</v>
      </c>
      <c r="S47" s="4418"/>
      <c r="T47" s="4418">
        <f>G47</f>
        <v>135675</v>
      </c>
      <c r="U47" s="4418"/>
      <c r="V47" s="4418">
        <f>I47</f>
        <v>119847</v>
      </c>
      <c r="W47" s="4418"/>
      <c r="X47" s="266"/>
      <c r="Y47" s="496"/>
      <c r="Z47" s="266"/>
      <c r="AA47" s="266"/>
      <c r="AB47" s="266"/>
      <c r="AC47" s="266"/>
    </row>
    <row r="48" spans="1:29" ht="15.75" thickBot="1">
      <c r="A48" s="290" t="s">
        <v>1623</v>
      </c>
      <c r="B48" s="291"/>
      <c r="C48" s="3958">
        <f>R49</f>
        <v>109082</v>
      </c>
      <c r="D48" s="4082" t="s">
        <v>2048</v>
      </c>
      <c r="E48" s="3008">
        <f>R48</f>
        <v>106199</v>
      </c>
      <c r="F48" s="2925"/>
      <c r="G48" s="3007">
        <f>T48</f>
        <v>117201</v>
      </c>
      <c r="H48" s="2925"/>
      <c r="I48" s="3008">
        <f>V48</f>
        <v>103847</v>
      </c>
      <c r="J48" s="2925"/>
      <c r="K48" s="2979">
        <f>F48+H48+J48</f>
        <v>0</v>
      </c>
      <c r="L48" s="2028"/>
      <c r="M48" s="2021"/>
      <c r="N48" s="2021"/>
      <c r="O48" s="2021"/>
      <c r="P48" s="4387" t="str">
        <f>A48</f>
        <v>比较价值（元/平方米）</v>
      </c>
      <c r="Q48" s="4387"/>
      <c r="R48" s="4418">
        <f>IF(F1="售价",ROUND(PRODUCT(R47,AA7:AA46),0),ROUND(PRODUCT(R47,AA7:AA46),1))</f>
        <v>106199</v>
      </c>
      <c r="S48" s="4418"/>
      <c r="T48" s="4418">
        <f>IF(F1="售价",ROUND(PRODUCT(T47,AB7:AB46),0),ROUND(PRODUCT(T47,AB7:AB46),1))</f>
        <v>117201</v>
      </c>
      <c r="U48" s="4418"/>
      <c r="V48" s="4418">
        <f>IF(F1="售价",ROUND(PRODUCT(V47,AC7:AC46),0),ROUND(PRODUCT(V47,AC7:AC46),1))</f>
        <v>103847</v>
      </c>
      <c r="W48" s="4418"/>
      <c r="X48" s="266"/>
      <c r="Y48" s="266"/>
      <c r="Z48" s="266"/>
      <c r="AA48" s="266"/>
      <c r="AB48" s="266"/>
      <c r="AC48" s="266"/>
    </row>
    <row r="49" spans="1:29" ht="15.75" thickBot="1">
      <c r="A49" s="292" t="s">
        <v>1624</v>
      </c>
      <c r="B49" s="293"/>
      <c r="C49" s="3959">
        <f>R49</f>
        <v>109082</v>
      </c>
      <c r="D49" s="242"/>
      <c r="E49" s="242"/>
      <c r="F49" s="242"/>
      <c r="G49" s="242"/>
      <c r="H49" s="242"/>
      <c r="I49" s="242"/>
      <c r="J49" s="242"/>
      <c r="K49" s="1409"/>
      <c r="L49" s="2028"/>
      <c r="M49" s="2021"/>
      <c r="N49" s="2021"/>
      <c r="O49" s="2021"/>
      <c r="P49" s="4419" t="str">
        <f>A49</f>
        <v>估价对象XX用房的比较价值（楼面单价，元/平方米）</v>
      </c>
      <c r="Q49" s="4420"/>
      <c r="R49" s="4421">
        <f>IF(F1="售价",ROUND(IF(D48="简单平均",AVERAGE(R48:V48),R48*F48+T48*H48+V48*J48),0),ROUND(IF(D48="简单平均",AVERAGE(R48:V48),R48*F48+T48*H48+V48*J48),1))</f>
        <v>109082</v>
      </c>
      <c r="S49" s="4421"/>
      <c r="T49" s="4421"/>
      <c r="U49" s="4421"/>
      <c r="V49" s="4421"/>
      <c r="W49" s="4421"/>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1625</v>
      </c>
      <c r="D52" s="298"/>
      <c r="E52" s="299">
        <f>IF(E47&lt;E48,E48/E47-1,E47/E48-1)</f>
        <v>0.16920121658396026</v>
      </c>
      <c r="F52" s="300" t="str">
        <f>IF(OR(E52&gt;=0.3,E52&lt;=-0.3),"超过30%","")</f>
        <v/>
      </c>
      <c r="G52" s="299">
        <f>IF(G47&lt;G48,G48/G47-1,G47/G48-1)</f>
        <v>0.15762664141090954</v>
      </c>
      <c r="H52" s="300" t="str">
        <f>IF(OR(G52&gt;=0.3,G52&lt;=-0.3),"超过30%","")</f>
        <v/>
      </c>
      <c r="I52" s="299">
        <f>IF(I47&lt;I48,I48/I47-1,I47/I48-1)</f>
        <v>0.15407281866592193</v>
      </c>
      <c r="J52" s="300" t="str">
        <f>IF(OR(I52&gt;=0.3,I52&lt;=-0.3),"超过30%","")</f>
        <v/>
      </c>
      <c r="K52" s="2033"/>
      <c r="L52" s="2029"/>
      <c r="M52" s="2021"/>
      <c r="N52" s="2021"/>
      <c r="O52" s="2021"/>
    </row>
    <row r="53" spans="1:29" ht="13.5" customHeight="1">
      <c r="A53" s="2021"/>
      <c r="B53" s="2021"/>
      <c r="C53" s="297" t="s">
        <v>1626</v>
      </c>
      <c r="D53" s="301"/>
      <c r="E53" s="299">
        <f>IF(E48&lt;G48,G48/E48-1,E48/G48-1)</f>
        <v>0.10359796231602925</v>
      </c>
      <c r="F53" s="300" t="str">
        <f>IF(OR(E53&gt;=0.2,E53&lt;=-0.2),"超过20%","")</f>
        <v/>
      </c>
      <c r="G53" s="299">
        <f>IF(G48&lt;I48,I48/G48-1,G48/I48-1)</f>
        <v>0.12859302627904512</v>
      </c>
      <c r="H53" s="300" t="str">
        <f>IF(OR(G53&gt;=0.2,G53&lt;=-0.2),"超过20%","")</f>
        <v/>
      </c>
      <c r="I53" s="299">
        <f>IF(I48&lt;E48,E48/I48-1,I48/E48-1)</f>
        <v>2.2648704343890547E-2</v>
      </c>
      <c r="J53" s="300" t="str">
        <f>IF(OR(I53&gt;=0.2,I53&lt;=-0.2),"超过20%","")</f>
        <v/>
      </c>
      <c r="K53" s="2033"/>
      <c r="L53" s="2029"/>
      <c r="M53" s="2021"/>
      <c r="N53" s="2021"/>
      <c r="O53" s="2021"/>
    </row>
    <row r="54" spans="1:29" s="302" customFormat="1" ht="13.5" customHeight="1">
      <c r="A54" s="2031"/>
      <c r="B54" s="2031"/>
      <c r="C54" s="297" t="s">
        <v>1627</v>
      </c>
      <c r="D54" s="301"/>
      <c r="E54" s="299">
        <f>IF(E47&lt;G47,G47/E47-1,E47/G47-1)</f>
        <v>9.2672830358868641E-2</v>
      </c>
      <c r="F54" s="300" t="str">
        <f>IF(OR(E54&gt;=0.3,E54&lt;=-0.3),"超过30%","")</f>
        <v/>
      </c>
      <c r="G54" s="299">
        <f>IF(G47&lt;I47,I47/G47-1,G47/I47-1)</f>
        <v>0.13206838719367187</v>
      </c>
      <c r="H54" s="300" t="str">
        <f>IF(OR(G54&gt;=0.3,G54&lt;=-0.3),"超过30%","")</f>
        <v/>
      </c>
      <c r="I54" s="299">
        <f>IF(I47&lt;E47,E47/I47-1,I47/E47-1)</f>
        <v>3.6054302569108909E-2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1628</v>
      </c>
      <c r="B57" s="266"/>
      <c r="C57" s="488"/>
      <c r="D57" s="488"/>
      <c r="E57" s="488"/>
      <c r="F57" s="489"/>
      <c r="G57" s="489"/>
      <c r="H57" s="488"/>
      <c r="I57" s="488"/>
      <c r="J57" s="488"/>
      <c r="K57" s="647"/>
      <c r="L57" s="648"/>
      <c r="M57" s="646"/>
      <c r="N57" s="646"/>
      <c r="O57" s="646"/>
      <c r="P57" s="1412"/>
      <c r="Q57" s="303"/>
    </row>
    <row r="58" spans="1:29" s="306" customFormat="1" ht="15">
      <c r="A58" s="304" t="s">
        <v>1629</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1630</v>
      </c>
      <c r="B60" s="314"/>
      <c r="C60" s="315"/>
      <c r="D60" s="316"/>
      <c r="E60" s="316"/>
      <c r="F60" s="316"/>
      <c r="G60" s="316"/>
      <c r="H60" s="316"/>
      <c r="I60" s="316"/>
      <c r="J60" s="316"/>
      <c r="K60" s="316"/>
      <c r="L60" s="316"/>
      <c r="M60" s="317"/>
      <c r="N60" s="316"/>
      <c r="O60" s="317"/>
      <c r="P60" s="1414"/>
      <c r="Q60" s="303"/>
    </row>
    <row r="61" spans="1:29" s="46" customFormat="1" ht="15">
      <c r="A61" s="319" t="s">
        <v>1631</v>
      </c>
      <c r="B61" s="308"/>
      <c r="C61" s="320" t="s">
        <v>1632</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1633</v>
      </c>
      <c r="B63" s="323" t="s">
        <v>1599</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1602</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1603</v>
      </c>
      <c r="C67" s="341" t="str">
        <f>C68&amp;"（含）"&amp;"-"&amp;D68</f>
        <v>0（含）-1</v>
      </c>
      <c r="D67" s="341" t="str">
        <f t="shared" ref="D67:L67" si="20">D68&amp;"（含）"&amp;"-"&amp;E68</f>
        <v>1（含）-1.5</v>
      </c>
      <c r="E67" s="341" t="str">
        <f t="shared" si="20"/>
        <v>1.5（含）-2</v>
      </c>
      <c r="F67" s="341" t="str">
        <f t="shared" si="20"/>
        <v>2（含）-2.5</v>
      </c>
      <c r="G67" s="341" t="str">
        <f t="shared" si="20"/>
        <v>2.5（含）-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0</v>
      </c>
      <c r="D68" s="343">
        <v>1</v>
      </c>
      <c r="E68" s="343">
        <v>1.5</v>
      </c>
      <c r="F68" s="343">
        <v>2</v>
      </c>
      <c r="G68" s="343">
        <v>2.5</v>
      </c>
      <c r="H68" s="343"/>
      <c r="I68" s="343"/>
      <c r="J68" s="343"/>
      <c r="K68" s="344"/>
      <c r="L68" s="345"/>
      <c r="M68" s="346"/>
      <c r="N68" s="639"/>
      <c r="O68" s="639"/>
      <c r="P68" s="1416"/>
      <c r="Q68" s="303"/>
    </row>
    <row r="69" spans="1:17" ht="15.75" thickBot="1">
      <c r="A69" s="255"/>
      <c r="B69" s="329"/>
      <c r="C69" s="338">
        <v>100</v>
      </c>
      <c r="D69" s="338">
        <f t="shared" ref="D69:M69" si="21">C69-$K11</f>
        <v>97</v>
      </c>
      <c r="E69" s="338">
        <f t="shared" si="21"/>
        <v>94</v>
      </c>
      <c r="F69" s="338">
        <f t="shared" si="21"/>
        <v>91</v>
      </c>
      <c r="G69" s="338">
        <f t="shared" si="21"/>
        <v>88</v>
      </c>
      <c r="H69" s="338">
        <f t="shared" si="21"/>
        <v>85</v>
      </c>
      <c r="I69" s="338">
        <f t="shared" si="21"/>
        <v>82</v>
      </c>
      <c r="J69" s="338">
        <f t="shared" si="21"/>
        <v>79</v>
      </c>
      <c r="K69" s="338">
        <f t="shared" si="21"/>
        <v>76</v>
      </c>
      <c r="L69" s="338">
        <f t="shared" si="21"/>
        <v>73</v>
      </c>
      <c r="M69" s="339">
        <f t="shared" si="21"/>
        <v>70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1604</v>
      </c>
      <c r="B76" s="323" t="s">
        <v>1634</v>
      </c>
      <c r="C76" s="365" t="s">
        <v>1635</v>
      </c>
      <c r="D76" s="365" t="s">
        <v>1636</v>
      </c>
      <c r="E76" s="365" t="s">
        <v>1637</v>
      </c>
      <c r="F76" s="365" t="s">
        <v>1638</v>
      </c>
      <c r="G76" s="365" t="s">
        <v>1639</v>
      </c>
      <c r="H76" s="324"/>
      <c r="I76" s="324"/>
      <c r="J76" s="324"/>
      <c r="K76" s="366"/>
      <c r="L76" s="367"/>
      <c r="M76" s="368"/>
      <c r="N76" s="639"/>
      <c r="O76" s="639"/>
      <c r="P76" s="1420"/>
      <c r="Q76" s="303"/>
    </row>
    <row r="77" spans="1:17" ht="15.75" thickBot="1">
      <c r="A77" s="255"/>
      <c r="B77" s="337"/>
      <c r="C77" s="338">
        <v>100</v>
      </c>
      <c r="D77" s="338">
        <f>C77-$K15</f>
        <v>95</v>
      </c>
      <c r="E77" s="338">
        <f>D77-$K15</f>
        <v>90</v>
      </c>
      <c r="F77" s="338">
        <f>E77-$K15</f>
        <v>85</v>
      </c>
      <c r="G77" s="338">
        <f>F77-$K15</f>
        <v>80</v>
      </c>
      <c r="H77" s="338"/>
      <c r="I77" s="338"/>
      <c r="J77" s="338"/>
      <c r="K77" s="338"/>
      <c r="L77" s="338"/>
      <c r="M77" s="339"/>
      <c r="N77" s="640"/>
      <c r="O77" s="640"/>
      <c r="P77" s="1416"/>
      <c r="Q77" s="303"/>
    </row>
    <row r="78" spans="1:17" ht="15.75" thickTop="1">
      <c r="A78" s="255"/>
      <c r="B78" s="332" t="s">
        <v>1640</v>
      </c>
      <c r="C78" s="369" t="s">
        <v>1635</v>
      </c>
      <c r="D78" s="369" t="s">
        <v>1636</v>
      </c>
      <c r="E78" s="369" t="s">
        <v>1637</v>
      </c>
      <c r="F78" s="369" t="s">
        <v>1638</v>
      </c>
      <c r="G78" s="369" t="s">
        <v>1639</v>
      </c>
      <c r="H78" s="333"/>
      <c r="I78" s="333"/>
      <c r="J78" s="333"/>
      <c r="K78" s="334"/>
      <c r="L78" s="335"/>
      <c r="M78" s="336"/>
      <c r="N78" s="639"/>
      <c r="O78" s="639"/>
      <c r="P78" s="1416"/>
      <c r="Q78" s="303"/>
    </row>
    <row r="79" spans="1:17" ht="15.75" thickBot="1">
      <c r="A79" s="255"/>
      <c r="B79" s="337"/>
      <c r="C79" s="338">
        <v>100</v>
      </c>
      <c r="D79" s="338">
        <f>C79-$K17</f>
        <v>95</v>
      </c>
      <c r="E79" s="338">
        <f>D79-$K17</f>
        <v>90</v>
      </c>
      <c r="F79" s="338">
        <f>E79-$K17</f>
        <v>85</v>
      </c>
      <c r="G79" s="338">
        <f>F79-$K17</f>
        <v>80</v>
      </c>
      <c r="H79" s="338"/>
      <c r="I79" s="338"/>
      <c r="J79" s="338"/>
      <c r="K79" s="338"/>
      <c r="L79" s="338"/>
      <c r="M79" s="339"/>
      <c r="N79" s="640"/>
      <c r="O79" s="640"/>
      <c r="P79" s="1416"/>
      <c r="Q79" s="303"/>
    </row>
    <row r="80" spans="1:17" ht="15.75" thickTop="1">
      <c r="A80" s="255"/>
      <c r="B80" s="332" t="s">
        <v>1641</v>
      </c>
      <c r="C80" s="369" t="s">
        <v>1635</v>
      </c>
      <c r="D80" s="369" t="s">
        <v>1636</v>
      </c>
      <c r="E80" s="369" t="s">
        <v>1637</v>
      </c>
      <c r="F80" s="369" t="s">
        <v>1638</v>
      </c>
      <c r="G80" s="369" t="s">
        <v>1639</v>
      </c>
      <c r="H80" s="333"/>
      <c r="I80" s="333"/>
      <c r="J80" s="333"/>
      <c r="K80" s="334"/>
      <c r="L80" s="335"/>
      <c r="M80" s="336"/>
      <c r="N80" s="639"/>
      <c r="O80" s="639"/>
      <c r="P80" s="1416"/>
      <c r="Q80" s="303"/>
    </row>
    <row r="81" spans="1:17" ht="15.75" thickBot="1">
      <c r="A81" s="255"/>
      <c r="B81" s="337"/>
      <c r="C81" s="338">
        <v>100</v>
      </c>
      <c r="D81" s="338">
        <f>C81-$K19</f>
        <v>95</v>
      </c>
      <c r="E81" s="338">
        <f>D81-$K19</f>
        <v>90</v>
      </c>
      <c r="F81" s="338">
        <f>E81-$K19</f>
        <v>85</v>
      </c>
      <c r="G81" s="338">
        <f>F81-$K19</f>
        <v>80</v>
      </c>
      <c r="H81" s="338"/>
      <c r="I81" s="338"/>
      <c r="J81" s="338"/>
      <c r="K81" s="338"/>
      <c r="L81" s="338"/>
      <c r="M81" s="339"/>
      <c r="N81" s="640"/>
      <c r="O81" s="640"/>
      <c r="P81" s="1416"/>
      <c r="Q81" s="303"/>
    </row>
    <row r="82" spans="1:17" ht="15.75" thickTop="1">
      <c r="A82" s="255"/>
      <c r="B82" s="340" t="s">
        <v>1243</v>
      </c>
      <c r="C82" s="333" t="s">
        <v>1642</v>
      </c>
      <c r="D82" s="333" t="s">
        <v>1643</v>
      </c>
      <c r="E82" s="333" t="s">
        <v>1644</v>
      </c>
      <c r="F82" s="333" t="s">
        <v>1645</v>
      </c>
      <c r="G82" s="333" t="s">
        <v>1646</v>
      </c>
      <c r="H82" s="333"/>
      <c r="I82" s="333"/>
      <c r="J82" s="333"/>
      <c r="K82" s="333"/>
      <c r="L82" s="333"/>
      <c r="M82" s="790"/>
      <c r="N82" s="640"/>
      <c r="O82" s="640"/>
      <c r="P82" s="1416"/>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6"/>
      <c r="Q83" s="303"/>
    </row>
    <row r="84" spans="1:17" ht="15.75" thickTop="1">
      <c r="A84" s="255"/>
      <c r="B84" s="332" t="s">
        <v>1647</v>
      </c>
      <c r="C84" s="369" t="s">
        <v>1635</v>
      </c>
      <c r="D84" s="369" t="s">
        <v>1636</v>
      </c>
      <c r="E84" s="369" t="s">
        <v>1637</v>
      </c>
      <c r="F84" s="369" t="s">
        <v>1638</v>
      </c>
      <c r="G84" s="369" t="s">
        <v>1639</v>
      </c>
      <c r="H84" s="333"/>
      <c r="I84" s="333"/>
      <c r="J84" s="333"/>
      <c r="K84" s="334"/>
      <c r="L84" s="335"/>
      <c r="M84" s="336"/>
      <c r="N84" s="639"/>
      <c r="O84" s="639"/>
      <c r="P84" s="1416"/>
      <c r="Q84" s="303"/>
    </row>
    <row r="85" spans="1:17" ht="15.75" thickBot="1">
      <c r="A85" s="255"/>
      <c r="B85" s="337"/>
      <c r="C85" s="338">
        <v>100</v>
      </c>
      <c r="D85" s="338">
        <f>C85-$K23</f>
        <v>95</v>
      </c>
      <c r="E85" s="338">
        <f>D85-$K23</f>
        <v>90</v>
      </c>
      <c r="F85" s="338">
        <f>E85-$K23</f>
        <v>85</v>
      </c>
      <c r="G85" s="338">
        <f>F85-$K23</f>
        <v>80</v>
      </c>
      <c r="H85" s="338"/>
      <c r="I85" s="338"/>
      <c r="J85" s="338"/>
      <c r="K85" s="338"/>
      <c r="L85" s="338"/>
      <c r="M85" s="339"/>
      <c r="N85" s="640"/>
      <c r="O85" s="640"/>
      <c r="P85" s="1416"/>
      <c r="Q85" s="303"/>
    </row>
    <row r="86" spans="1:17" s="46" customFormat="1" ht="15.75" thickTop="1">
      <c r="A86" s="258"/>
      <c r="B86" s="332" t="s">
        <v>1648</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1649</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1608</v>
      </c>
      <c r="B100" s="323" t="s">
        <v>1650</v>
      </c>
      <c r="C100" s="325" t="s">
        <v>4001</v>
      </c>
      <c r="D100" s="325" t="s">
        <v>3998</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6"/>
      <c r="Q101" s="303"/>
    </row>
    <row r="102" spans="1:17" ht="29.25" thickTop="1">
      <c r="A102" s="255"/>
      <c r="B102" s="332" t="s">
        <v>1651</v>
      </c>
      <c r="C102" s="369" t="str">
        <f>C103&amp;"(含)"&amp;"-"&amp;D103</f>
        <v>0(含)-20000</v>
      </c>
      <c r="D102" s="369" t="str">
        <f t="shared" ref="D102:L102" si="26">D103&amp;"(含)"&amp;"-"&amp;E103</f>
        <v>20000(含)-50000</v>
      </c>
      <c r="E102" s="369" t="str">
        <f t="shared" si="26"/>
        <v>50000(含)-100000</v>
      </c>
      <c r="F102" s="369" t="str">
        <f t="shared" si="26"/>
        <v>100000(含)-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20000</v>
      </c>
      <c r="E103" s="5">
        <v>50000</v>
      </c>
      <c r="F103" s="5">
        <v>100000</v>
      </c>
      <c r="G103" s="5"/>
      <c r="H103" s="5"/>
      <c r="I103" s="5"/>
      <c r="J103" s="384"/>
      <c r="K103" s="384"/>
      <c r="L103" s="385"/>
      <c r="M103" s="386"/>
      <c r="N103" s="641"/>
      <c r="O103" s="641"/>
      <c r="P103" s="1417"/>
      <c r="Q103" s="352"/>
    </row>
    <row r="104" spans="1:17" s="280" customFormat="1" ht="15.75" thickBot="1">
      <c r="A104" s="347"/>
      <c r="B104" s="337"/>
      <c r="C104" s="353">
        <v>100</v>
      </c>
      <c r="D104" s="330">
        <v>101</v>
      </c>
      <c r="E104" s="330">
        <v>102</v>
      </c>
      <c r="F104" s="330">
        <v>103</v>
      </c>
      <c r="G104" s="330"/>
      <c r="H104" s="330"/>
      <c r="I104" s="330"/>
      <c r="J104" s="330"/>
      <c r="K104" s="330"/>
      <c r="L104" s="330"/>
      <c r="M104" s="330"/>
      <c r="N104" s="640"/>
      <c r="O104" s="640"/>
      <c r="P104" s="1417"/>
      <c r="Q104" s="352"/>
    </row>
    <row r="105" spans="1:17" ht="15" thickTop="1">
      <c r="A105" s="281"/>
      <c r="B105" s="332" t="s">
        <v>1652</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1653</v>
      </c>
      <c r="C107" s="373" t="s">
        <v>3999</v>
      </c>
      <c r="D107" s="373" t="s">
        <v>4003</v>
      </c>
      <c r="E107" s="373" t="s">
        <v>4004</v>
      </c>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95</v>
      </c>
      <c r="E108" s="338">
        <f t="shared" si="28"/>
        <v>90</v>
      </c>
      <c r="F108" s="338">
        <f t="shared" si="28"/>
        <v>85</v>
      </c>
      <c r="G108" s="338">
        <f t="shared" si="28"/>
        <v>80</v>
      </c>
      <c r="H108" s="338">
        <f t="shared" si="28"/>
        <v>75</v>
      </c>
      <c r="I108" s="338">
        <f t="shared" si="28"/>
        <v>70</v>
      </c>
      <c r="J108" s="338">
        <f t="shared" si="28"/>
        <v>65</v>
      </c>
      <c r="K108" s="338">
        <f t="shared" si="28"/>
        <v>60</v>
      </c>
      <c r="L108" s="338">
        <f t="shared" si="28"/>
        <v>55</v>
      </c>
      <c r="M108" s="338">
        <f t="shared" si="28"/>
        <v>50</v>
      </c>
      <c r="N108" s="640"/>
      <c r="O108" s="640"/>
      <c r="P108" s="1416"/>
      <c r="Q108" s="303"/>
    </row>
    <row r="109" spans="1:17" ht="15" thickTop="1">
      <c r="A109" s="281"/>
      <c r="B109" s="332" t="s">
        <v>1654</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7"/>
      <c r="Q113" s="352"/>
    </row>
    <row r="114" spans="1:17" ht="15" thickTop="1">
      <c r="A114" s="281"/>
      <c r="B114" s="332" t="s">
        <v>1655</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98</v>
      </c>
      <c r="E115" s="338">
        <f t="shared" si="30"/>
        <v>96</v>
      </c>
      <c r="F115" s="338">
        <f t="shared" si="30"/>
        <v>94</v>
      </c>
      <c r="G115" s="338">
        <f t="shared" si="30"/>
        <v>92</v>
      </c>
      <c r="H115" s="338">
        <f t="shared" si="30"/>
        <v>90</v>
      </c>
      <c r="I115" s="338">
        <f t="shared" si="30"/>
        <v>88</v>
      </c>
      <c r="J115" s="338">
        <f t="shared" si="30"/>
        <v>86</v>
      </c>
      <c r="K115" s="338">
        <f t="shared" si="30"/>
        <v>84</v>
      </c>
      <c r="L115" s="338">
        <f t="shared" si="30"/>
        <v>82</v>
      </c>
      <c r="M115" s="338">
        <f t="shared" si="30"/>
        <v>80</v>
      </c>
      <c r="N115" s="640"/>
      <c r="O115" s="640"/>
      <c r="P115" s="1416"/>
      <c r="Q115" s="303"/>
    </row>
    <row r="116" spans="1:17" ht="15" thickTop="1">
      <c r="A116" s="281"/>
      <c r="B116" s="332" t="s">
        <v>1656</v>
      </c>
      <c r="C116" s="348" t="s">
        <v>3636</v>
      </c>
      <c r="D116" s="348" t="s">
        <v>3637</v>
      </c>
      <c r="E116" s="348" t="s">
        <v>3638</v>
      </c>
      <c r="F116" s="348" t="s">
        <v>3639</v>
      </c>
      <c r="G116" s="348" t="s">
        <v>3640</v>
      </c>
      <c r="H116" s="373"/>
      <c r="I116" s="373"/>
      <c r="J116" s="373"/>
      <c r="K116" s="374"/>
      <c r="L116" s="375"/>
      <c r="M116" s="376"/>
      <c r="N116" s="639"/>
      <c r="O116" s="639"/>
      <c r="P116" s="1416"/>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6"/>
      <c r="Q117" s="303"/>
    </row>
    <row r="118" spans="1:17" ht="15" thickTop="1">
      <c r="A118" s="281"/>
      <c r="B118" s="332" t="s">
        <v>1657</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1619</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1658</v>
      </c>
      <c r="C122" s="348" t="s">
        <v>4000</v>
      </c>
      <c r="D122" s="348" t="s">
        <v>3986</v>
      </c>
      <c r="E122" s="348" t="s">
        <v>4005</v>
      </c>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1659</v>
      </c>
      <c r="C124" s="369" t="s">
        <v>1635</v>
      </c>
      <c r="D124" s="369" t="s">
        <v>1636</v>
      </c>
      <c r="E124" s="369" t="s">
        <v>1637</v>
      </c>
      <c r="F124" s="369" t="s">
        <v>1638</v>
      </c>
      <c r="G124" s="369" t="s">
        <v>1639</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1660</v>
      </c>
    </row>
    <row r="137" spans="1:17" ht="15">
      <c r="B137" s="1423" t="s">
        <v>1661</v>
      </c>
      <c r="C137" s="1424"/>
      <c r="D137" s="1424"/>
      <c r="E137" s="1424"/>
      <c r="F137" s="1424"/>
      <c r="G137" s="1425"/>
      <c r="H137" s="1426"/>
      <c r="I137" s="1427" t="s">
        <v>1662</v>
      </c>
      <c r="J137" s="1424"/>
      <c r="K137" s="1428"/>
    </row>
    <row r="138" spans="1:17" ht="15">
      <c r="B138" s="1429"/>
      <c r="C138" s="51" t="s">
        <v>1663</v>
      </c>
      <c r="D138" s="51" t="s">
        <v>1664</v>
      </c>
      <c r="E138" s="1430" t="s">
        <v>1665</v>
      </c>
      <c r="F138" s="1431" t="s">
        <v>1666</v>
      </c>
      <c r="G138" s="51" t="s">
        <v>1664</v>
      </c>
      <c r="H138" s="52" t="s">
        <v>1665</v>
      </c>
      <c r="I138" s="1432"/>
      <c r="J138" s="51" t="s">
        <v>1667</v>
      </c>
      <c r="K138" s="52" t="s">
        <v>1668</v>
      </c>
    </row>
    <row r="139" spans="1:17" ht="15">
      <c r="B139" s="583">
        <v>6</v>
      </c>
      <c r="C139" s="584">
        <v>96</v>
      </c>
      <c r="D139" s="1433" t="s">
        <v>1669</v>
      </c>
      <c r="E139" s="585">
        <v>100</v>
      </c>
      <c r="F139" s="586">
        <v>102.5</v>
      </c>
      <c r="G139" s="1433" t="s">
        <v>1669</v>
      </c>
      <c r="H139" s="587">
        <v>105</v>
      </c>
      <c r="I139" s="1434" t="s">
        <v>1670</v>
      </c>
      <c r="J139" s="584">
        <v>20</v>
      </c>
      <c r="K139" s="588">
        <f>C145/(J139-2)</f>
        <v>4.0555555555555553E-3</v>
      </c>
    </row>
    <row r="140" spans="1:17" ht="15">
      <c r="B140" s="589">
        <v>5</v>
      </c>
      <c r="C140" s="590">
        <v>100</v>
      </c>
      <c r="D140" s="590"/>
      <c r="E140" s="591"/>
      <c r="F140" s="592">
        <v>102</v>
      </c>
      <c r="G140" s="590"/>
      <c r="H140" s="593"/>
      <c r="I140" s="1435" t="s">
        <v>1671</v>
      </c>
      <c r="J140" s="167">
        <f>ROUNDUP((J139-1)/2,0)</f>
        <v>10</v>
      </c>
      <c r="K140" s="594">
        <v>100</v>
      </c>
    </row>
    <row r="141" spans="1:17" ht="15">
      <c r="B141" s="589">
        <v>4</v>
      </c>
      <c r="C141" s="590">
        <v>102</v>
      </c>
      <c r="D141" s="590"/>
      <c r="E141" s="591"/>
      <c r="F141" s="592">
        <v>101.5</v>
      </c>
      <c r="G141" s="590"/>
      <c r="H141" s="593"/>
      <c r="I141" s="1435" t="s">
        <v>1672</v>
      </c>
      <c r="J141" s="167">
        <v>1</v>
      </c>
      <c r="K141" s="595">
        <f>ROUND(100+(J141-J140)*K139*100,1)</f>
        <v>96.4</v>
      </c>
    </row>
    <row r="142" spans="1:17" ht="15">
      <c r="B142" s="589">
        <v>3</v>
      </c>
      <c r="C142" s="590">
        <v>103</v>
      </c>
      <c r="D142" s="590"/>
      <c r="E142" s="591"/>
      <c r="F142" s="592">
        <v>101</v>
      </c>
      <c r="G142" s="590"/>
      <c r="H142" s="593"/>
      <c r="I142" s="1435" t="s">
        <v>1673</v>
      </c>
      <c r="J142" s="167">
        <f>J139</f>
        <v>20</v>
      </c>
      <c r="K142" s="596">
        <v>95</v>
      </c>
    </row>
    <row r="143" spans="1:17" ht="15">
      <c r="B143" s="589">
        <v>2</v>
      </c>
      <c r="C143" s="590">
        <v>100</v>
      </c>
      <c r="D143" s="590"/>
      <c r="E143" s="591"/>
      <c r="F143" s="592">
        <v>100.5</v>
      </c>
      <c r="G143" s="590"/>
      <c r="H143" s="593"/>
      <c r="I143" s="1435" t="s">
        <v>1674</v>
      </c>
      <c r="J143" s="590">
        <v>15</v>
      </c>
      <c r="K143" s="595">
        <f>ROUND(100+(J143-J140)*K139*100,1)</f>
        <v>102</v>
      </c>
    </row>
    <row r="144" spans="1:17" ht="15">
      <c r="B144" s="589">
        <v>1</v>
      </c>
      <c r="C144" s="590">
        <v>98</v>
      </c>
      <c r="D144" s="1436" t="s">
        <v>1675</v>
      </c>
      <c r="E144" s="591">
        <v>102</v>
      </c>
      <c r="F144" s="597">
        <v>100</v>
      </c>
      <c r="G144" s="1436" t="s">
        <v>1675</v>
      </c>
      <c r="H144" s="593">
        <v>105</v>
      </c>
      <c r="I144" s="1435" t="s">
        <v>1674</v>
      </c>
      <c r="J144" s="590">
        <v>18</v>
      </c>
      <c r="K144" s="595">
        <f>ROUND(100+(J144-J140)*K139*100,1)</f>
        <v>103.2</v>
      </c>
    </row>
    <row r="145" spans="2:11" ht="15.75" thickBot="1">
      <c r="B145" s="1437" t="s">
        <v>1676</v>
      </c>
      <c r="C145" s="598">
        <f>ROUND(MAX(C139:C144)/MIN(C139:C144)-1,3)</f>
        <v>7.2999999999999995E-2</v>
      </c>
      <c r="D145" s="599"/>
      <c r="E145" s="599"/>
      <c r="F145" s="1438" t="s">
        <v>1677</v>
      </c>
      <c r="G145" s="1439"/>
      <c r="H145" s="1440"/>
      <c r="I145" s="1441" t="s">
        <v>1674</v>
      </c>
      <c r="J145" s="600">
        <v>8</v>
      </c>
      <c r="K145" s="601">
        <f>ROUND(100+(J145-J140)*K139*100,1)</f>
        <v>99.2</v>
      </c>
    </row>
    <row r="147" spans="2:11">
      <c r="B147" s="1422" t="s">
        <v>1678</v>
      </c>
    </row>
    <row r="148" spans="2:11">
      <c r="B148" s="1422" t="s">
        <v>1679</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8AB4B-5BA9-4135-894D-59DA3A69E39F}">
  <dimension ref="A1"/>
  <sheetViews>
    <sheetView topLeftCell="A79" workbookViewId="0">
      <selection activeCell="A84" sqref="A84"/>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受贵公司委托，我公司对北京市出让国有建设用地使用权及在建建筑物房地产抵押价值进行了预评估。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估价对象为北京市出让国有建设用地使用权及在建建筑物房地产，为所有。根据《国有土地使用证》[]，估价对象（分摊）出让国有建设用地使用权面积为7720.15平方米，建筑面积为24968.19平方米。</v>
      </c>
    </row>
    <row r="8" spans="1:1" ht="57.75">
      <c r="A8" s="1065" t="s">
        <v>887</v>
      </c>
    </row>
    <row r="9" spans="1:1" ht="18.75">
      <c r="A9" s="1064" t="s">
        <v>888</v>
      </c>
    </row>
    <row r="10" spans="1:1" ht="7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2026年1月21日（评估专业人员实地查勘之日）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本次评估采用的主估价方法为成本法和假设开发法。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90"/>
  <sheetViews>
    <sheetView topLeftCell="A13" zoomScaleNormal="100" zoomScaleSheetLayoutView="100" workbookViewId="0">
      <selection activeCell="C47" sqref="C47:C49"/>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3923</v>
      </c>
      <c r="D1" s="951" t="s">
        <v>3976</v>
      </c>
      <c r="E1" s="952" t="s">
        <v>665</v>
      </c>
      <c r="F1" s="3600">
        <f ca="1">J58</f>
        <v>47.92</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f ca="1">IF(D2="含税",ROUND((C25+J28+L51)*(1+F28),0),C25+J28+L51)</f>
        <v>8404</v>
      </c>
      <c r="C2" s="969" t="s">
        <v>791</v>
      </c>
      <c r="D2" s="3508" t="s">
        <v>3972</v>
      </c>
      <c r="E2" s="974"/>
      <c r="F2" s="975"/>
      <c r="G2" s="2012"/>
      <c r="H2" s="2002"/>
      <c r="I2" s="2002"/>
      <c r="J2" s="2002"/>
      <c r="K2" s="2003"/>
      <c r="L2" s="2002"/>
      <c r="M2" s="2002"/>
    </row>
    <row r="3" spans="1:37" ht="18" customHeight="1" thickBot="1">
      <c r="A3" s="976" t="s">
        <v>792</v>
      </c>
      <c r="B3" s="2867">
        <f ca="1">IF(ISERROR(B2*10000/F29),0,ROUND(B2*10000/F29,0))</f>
        <v>16973</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3416</v>
      </c>
      <c r="C5" s="3204">
        <f ca="1">ROUND(C6+C10+C12,0)</f>
        <v>489</v>
      </c>
      <c r="D5" s="953" t="s">
        <v>3825</v>
      </c>
      <c r="E5" s="741"/>
      <c r="F5" s="742"/>
      <c r="G5" s="972"/>
      <c r="H5" s="184">
        <v>1</v>
      </c>
      <c r="I5" s="2824" t="s">
        <v>3416</v>
      </c>
      <c r="J5" s="3204">
        <f ca="1">ROUND(J6+J10+J12,0)</f>
        <v>0</v>
      </c>
      <c r="K5" s="953" t="s">
        <v>3825</v>
      </c>
      <c r="L5" s="741"/>
      <c r="M5" s="742"/>
    </row>
    <row r="6" spans="1:37" ht="18" customHeight="1">
      <c r="A6" s="739" t="s">
        <v>392</v>
      </c>
      <c r="B6" s="2822" t="s">
        <v>3822</v>
      </c>
      <c r="C6" s="4095">
        <f ca="1">C7-C9</f>
        <v>487.95999999999992</v>
      </c>
      <c r="D6" s="2823" t="s">
        <v>3827</v>
      </c>
      <c r="E6" s="2821" t="s">
        <v>3414</v>
      </c>
      <c r="F6" s="3179">
        <f ca="1">INDIRECT("'数据-取费表'!u"&amp;$G$1)</f>
        <v>3</v>
      </c>
      <c r="G6" s="972"/>
      <c r="H6" s="739" t="s">
        <v>392</v>
      </c>
      <c r="I6" s="2822" t="s">
        <v>3822</v>
      </c>
      <c r="J6" s="2806">
        <f ca="1">J7-J9</f>
        <v>0</v>
      </c>
      <c r="K6" s="2823" t="s">
        <v>3827</v>
      </c>
      <c r="L6" s="2821" t="s">
        <v>3414</v>
      </c>
      <c r="M6" s="3602">
        <f ca="1">INDIRECT("'数据-取费表'!z"&amp;$G$1)</f>
        <v>0</v>
      </c>
    </row>
    <row r="7" spans="1:37" ht="18" customHeight="1">
      <c r="A7" s="4465" t="s">
        <v>391</v>
      </c>
      <c r="B7" s="4447" t="s">
        <v>3820</v>
      </c>
      <c r="C7" s="4449">
        <f ca="1">ROUND(F6*F7*F8/10000,2)</f>
        <v>542.17999999999995</v>
      </c>
      <c r="D7" s="4450" t="s">
        <v>3492</v>
      </c>
      <c r="E7" s="746" t="s">
        <v>683</v>
      </c>
      <c r="F7" s="3601">
        <f ca="1">IF(INDIRECT("'数据-取费表'!ah"&amp;$G$1)="",INDIRECT("'数据-取费表'!k"&amp;$G$1),INDIRECT("'数据-取费表'!ah"&amp;$G$1))</f>
        <v>4951.4299999999994</v>
      </c>
      <c r="G7" s="972"/>
      <c r="H7" s="4465" t="s">
        <v>391</v>
      </c>
      <c r="I7" s="4447" t="s">
        <v>3820</v>
      </c>
      <c r="J7" s="4467">
        <f ca="1">ROUND(M6*M8*M7/10000,2)</f>
        <v>0</v>
      </c>
      <c r="K7" s="4450" t="s">
        <v>3492</v>
      </c>
      <c r="L7" s="187" t="s">
        <v>683</v>
      </c>
      <c r="M7" s="3603">
        <f ca="1">F7</f>
        <v>4951.4299999999994</v>
      </c>
    </row>
    <row r="8" spans="1:37" ht="18" customHeight="1">
      <c r="A8" s="4466"/>
      <c r="B8" s="4448"/>
      <c r="C8" s="4449"/>
      <c r="D8" s="4450"/>
      <c r="E8" s="187" t="s">
        <v>684</v>
      </c>
      <c r="F8" s="3601">
        <f ca="1">INDIRECT("'数据-取费表'!ai"&amp;$G$1)</f>
        <v>365</v>
      </c>
      <c r="G8" s="972"/>
      <c r="H8" s="4466"/>
      <c r="I8" s="4448"/>
      <c r="J8" s="4467"/>
      <c r="K8" s="4450"/>
      <c r="L8" s="187" t="s">
        <v>684</v>
      </c>
      <c r="M8" s="3603">
        <f ca="1">INDIRECT("'数据-取费表'!ai"&amp;$G$1)</f>
        <v>365</v>
      </c>
    </row>
    <row r="9" spans="1:37" ht="18" customHeight="1">
      <c r="A9" s="2804" t="s">
        <v>3415</v>
      </c>
      <c r="B9" s="3202" t="s">
        <v>3821</v>
      </c>
      <c r="C9" s="4096">
        <f ca="1">ROUND(C7*F9,2)</f>
        <v>54.22</v>
      </c>
      <c r="D9" s="2823" t="s">
        <v>3826</v>
      </c>
      <c r="E9" s="187" t="s">
        <v>685</v>
      </c>
      <c r="F9" s="2885">
        <f ca="1">INDIRECT("'数据-取费表'!w"&amp;$G$1)</f>
        <v>0.1</v>
      </c>
      <c r="G9" s="972"/>
      <c r="H9" s="2804" t="s">
        <v>3415</v>
      </c>
      <c r="I9" s="3202" t="s">
        <v>3821</v>
      </c>
      <c r="J9" s="2806">
        <f ca="1">ROUND(J7*M9,2)</f>
        <v>0</v>
      </c>
      <c r="K9" s="2823" t="s">
        <v>3826</v>
      </c>
      <c r="L9" s="198" t="s">
        <v>685</v>
      </c>
      <c r="M9" s="199">
        <f ca="1">INDIRECT("'数据-取费表'!ab"&amp;$G$1)</f>
        <v>0</v>
      </c>
    </row>
    <row r="10" spans="1:37" ht="18" customHeight="1">
      <c r="A10" s="739" t="s">
        <v>396</v>
      </c>
      <c r="B10" s="954" t="s">
        <v>686</v>
      </c>
      <c r="C10" s="2806">
        <f ca="1">ROUND(IF(F10="押一",C6/12*F11,IF(F10="押二",C6/12*2*F11,IF(F10="押三",C6/12*3*F11,C11*F11))),2)</f>
        <v>0.61</v>
      </c>
      <c r="D10" s="59" t="s">
        <v>2027</v>
      </c>
      <c r="E10" s="198" t="s">
        <v>687</v>
      </c>
      <c r="F10" s="781" t="s">
        <v>3977</v>
      </c>
      <c r="G10" s="972"/>
      <c r="H10" s="739" t="s">
        <v>396</v>
      </c>
      <c r="I10" s="954" t="s">
        <v>686</v>
      </c>
      <c r="J10" s="2829">
        <f ca="1">ROUND(IF(M10="押一",J6/12*M11,IF(M10="押二",J6/12*2*M11,IF(M10="押三",J6/12*3*M11,J11*M11))),2)</f>
        <v>0</v>
      </c>
      <c r="K10" s="59" t="s">
        <v>2026</v>
      </c>
      <c r="L10" s="198" t="s">
        <v>687</v>
      </c>
      <c r="M10" s="781"/>
    </row>
    <row r="11" spans="1:37" ht="18" customHeight="1">
      <c r="A11" s="193"/>
      <c r="B11" s="3174" t="s">
        <v>3498</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3702</v>
      </c>
      <c r="B13" s="749" t="s">
        <v>700</v>
      </c>
      <c r="C13" s="2828">
        <f ca="1">ROUND(C14+C21+C22+C23,0)</f>
        <v>122</v>
      </c>
      <c r="D13" s="756" t="s">
        <v>701</v>
      </c>
      <c r="E13" s="757"/>
      <c r="F13" s="742"/>
      <c r="G13" s="972"/>
      <c r="H13" s="748" t="s">
        <v>3702</v>
      </c>
      <c r="I13" s="749" t="s">
        <v>700</v>
      </c>
      <c r="J13" s="3205">
        <f ca="1">ROUND(J14+J21+J22+J23,0)</f>
        <v>36</v>
      </c>
      <c r="K13" s="937" t="s">
        <v>3462</v>
      </c>
      <c r="L13" s="757"/>
      <c r="M13" s="742"/>
    </row>
    <row r="14" spans="1:37" ht="18" customHeight="1">
      <c r="A14" s="686" t="s">
        <v>392</v>
      </c>
      <c r="B14" s="187" t="s">
        <v>705</v>
      </c>
      <c r="C14" s="2806">
        <f ca="1">ROUND(IF(AND(项目基本情况!B11="自然人",项目基本情况!B10="北京市",M52="住宅"),C6*F14,C15+C18+C19),2)</f>
        <v>106.94</v>
      </c>
      <c r="D14" s="937" t="s">
        <v>3462</v>
      </c>
      <c r="E14" s="936" t="s">
        <v>756</v>
      </c>
      <c r="F14" s="4068"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28.93</v>
      </c>
      <c r="K14" s="2852" t="s">
        <v>3461</v>
      </c>
      <c r="L14" s="936" t="s">
        <v>707</v>
      </c>
      <c r="M14" s="4071" t="str">
        <f>IF(项目基本情况!B11="企业","",IF('数据-取费表'!B10="住宅",IF(M6*M7*M8/12/(1+'数据-取费表'!F30)&gt;100000,4%,2.5%),IF(M6*M7*M8/12/(1+'数据-取费表'!F30)&gt;100000,12%,7%)))</f>
        <v/>
      </c>
    </row>
    <row r="15" spans="1:37" s="983" customFormat="1" ht="18" customHeight="1">
      <c r="A15" s="2804" t="s">
        <v>3417</v>
      </c>
      <c r="B15" s="2821" t="s">
        <v>3418</v>
      </c>
      <c r="C15" s="2806">
        <f ca="1">ROUND((C16-C17)*(1+F15),2)</f>
        <v>47.92</v>
      </c>
      <c r="D15" s="2852" t="s">
        <v>3461</v>
      </c>
      <c r="E15" s="187" t="s">
        <v>3455</v>
      </c>
      <c r="F15" s="2880">
        <f>'数据-取费表'!B44</f>
        <v>0.12000000000000001</v>
      </c>
      <c r="G15" s="982"/>
      <c r="H15" s="686" t="s">
        <v>391</v>
      </c>
      <c r="I15" s="2821" t="s">
        <v>3418</v>
      </c>
      <c r="J15" s="2806">
        <f ca="1">ROUND((J16-J17)*(1+M15),2)</f>
        <v>-0.71</v>
      </c>
      <c r="K15" s="1031"/>
      <c r="L15" s="187" t="s">
        <v>3455</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3293</v>
      </c>
      <c r="B16" s="2826" t="s">
        <v>3419</v>
      </c>
      <c r="C16" s="2832">
        <f ca="1">ROUND(C6*F16,2)</f>
        <v>43.92</v>
      </c>
      <c r="D16" s="1031"/>
      <c r="E16" s="2833" t="s">
        <v>3421</v>
      </c>
      <c r="F16" s="2880">
        <v>0.09</v>
      </c>
      <c r="G16" s="972"/>
      <c r="H16" s="2592" t="s">
        <v>3293</v>
      </c>
      <c r="I16" s="2826" t="s">
        <v>3419</v>
      </c>
      <c r="J16" s="2832">
        <f ca="1">ROUND(J6*M16,2)</f>
        <v>0</v>
      </c>
      <c r="K16" s="2834" t="s">
        <v>3422</v>
      </c>
      <c r="L16" s="2833" t="s">
        <v>3421</v>
      </c>
      <c r="M16" s="214">
        <v>0.09</v>
      </c>
    </row>
    <row r="17" spans="1:37" s="983" customFormat="1" ht="18" customHeight="1">
      <c r="A17" s="2592" t="s">
        <v>3294</v>
      </c>
      <c r="B17" s="2826" t="s">
        <v>3420</v>
      </c>
      <c r="C17" s="2853">
        <f ca="1">ROUND(C21*F16+((C22+C23)*F17),2)</f>
        <v>1.1299999999999999</v>
      </c>
      <c r="D17" s="2834" t="s">
        <v>3422</v>
      </c>
      <c r="E17" s="2834"/>
      <c r="F17" s="2880">
        <v>0.06</v>
      </c>
      <c r="G17" s="982"/>
      <c r="H17" s="2592" t="s">
        <v>3294</v>
      </c>
      <c r="I17" s="2826" t="s">
        <v>3420</v>
      </c>
      <c r="J17" s="2853">
        <f ca="1">ROUND(J21*M16+((J22+J23)*M17),2)</f>
        <v>0.63</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58.56</v>
      </c>
      <c r="D18" s="2825" t="s">
        <v>3978</v>
      </c>
      <c r="E18" s="187" t="s">
        <v>698</v>
      </c>
      <c r="F18" s="2881">
        <f>IF(D18="按票据","——",IF(D18="按不含税租金收入计税",'数据-取费表'!B52,'数据-取费表'!B51))</f>
        <v>0.12</v>
      </c>
      <c r="G18" s="982"/>
      <c r="H18" s="686" t="s">
        <v>393</v>
      </c>
      <c r="I18" s="187" t="s">
        <v>713</v>
      </c>
      <c r="J18" s="2806">
        <f ca="1">IF(K18="按不含税租金收入计税",ROUND(J6*M18,2),ROUND(C47*M18*0.7,2))</f>
        <v>29.18</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0.46</v>
      </c>
      <c r="D19" s="208" t="s">
        <v>717</v>
      </c>
      <c r="E19" s="187" t="s">
        <v>718</v>
      </c>
      <c r="F19" s="2882">
        <f>'数据-取费表'!B53</f>
        <v>3</v>
      </c>
      <c r="G19" s="972"/>
      <c r="H19" s="686" t="s">
        <v>667</v>
      </c>
      <c r="I19" s="56" t="s">
        <v>716</v>
      </c>
      <c r="J19" s="2829">
        <f ca="1">ROUND(M19*M20/10000,2)</f>
        <v>0.46</v>
      </c>
      <c r="K19" s="208" t="s">
        <v>717</v>
      </c>
      <c r="L19" s="187" t="s">
        <v>718</v>
      </c>
      <c r="M19" s="209">
        <f>'数据-取费表'!B53</f>
        <v>3</v>
      </c>
    </row>
    <row r="20" spans="1:37" s="983" customFormat="1" ht="18" customHeight="1">
      <c r="A20" s="210"/>
      <c r="B20" s="770"/>
      <c r="C20" s="2830"/>
      <c r="D20" s="211"/>
      <c r="E20" s="187" t="s">
        <v>722</v>
      </c>
      <c r="F20" s="2877">
        <f ca="1">INDIRECT("'数据-取费表'!r"&amp;$G$1)</f>
        <v>1530.98</v>
      </c>
      <c r="G20" s="982"/>
      <c r="H20" s="210"/>
      <c r="I20" s="196"/>
      <c r="J20" s="2830"/>
      <c r="K20" s="211"/>
      <c r="L20" s="187" t="s">
        <v>722</v>
      </c>
      <c r="M20" s="188">
        <f ca="1">INDIRECT("'数据-取费表'!r"&amp;$G$1)</f>
        <v>1530.98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6.95</v>
      </c>
      <c r="D21" s="936" t="s">
        <v>3456</v>
      </c>
      <c r="E21" s="187" t="s">
        <v>698</v>
      </c>
      <c r="F21" s="2883">
        <f ca="1">INDIRECT("'数据-取费表'!Ak"&amp;$G$1)</f>
        <v>2E-3</v>
      </c>
      <c r="G21" s="982"/>
      <c r="H21" s="686" t="s">
        <v>396</v>
      </c>
      <c r="I21" s="187" t="s">
        <v>724</v>
      </c>
      <c r="J21" s="2806">
        <f ca="1">ROUND(J31*M21,2)</f>
        <v>6.95</v>
      </c>
      <c r="K21" s="936" t="s">
        <v>725</v>
      </c>
      <c r="L21" s="187" t="s">
        <v>698</v>
      </c>
      <c r="M21" s="21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3.47</v>
      </c>
      <c r="D22" s="936" t="s">
        <v>3459</v>
      </c>
      <c r="E22" s="187" t="s">
        <v>730</v>
      </c>
      <c r="F22" s="2884">
        <f ca="1">INDIRECT("'数据-取费表'!Al"&amp;$G$1)</f>
        <v>1E-3</v>
      </c>
      <c r="G22" s="972"/>
      <c r="H22" s="686" t="s">
        <v>431</v>
      </c>
      <c r="I22" s="187" t="s">
        <v>728</v>
      </c>
      <c r="J22" s="2806">
        <f ca="1">ROUND(J33*M22,2)</f>
        <v>0</v>
      </c>
      <c r="K22" s="936" t="s">
        <v>729</v>
      </c>
      <c r="L22" s="187" t="s">
        <v>730</v>
      </c>
      <c r="M22" s="213">
        <f ca="1">INDIRECT("'数据-取费表'!Al"&amp;$G$1)</f>
        <v>1E-3</v>
      </c>
    </row>
    <row r="23" spans="1:37" s="983" customFormat="1" ht="18" customHeight="1" thickBot="1">
      <c r="A23" s="758" t="s">
        <v>671</v>
      </c>
      <c r="B23" s="759" t="s">
        <v>714</v>
      </c>
      <c r="C23" s="2831">
        <f ca="1">ROUND(C5*F23,2)</f>
        <v>4.8899999999999997</v>
      </c>
      <c r="D23" s="761" t="s">
        <v>734</v>
      </c>
      <c r="E23" s="759" t="s">
        <v>730</v>
      </c>
      <c r="F23" s="2954">
        <f ca="1">INDIRECT("'数据-取费表'!Am"&amp;$G$1)</f>
        <v>0.01</v>
      </c>
      <c r="G23" s="982"/>
      <c r="H23" s="758" t="s">
        <v>671</v>
      </c>
      <c r="I23" s="759" t="s">
        <v>714</v>
      </c>
      <c r="J23" s="2831">
        <f ca="1">ROUND(J5*M23,2)</f>
        <v>0</v>
      </c>
      <c r="K23" s="761" t="s">
        <v>734</v>
      </c>
      <c r="L23" s="759" t="s">
        <v>730</v>
      </c>
      <c r="M23" s="755">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3703</v>
      </c>
      <c r="B24" s="763" t="s">
        <v>758</v>
      </c>
      <c r="C24" s="2828">
        <f ca="1">C5-C13</f>
        <v>367</v>
      </c>
      <c r="D24" s="764" t="s">
        <v>759</v>
      </c>
      <c r="E24" s="765"/>
      <c r="F24" s="766"/>
      <c r="G24" s="982"/>
      <c r="H24" s="748" t="s">
        <v>3305</v>
      </c>
      <c r="I24" s="763" t="s">
        <v>738</v>
      </c>
      <c r="J24" s="3205">
        <f ca="1">J5-J13</f>
        <v>-36</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3704</v>
      </c>
      <c r="B25" s="4460" t="s">
        <v>760</v>
      </c>
      <c r="C25" s="4461">
        <f ca="1">IF(C5&lt;&gt;0,ROUND(C24*(1-((1+F27)/(1+F25))^F26)/(F25-F27),0),0)</f>
        <v>8404</v>
      </c>
      <c r="D25" s="208" t="s">
        <v>744</v>
      </c>
      <c r="E25" s="187" t="s">
        <v>745</v>
      </c>
      <c r="F25" s="2885">
        <f ca="1">INDIRECT("'数据-取费表'!I"&amp;$G$1)</f>
        <v>5.5E-2</v>
      </c>
      <c r="G25" s="972"/>
      <c r="H25" s="4451" t="s">
        <v>3704</v>
      </c>
      <c r="I25" s="4454" t="s">
        <v>743</v>
      </c>
      <c r="J25" s="4457">
        <f ca="1">IF(J5&lt;&gt;0,ROUND(J24*(1-((1+M27)/(1+M25))^M26)/(M25-M27),0),0)</f>
        <v>0</v>
      </c>
      <c r="K25" s="208" t="s">
        <v>744</v>
      </c>
      <c r="L25" s="198" t="s">
        <v>745</v>
      </c>
      <c r="M25" s="199">
        <f ca="1">INDIRECT("'数据-取费表'!I"&amp;$G$1)</f>
        <v>5.5E-2</v>
      </c>
    </row>
    <row r="26" spans="1:37">
      <c r="A26" s="2903"/>
      <c r="B26" s="4460"/>
      <c r="C26" s="4461"/>
      <c r="D26" s="215" t="s">
        <v>761</v>
      </c>
      <c r="E26" s="187" t="s">
        <v>749</v>
      </c>
      <c r="F26" s="2887">
        <f ca="1">IF(INDIRECT("'数据-取费表'!af"&amp;$G$1)=0,INDIRECT("'数据-取费表'!ae"&amp;$G$1),INDIRECT("'数据-取费表'!af"&amp;$G$1))</f>
        <v>47.92</v>
      </c>
      <c r="G26" s="972"/>
      <c r="H26" s="4452"/>
      <c r="I26" s="4455"/>
      <c r="J26" s="4458"/>
      <c r="K26" s="936" t="s">
        <v>748</v>
      </c>
      <c r="L26" s="187" t="s">
        <v>749</v>
      </c>
      <c r="M26" s="216">
        <f ca="1">INDIRECT("'数据-取费表'!ag"&amp;$G$1)</f>
        <v>0</v>
      </c>
    </row>
    <row r="27" spans="1:37" ht="18" customHeight="1">
      <c r="A27" s="1018"/>
      <c r="B27" s="4460"/>
      <c r="C27" s="4461"/>
      <c r="D27" s="211"/>
      <c r="E27" s="187" t="s">
        <v>752</v>
      </c>
      <c r="F27" s="2885">
        <f ca="1">INDIRECT("'数据-取费表'!v"&amp;$G$1)</f>
        <v>0.02</v>
      </c>
      <c r="G27" s="972"/>
      <c r="H27" s="4453"/>
      <c r="I27" s="4456"/>
      <c r="J27" s="4459"/>
      <c r="K27" s="936"/>
      <c r="L27" s="187" t="s">
        <v>752</v>
      </c>
      <c r="M27" s="197">
        <f ca="1">INDIRECT("'数据-取费表'!aa"&amp;$G$1)</f>
        <v>0</v>
      </c>
    </row>
    <row r="28" spans="1:37" s="983" customFormat="1" ht="18" customHeight="1" thickBot="1">
      <c r="A28" s="4062" t="s">
        <v>3705</v>
      </c>
      <c r="B28" s="4063" t="s">
        <v>3490</v>
      </c>
      <c r="C28" s="4064">
        <f ca="1">ROUND(C25*(1+F28),0)</f>
        <v>9160</v>
      </c>
      <c r="D28" s="3371" t="s">
        <v>3708</v>
      </c>
      <c r="E28" s="4069" t="str">
        <f>IF(D28="其他类型公式—收益价值×（1+9%）","销项税率","征收率")</f>
        <v>销项税率</v>
      </c>
      <c r="F28" s="4070">
        <f>IF(D28="其他类型公式—收益价值×（1+9%）",9%,3%)</f>
        <v>0.09</v>
      </c>
      <c r="G28" s="982"/>
      <c r="H28" s="200" t="s">
        <v>3705</v>
      </c>
      <c r="I28" s="2837" t="s">
        <v>754</v>
      </c>
      <c r="J28" s="2856">
        <f ca="1">ROUND(J25/(1+F25)^F26,0)</f>
        <v>0</v>
      </c>
      <c r="K28" s="55" t="s">
        <v>755</v>
      </c>
      <c r="L28" s="187"/>
      <c r="M28" s="216">
        <f ca="1">INDIRECT("'数据-取费表'!k"&amp;$G$1)</f>
        <v>4951.4299999999994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66">
        <f ca="1">ROUND(C28*10000/F29,0)</f>
        <v>18500</v>
      </c>
      <c r="D29" s="4067" t="s">
        <v>3494</v>
      </c>
      <c r="E29" s="221" t="s">
        <v>764</v>
      </c>
      <c r="F29" s="2888">
        <f ca="1">INDIRECT("'数据-取费表'!k"&amp;$G$1)</f>
        <v>4951.4299999999994</v>
      </c>
      <c r="G29" s="982"/>
      <c r="H29" s="4056" t="s">
        <v>3706</v>
      </c>
      <c r="I29" s="4057" t="s">
        <v>3491</v>
      </c>
      <c r="J29" s="4058">
        <f ca="1">ROUND(J28*(1+F28),0)</f>
        <v>0</v>
      </c>
      <c r="K29" s="4059" t="str">
        <f>D28</f>
        <v>其他类型公式—收益价值×（1+9%）</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3423</v>
      </c>
      <c r="B31" s="2836" t="s">
        <v>3424</v>
      </c>
      <c r="C31" s="3605">
        <f ca="1">SUM(C32:C37)</f>
        <v>3048</v>
      </c>
      <c r="D31" s="2848" t="s">
        <v>3431</v>
      </c>
      <c r="E31" s="2844"/>
      <c r="F31" s="2845"/>
      <c r="G31" s="972"/>
      <c r="H31" s="2859" t="s">
        <v>3423</v>
      </c>
      <c r="I31" s="2862" t="s">
        <v>3464</v>
      </c>
      <c r="J31" s="2863">
        <f ca="1">C47</f>
        <v>3474</v>
      </c>
      <c r="K31" s="3373" t="s">
        <v>3460</v>
      </c>
      <c r="L31" s="2864"/>
      <c r="M31" s="3200"/>
    </row>
    <row r="32" spans="1:37" ht="18" customHeight="1">
      <c r="A32" s="2804" t="s">
        <v>3417</v>
      </c>
      <c r="B32" s="2768" t="s">
        <v>693</v>
      </c>
      <c r="C32" s="2702">
        <f ca="1">INDIRECT("'数据-取费表'!m"&amp;$G$1)+INDIRECT("'数据-取费表'!t"&amp;$G$1)</f>
        <v>2723</v>
      </c>
      <c r="D32" s="936" t="s">
        <v>694</v>
      </c>
      <c r="E32" s="936"/>
      <c r="F32" s="216"/>
      <c r="G32" s="972"/>
      <c r="H32" s="2860" t="s">
        <v>3465</v>
      </c>
      <c r="I32" s="2865" t="s">
        <v>3451</v>
      </c>
      <c r="J32" s="2751">
        <f ca="1">ROUND(J31*(1-M32),0)</f>
        <v>3474</v>
      </c>
      <c r="K32" s="187" t="s">
        <v>3454</v>
      </c>
      <c r="L32" s="2823" t="s">
        <v>3467</v>
      </c>
      <c r="M32" s="197">
        <f ca="1">INDIRECT("'数据-取费表'!ad"&amp;$G$1)</f>
        <v>0</v>
      </c>
    </row>
    <row r="33" spans="1:13" ht="18" customHeight="1" thickBot="1">
      <c r="A33" s="2804" t="s">
        <v>3425</v>
      </c>
      <c r="B33" s="2768" t="s">
        <v>696</v>
      </c>
      <c r="C33" s="2807">
        <f ca="1">ROUND(C32*F33,0)</f>
        <v>68</v>
      </c>
      <c r="D33" s="187" t="s">
        <v>697</v>
      </c>
      <c r="E33" s="187" t="s">
        <v>698</v>
      </c>
      <c r="F33" s="2881">
        <f>'数据-取费表'!B33</f>
        <v>2.5000000000000001E-2</v>
      </c>
      <c r="G33" s="972"/>
      <c r="H33" s="2861" t="s">
        <v>3466</v>
      </c>
      <c r="I33" s="2866" t="s">
        <v>3453</v>
      </c>
      <c r="J33" s="2867">
        <f ca="1">J31-J32</f>
        <v>0</v>
      </c>
      <c r="K33" s="2846" t="s">
        <v>3493</v>
      </c>
      <c r="L33" s="220"/>
      <c r="M33" s="2868"/>
    </row>
    <row r="34" spans="1:13" ht="18" customHeight="1">
      <c r="A34" s="2804" t="s">
        <v>3426</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3427</v>
      </c>
      <c r="B35" s="2768" t="s">
        <v>702</v>
      </c>
      <c r="C35" s="2807">
        <f ca="1">ROUND(F35*(F29+INDIRECT("'数据-取费表'!S"&amp;$G$1))/10000,0)</f>
        <v>178</v>
      </c>
      <c r="D35" s="187" t="s">
        <v>703</v>
      </c>
      <c r="E35" s="187" t="s">
        <v>704</v>
      </c>
      <c r="F35" s="2882">
        <f>'数据-取费表'!B35</f>
        <v>360</v>
      </c>
      <c r="G35" s="972"/>
    </row>
    <row r="36" spans="1:13" ht="18" customHeight="1">
      <c r="A36" s="2804" t="s">
        <v>3428</v>
      </c>
      <c r="B36" s="2826" t="s">
        <v>3429</v>
      </c>
      <c r="C36" s="2807">
        <f ca="1">ROUND(C32*F36,0)</f>
        <v>35</v>
      </c>
      <c r="D36" s="187" t="s">
        <v>697</v>
      </c>
      <c r="E36" s="187" t="s">
        <v>698</v>
      </c>
      <c r="F36" s="2881">
        <f>'数据-取费表'!B36</f>
        <v>1.2999999999999999E-2</v>
      </c>
      <c r="G36" s="972"/>
      <c r="H36" s="47"/>
      <c r="I36" s="47"/>
      <c r="J36" s="47"/>
      <c r="K36" s="1905"/>
      <c r="L36" s="47"/>
      <c r="M36" s="47"/>
    </row>
    <row r="37" spans="1:13" ht="18" customHeight="1">
      <c r="A37" s="2804" t="s">
        <v>3428</v>
      </c>
      <c r="B37" s="2826" t="s">
        <v>3430</v>
      </c>
      <c r="C37" s="2807">
        <f ca="1">ROUND(C32*F37,0)</f>
        <v>44</v>
      </c>
      <c r="D37" s="187" t="s">
        <v>697</v>
      </c>
      <c r="E37" s="187" t="s">
        <v>698</v>
      </c>
      <c r="F37" s="2881">
        <f>'数据-取费表'!B37</f>
        <v>1.6E-2</v>
      </c>
      <c r="G37" s="972"/>
      <c r="H37" s="47"/>
      <c r="I37" s="47"/>
      <c r="J37" s="47"/>
      <c r="K37" s="1905"/>
      <c r="L37" s="47"/>
      <c r="M37" s="47"/>
    </row>
    <row r="38" spans="1:13" ht="18" customHeight="1">
      <c r="A38" s="200" t="s">
        <v>3438</v>
      </c>
      <c r="B38" s="2837" t="s">
        <v>3439</v>
      </c>
      <c r="C38" s="2856">
        <f ca="1">ROUND(C31*F38,0)</f>
        <v>61</v>
      </c>
      <c r="D38" s="2838" t="s">
        <v>3440</v>
      </c>
      <c r="E38" s="2837" t="s">
        <v>3441</v>
      </c>
      <c r="F38" s="2885">
        <f>'数据-取费表'!B38</f>
        <v>0.02</v>
      </c>
      <c r="G38" s="972"/>
      <c r="H38" s="47"/>
      <c r="I38" s="47"/>
      <c r="J38" s="47"/>
      <c r="K38" s="1905"/>
      <c r="L38" s="47"/>
      <c r="M38" s="47"/>
    </row>
    <row r="39" spans="1:13" ht="18" customHeight="1">
      <c r="A39" s="200" t="s">
        <v>3442</v>
      </c>
      <c r="B39" s="2837" t="s">
        <v>3443</v>
      </c>
      <c r="C39" s="3606" t="str">
        <f>F39&amp;"V"</f>
        <v>0.03V</v>
      </c>
      <c r="D39" s="2838" t="s">
        <v>3444</v>
      </c>
      <c r="E39" s="2837" t="s">
        <v>3445</v>
      </c>
      <c r="F39" s="2885">
        <f>'数据-取费表'!B39</f>
        <v>0.03</v>
      </c>
      <c r="G39" s="972"/>
      <c r="H39" s="47"/>
      <c r="I39" s="47"/>
      <c r="J39" s="47"/>
      <c r="K39" s="1905"/>
      <c r="L39" s="47"/>
      <c r="M39" s="47"/>
    </row>
    <row r="40" spans="1:13" ht="18" customHeight="1">
      <c r="A40" s="200" t="s">
        <v>3446</v>
      </c>
      <c r="B40" s="2840" t="s">
        <v>3432</v>
      </c>
      <c r="C40" s="3606" t="str">
        <f ca="1">C41&amp;"+"&amp;C42&amp;"V建"</f>
        <v>97+0.0009V建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97</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3447</v>
      </c>
      <c r="B43" s="2840" t="s">
        <v>3433</v>
      </c>
      <c r="C43" s="3606" t="str">
        <f ca="1">C44&amp;"+"&amp;C45&amp;"V建"</f>
        <v>155+0.0015V建</v>
      </c>
      <c r="D43" s="2788" t="s">
        <v>3448</v>
      </c>
      <c r="E43" s="201"/>
      <c r="F43" s="2882"/>
      <c r="G43" s="972"/>
      <c r="H43" s="47"/>
      <c r="I43" s="47"/>
      <c r="J43" s="47"/>
      <c r="K43" s="1905"/>
      <c r="L43" s="47"/>
      <c r="M43" s="47"/>
    </row>
    <row r="44" spans="1:13" ht="18" customHeight="1">
      <c r="A44" s="2804" t="s">
        <v>391</v>
      </c>
      <c r="B44" s="187" t="s">
        <v>740</v>
      </c>
      <c r="C44" s="2807">
        <f ca="1">ROUND((C31+C38)*F44,0)</f>
        <v>155</v>
      </c>
      <c r="D44" s="207" t="s">
        <v>741</v>
      </c>
      <c r="E44" s="187" t="s">
        <v>742</v>
      </c>
      <c r="F44" s="2885">
        <f ca="1">INDIRECT("'数据-取费表'!q"&amp;$G$1)</f>
        <v>0.05</v>
      </c>
      <c r="G44" s="972"/>
      <c r="H44" s="47"/>
      <c r="I44" s="47"/>
      <c r="J44" s="47"/>
      <c r="K44" s="1905"/>
      <c r="L44" s="47"/>
      <c r="M44" s="47"/>
    </row>
    <row r="45" spans="1:13" ht="18" customHeight="1">
      <c r="A45" s="2804" t="s">
        <v>393</v>
      </c>
      <c r="B45" s="187" t="s">
        <v>746</v>
      </c>
      <c r="C45" s="3607">
        <f ca="1">ROUND(F39*F44,4)</f>
        <v>1.5E-3</v>
      </c>
      <c r="D45" s="207" t="s">
        <v>747</v>
      </c>
      <c r="E45" s="187"/>
      <c r="F45" s="2881"/>
      <c r="G45" s="972"/>
      <c r="H45" s="47"/>
      <c r="I45" s="47"/>
      <c r="J45" s="47"/>
      <c r="K45" s="1905"/>
      <c r="L45" s="47"/>
      <c r="M45" s="47"/>
    </row>
    <row r="46" spans="1:13" ht="18" customHeight="1">
      <c r="A46" s="200" t="s">
        <v>3434</v>
      </c>
      <c r="B46" s="2837" t="s">
        <v>3435</v>
      </c>
      <c r="C46" s="2856">
        <f>ROUND(F46/(1+'数据-取费表'!C43),4)</f>
        <v>0</v>
      </c>
      <c r="D46" s="2838"/>
      <c r="E46" s="2837"/>
      <c r="F46" s="2885"/>
      <c r="G46" s="972"/>
      <c r="H46" s="47"/>
      <c r="I46" s="47"/>
      <c r="J46" s="47"/>
      <c r="K46" s="1905"/>
      <c r="L46" s="47"/>
      <c r="M46" s="47"/>
    </row>
    <row r="47" spans="1:13" s="972" customFormat="1" ht="18" customHeight="1">
      <c r="A47" s="200" t="s">
        <v>3436</v>
      </c>
      <c r="B47" s="2837" t="s">
        <v>3437</v>
      </c>
      <c r="C47" s="2856">
        <f ca="1">ROUND((C31+C38+C41+C44)/(1-F39-C42-C45-C46),0)</f>
        <v>3474</v>
      </c>
      <c r="D47" s="2851" t="s">
        <v>3460</v>
      </c>
      <c r="E47" s="2837"/>
      <c r="F47" s="2885"/>
      <c r="K47" s="988"/>
    </row>
    <row r="48" spans="1:13" s="972" customFormat="1" ht="18" customHeight="1">
      <c r="A48" s="2841" t="s">
        <v>3450</v>
      </c>
      <c r="B48" s="2840" t="s">
        <v>3451</v>
      </c>
      <c r="C48" s="2856">
        <f ca="1">ROUND(C47*(1-F48),0)</f>
        <v>0</v>
      </c>
      <c r="D48" s="187" t="s">
        <v>3454</v>
      </c>
      <c r="E48" s="187" t="s">
        <v>692</v>
      </c>
      <c r="F48" s="2881">
        <f ca="1">INDIRECT("'数据-取费表'!y"&amp;$G$1)</f>
        <v>1</v>
      </c>
      <c r="K48" s="988"/>
    </row>
    <row r="49" spans="1:18" s="972" customFormat="1" ht="18" customHeight="1" thickBot="1">
      <c r="A49" s="2842" t="s">
        <v>3452</v>
      </c>
      <c r="B49" s="2850" t="s">
        <v>3458</v>
      </c>
      <c r="C49" s="2867">
        <f ca="1">C47-C48</f>
        <v>3474</v>
      </c>
      <c r="D49" s="2846" t="s">
        <v>3493</v>
      </c>
      <c r="E49" s="218"/>
      <c r="F49" s="2847"/>
      <c r="K49" s="988"/>
    </row>
    <row r="50" spans="1:18" s="972" customFormat="1" ht="18" customHeight="1" thickBot="1">
      <c r="A50" s="986"/>
      <c r="B50" s="986"/>
      <c r="C50" s="987"/>
      <c r="D50" s="986"/>
      <c r="E50" s="986"/>
      <c r="F50" s="986"/>
      <c r="I50" s="2869" t="s">
        <v>3468</v>
      </c>
      <c r="J50" s="504"/>
      <c r="O50" s="2011" t="s">
        <v>794</v>
      </c>
      <c r="P50" s="1045"/>
      <c r="Q50" s="1045"/>
      <c r="R50" s="1045"/>
    </row>
    <row r="51" spans="1:18" s="972" customFormat="1" ht="13.5" thickBot="1">
      <c r="A51" s="990" t="s">
        <v>795</v>
      </c>
      <c r="C51" s="4121">
        <f ca="1">IF(D2="含税",C78-C28,C75-C25)</f>
        <v>-8633</v>
      </c>
      <c r="D51" s="992" t="str">
        <f>C2</f>
        <v>万元</v>
      </c>
      <c r="E51" s="986"/>
      <c r="F51" s="986"/>
      <c r="I51" s="993" t="s">
        <v>796</v>
      </c>
      <c r="J51" s="994"/>
      <c r="K51" s="995"/>
      <c r="L51" s="3184"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3979</v>
      </c>
      <c r="K52" s="1002" t="s">
        <v>802</v>
      </c>
      <c r="L52" s="3185">
        <f ca="1">INDIRECT("'数据-取费表'!d"&amp;$G$1)</f>
        <v>50</v>
      </c>
      <c r="M52" s="968" t="str">
        <f>IF(ISNUMBER(FIND("住宅",C1)),"住宅","非住宅")</f>
        <v>非住宅</v>
      </c>
      <c r="O52" s="1004" t="s">
        <v>397</v>
      </c>
      <c r="P52" s="1005" t="s">
        <v>803</v>
      </c>
      <c r="Q52" s="3193">
        <f ca="1">C25+J28</f>
        <v>8404</v>
      </c>
      <c r="R52" s="1006" t="s">
        <v>804</v>
      </c>
    </row>
    <row r="53" spans="1:18" s="972" customFormat="1" ht="28.5" thickBot="1">
      <c r="A53" s="681" t="s">
        <v>432</v>
      </c>
      <c r="B53" s="185" t="s">
        <v>679</v>
      </c>
      <c r="C53" s="2870">
        <f ca="1">ROUND(C54+C58+C60,0)</f>
        <v>0</v>
      </c>
      <c r="D53" s="953" t="s">
        <v>3825</v>
      </c>
      <c r="E53" s="779"/>
      <c r="F53" s="666"/>
      <c r="G53" s="500"/>
      <c r="H53" s="501"/>
      <c r="I53" s="1007" t="s">
        <v>805</v>
      </c>
      <c r="J53" s="1008" t="s">
        <v>3980</v>
      </c>
      <c r="K53" s="1009" t="s">
        <v>806</v>
      </c>
      <c r="L53" s="3182">
        <f ca="1">INDIRECT("'数据-取费表'!f"&amp;$G$1)</f>
        <v>48.82</v>
      </c>
      <c r="O53" s="1004" t="s">
        <v>398</v>
      </c>
      <c r="P53" s="1005" t="s">
        <v>807</v>
      </c>
      <c r="Q53" s="3193" t="str">
        <f ca="1">J65</f>
        <v>0</v>
      </c>
      <c r="R53" s="1006" t="s">
        <v>808</v>
      </c>
    </row>
    <row r="54" spans="1:18" s="972" customFormat="1" ht="15.75" thickBot="1">
      <c r="A54" s="4107" t="s">
        <v>3832</v>
      </c>
      <c r="B54" s="2822" t="s">
        <v>3822</v>
      </c>
      <c r="C54" s="4097">
        <f ca="1">C55-C57</f>
        <v>0</v>
      </c>
      <c r="D54" s="2823" t="s">
        <v>3827</v>
      </c>
      <c r="E54" s="2849" t="s">
        <v>3457</v>
      </c>
      <c r="F54" s="3608"/>
      <c r="H54" s="501"/>
      <c r="I54" s="1007" t="s">
        <v>809</v>
      </c>
      <c r="J54" s="3180">
        <v>2026</v>
      </c>
      <c r="K54" s="1009" t="s">
        <v>810</v>
      </c>
      <c r="L54" s="3186"/>
      <c r="O54" s="1013" t="s">
        <v>399</v>
      </c>
      <c r="P54" s="1005" t="s">
        <v>811</v>
      </c>
      <c r="Q54" s="3193">
        <f ca="1">C47</f>
        <v>3474</v>
      </c>
      <c r="R54" s="1006" t="s">
        <v>804</v>
      </c>
    </row>
    <row r="55" spans="1:18" s="972" customFormat="1" ht="13.5" thickBot="1">
      <c r="A55" s="4114" t="s">
        <v>3417</v>
      </c>
      <c r="B55" s="4462" t="s">
        <v>3820</v>
      </c>
      <c r="C55" s="4463">
        <f ca="1">ROUND(F54*F56*F55/10000,2)</f>
        <v>0</v>
      </c>
      <c r="D55" s="4450" t="s">
        <v>3492</v>
      </c>
      <c r="E55" s="726" t="s">
        <v>683</v>
      </c>
      <c r="F55" s="3609">
        <f ca="1">F7</f>
        <v>4951.4299999999994</v>
      </c>
      <c r="H55" s="501"/>
      <c r="I55" s="1007" t="s">
        <v>812</v>
      </c>
      <c r="J55" s="3190">
        <f>SUMPRODUCT((I68:I70=J52)*(J67:L67=J53)*(J68:L70))</f>
        <v>60</v>
      </c>
      <c r="K55" s="1009" t="s">
        <v>813</v>
      </c>
      <c r="L55" s="3186"/>
      <c r="M55" s="1015"/>
      <c r="O55" s="1013" t="s">
        <v>400</v>
      </c>
      <c r="P55" s="1005" t="s">
        <v>814</v>
      </c>
      <c r="Q55" s="1016" t="e">
        <f ca="1">J63</f>
        <v>#VALUE!</v>
      </c>
      <c r="R55" s="1006"/>
    </row>
    <row r="56" spans="1:18" s="972" customFormat="1" ht="13.5" thickBot="1">
      <c r="A56" s="4115"/>
      <c r="B56" s="4462"/>
      <c r="C56" s="4464"/>
      <c r="D56" s="4450"/>
      <c r="E56" s="685" t="s">
        <v>684</v>
      </c>
      <c r="F56" s="3601">
        <f ca="1">F8</f>
        <v>365</v>
      </c>
      <c r="I56" s="1017" t="s">
        <v>815</v>
      </c>
      <c r="J56" s="3182">
        <f>IF(J54="",J55,J54+J55-YEAR('数据-取费表'!B2))</f>
        <v>60</v>
      </c>
      <c r="K56" s="1018" t="s">
        <v>816</v>
      </c>
      <c r="L56" s="3187">
        <f ca="1">ROUND(-PV(INDIRECT("'数据-取费表'!h"&amp;$G$1),J56,(C24-C48*C83),0),0)</f>
        <v>6947</v>
      </c>
      <c r="M56" s="1020"/>
      <c r="O56" s="1013" t="s">
        <v>401</v>
      </c>
      <c r="P56" s="1005" t="s">
        <v>817</v>
      </c>
      <c r="Q56" s="1016">
        <f>J57</f>
        <v>7.4999999999999997E-2</v>
      </c>
      <c r="R56" s="1006"/>
    </row>
    <row r="57" spans="1:18" s="972" customFormat="1" ht="13.5" thickBot="1">
      <c r="A57" s="4116" t="s">
        <v>3415</v>
      </c>
      <c r="B57" s="3788" t="s">
        <v>3821</v>
      </c>
      <c r="C57" s="4098">
        <f ca="1">ROUND(C55*F57,2)</f>
        <v>0</v>
      </c>
      <c r="D57" s="2823" t="s">
        <v>3826</v>
      </c>
      <c r="E57" s="685" t="s">
        <v>685</v>
      </c>
      <c r="F57" s="2878"/>
      <c r="I57" s="1021" t="s">
        <v>818</v>
      </c>
      <c r="J57" s="1022">
        <v>7.4999999999999997E-2</v>
      </c>
      <c r="K57" s="1021" t="s">
        <v>819</v>
      </c>
      <c r="L57" s="1022"/>
      <c r="O57" s="1013" t="s">
        <v>402</v>
      </c>
      <c r="P57" s="1005" t="s">
        <v>820</v>
      </c>
      <c r="Q57" s="3192">
        <f ca="1">J58</f>
        <v>47.92</v>
      </c>
      <c r="R57" s="1006" t="s">
        <v>821</v>
      </c>
    </row>
    <row r="58" spans="1:18" s="972" customFormat="1" ht="24.75" thickBot="1">
      <c r="A58" s="4117" t="s">
        <v>3465</v>
      </c>
      <c r="B58" s="961" t="s">
        <v>686</v>
      </c>
      <c r="C58" s="2806">
        <f ca="1">ROUND(IF(F58="押一",C54/12*F11,IF(F58="押二",C54/12*2*F11,IF(F58="押三",C54/12*3*F11,C59*F11))),2)</f>
        <v>0</v>
      </c>
      <c r="D58" s="59" t="s">
        <v>2026</v>
      </c>
      <c r="E58" s="198" t="s">
        <v>687</v>
      </c>
      <c r="F58" s="3610"/>
      <c r="I58" s="1023" t="s">
        <v>822</v>
      </c>
      <c r="J58" s="3183">
        <f ca="1">IF(M52="住宅",IF(D1="——",MAX(J56,L53),MAX(J56,L53-'数据-取费表'!B24)),IF(D1="——",MIN(J56,L53),MIN(J56,L53-'数据-取费表'!B24)))</f>
        <v>47.92</v>
      </c>
      <c r="K58" s="4445" t="s">
        <v>823</v>
      </c>
      <c r="L58" s="4446"/>
      <c r="O58" s="1004" t="s">
        <v>403</v>
      </c>
      <c r="P58" s="1005" t="s">
        <v>824</v>
      </c>
      <c r="Q58" s="3193">
        <f ca="1">Q52+Q53</f>
        <v>8404</v>
      </c>
      <c r="R58" s="1006" t="s">
        <v>404</v>
      </c>
    </row>
    <row r="59" spans="1:18" s="972" customFormat="1" ht="13.5" thickBot="1">
      <c r="A59" s="4108"/>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969"/>
      <c r="R59" s="969"/>
    </row>
    <row r="60" spans="1:18" s="972" customFormat="1" ht="13.5" thickBot="1">
      <c r="A60" s="4109" t="s">
        <v>3833</v>
      </c>
      <c r="B60" s="957" t="s">
        <v>689</v>
      </c>
      <c r="C60" s="4094"/>
      <c r="D60" s="59"/>
      <c r="E60" s="962"/>
      <c r="F60" s="1024"/>
      <c r="I60" s="1027" t="s">
        <v>826</v>
      </c>
      <c r="J60" s="1028" t="e">
        <f ca="1">ROUND(IF(J52="钢混",J62/J55,1-(1-2%)*(J55-J62)/J55),3)</f>
        <v>#VALUE!</v>
      </c>
      <c r="K60" s="1029" t="s">
        <v>827</v>
      </c>
      <c r="L60" s="1030"/>
      <c r="O60" s="997" t="s">
        <v>797</v>
      </c>
      <c r="P60" s="998" t="s">
        <v>798</v>
      </c>
      <c r="Q60" s="999" t="s">
        <v>799</v>
      </c>
      <c r="R60" s="999" t="s">
        <v>800</v>
      </c>
    </row>
    <row r="61" spans="1:18" s="972" customFormat="1" ht="25.5" thickTop="1" thickBot="1">
      <c r="A61" s="200" t="s">
        <v>3702</v>
      </c>
      <c r="B61" s="662" t="s">
        <v>700</v>
      </c>
      <c r="C61" s="2856">
        <f ca="1">ROUND(C62+C69+C71+C73,0)</f>
        <v>10</v>
      </c>
      <c r="D61" s="664" t="s">
        <v>701</v>
      </c>
      <c r="E61" s="665"/>
      <c r="F61" s="666"/>
      <c r="I61" s="1033" t="s">
        <v>828</v>
      </c>
      <c r="J61" s="1034" t="s">
        <v>3930</v>
      </c>
      <c r="K61" s="1007" t="s">
        <v>829</v>
      </c>
      <c r="L61" s="3182" t="str">
        <f ca="1">IF(L53&lt;J56,"——",L53-J58)</f>
        <v>——</v>
      </c>
      <c r="O61" s="1004" t="s">
        <v>397</v>
      </c>
      <c r="P61" s="1005" t="s">
        <v>803</v>
      </c>
      <c r="Q61" s="3193">
        <f ca="1">C25+J28</f>
        <v>8404</v>
      </c>
      <c r="R61" s="1006" t="s">
        <v>804</v>
      </c>
    </row>
    <row r="62" spans="1:18" s="972" customFormat="1" ht="24.75" thickBot="1">
      <c r="A62" s="547" t="s">
        <v>392</v>
      </c>
      <c r="B62" s="654" t="s">
        <v>705</v>
      </c>
      <c r="C62" s="2806">
        <f ca="1">ROUND(IF(AND(项目基本情况!B11="自然人",项目基本情况!B10="北京市",M52="住宅"),C54*F62,C63+C66+C67),2)</f>
        <v>-0.47</v>
      </c>
      <c r="D62" s="667" t="s">
        <v>3462</v>
      </c>
      <c r="E62" s="668" t="s">
        <v>707</v>
      </c>
      <c r="F62" s="4068" t="str">
        <f>IF(项目基本情况!B11="企业","——",IF('数据-取费表'!B10="住宅",IF(F54*F55*F56/12/(1+'数据-取费表'!F30)&gt;100000,4%,2.5%),IF(F54*F55*F56/12/(1+'数据-取费表'!F30)&gt;100000,12%,7%)))</f>
        <v>——</v>
      </c>
      <c r="I62" s="1039" t="s">
        <v>830</v>
      </c>
      <c r="J62" s="3612" t="str">
        <f ca="1">IF(OR(M52="住宅",J56&lt;L53,J61="是"),"——",J56-L53)</f>
        <v>——</v>
      </c>
      <c r="K62" s="1007" t="s">
        <v>831</v>
      </c>
      <c r="L62" s="3191" t="str">
        <f ca="1">IF(L53&lt;J56,"——",IF(L60="比较法",L54,IF(L60="基准地价",L55,L56)))</f>
        <v>——</v>
      </c>
      <c r="O62" s="1004" t="s">
        <v>398</v>
      </c>
      <c r="P62" s="1005" t="s">
        <v>832</v>
      </c>
      <c r="Q62" s="3192">
        <f ca="1">L65</f>
        <v>0</v>
      </c>
      <c r="R62" s="1006" t="s">
        <v>833</v>
      </c>
    </row>
    <row r="63" spans="1:18" s="972" customFormat="1" ht="24.75" thickBot="1">
      <c r="A63" s="4088" t="s">
        <v>391</v>
      </c>
      <c r="B63" s="2821" t="s">
        <v>3418</v>
      </c>
      <c r="C63" s="2806">
        <f ca="1">ROUND((C64-C65)*(1+F63),2)</f>
        <v>-0.93</v>
      </c>
      <c r="D63" s="2852" t="s">
        <v>3461</v>
      </c>
      <c r="E63" s="187" t="s">
        <v>3455</v>
      </c>
      <c r="F63" s="2880">
        <f>F15</f>
        <v>0.12000000000000001</v>
      </c>
      <c r="I63" s="1039" t="s">
        <v>834</v>
      </c>
      <c r="J63" s="1041" t="e">
        <f ca="1">IF(J60&lt;0.4,0.4,J60)</f>
        <v>#VALUE!</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8"/>
      <c r="B64" s="4099" t="s">
        <v>3419</v>
      </c>
      <c r="C64" s="2806">
        <f ca="1">ROUND(C54*F64,2)</f>
        <v>0</v>
      </c>
      <c r="D64" s="1031"/>
      <c r="E64" s="2833" t="s">
        <v>3421</v>
      </c>
      <c r="F64" s="2880">
        <f t="shared" ref="F64:F65"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89"/>
      <c r="B65" s="4099" t="s">
        <v>3420</v>
      </c>
      <c r="C65" s="2806">
        <f ca="1">ROUND(C69*F64+((C71+C73)*F65),2)</f>
        <v>0.83</v>
      </c>
      <c r="D65" s="2834" t="s">
        <v>3422</v>
      </c>
      <c r="E65" s="2834"/>
      <c r="F65" s="2880">
        <f t="shared" si="0"/>
        <v>0.06</v>
      </c>
      <c r="I65" s="1042" t="s">
        <v>839</v>
      </c>
      <c r="J65" s="4072" t="str">
        <f ca="1">IF(OR(M52="住宅",J56&lt;L53,J61="是"),"0",ROUND(J64/(1+J57)^J58,0))</f>
        <v>0</v>
      </c>
      <c r="K65" s="1044" t="s">
        <v>840</v>
      </c>
      <c r="L65" s="4072">
        <f ca="1">IF(OR(M52="住宅",L53&lt;J56),0,ROUND(L62*(L63/L64-1),0))</f>
        <v>0</v>
      </c>
      <c r="O65" s="1013" t="s">
        <v>401</v>
      </c>
      <c r="P65" s="1005" t="s">
        <v>841</v>
      </c>
      <c r="Q65" s="3613" t="e">
        <f ca="1">L63</f>
        <v>#DIV/0!</v>
      </c>
      <c r="R65" s="1006" t="s">
        <v>842</v>
      </c>
    </row>
    <row r="66" spans="1:18" s="972" customFormat="1" ht="13.5" thickBot="1">
      <c r="A66" s="4110"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0.12</v>
      </c>
      <c r="I66" s="1045"/>
      <c r="J66" s="1045"/>
      <c r="K66" s="1045"/>
      <c r="L66" s="1045"/>
      <c r="O66" s="1013" t="s">
        <v>402</v>
      </c>
      <c r="P66" s="1005" t="str">
        <f>K64</f>
        <v>续建工期及建筑物耐用年限下的土地年期修正系数Kn</v>
      </c>
      <c r="Q66" s="3613" t="e">
        <f ca="1">L64</f>
        <v>#DIV/0!</v>
      </c>
      <c r="R66" s="1006" t="s">
        <v>843</v>
      </c>
    </row>
    <row r="67" spans="1:18" s="972" customFormat="1" ht="13.5" thickBot="1">
      <c r="A67" s="4088" t="s">
        <v>770</v>
      </c>
      <c r="B67" s="4100" t="s">
        <v>771</v>
      </c>
      <c r="C67" s="2829">
        <f ca="1">IF(项目基本情况!B11="自然人","——",ROUND(F67*F68/10000,2))</f>
        <v>0.46</v>
      </c>
      <c r="D67" s="669" t="s">
        <v>772</v>
      </c>
      <c r="E67" s="654" t="s">
        <v>773</v>
      </c>
      <c r="F67" s="3611">
        <f t="shared" si="1"/>
        <v>3</v>
      </c>
      <c r="I67" s="1046" t="s">
        <v>844</v>
      </c>
      <c r="J67" s="1047" t="s">
        <v>845</v>
      </c>
      <c r="K67" s="1047" t="s">
        <v>846</v>
      </c>
      <c r="L67" s="1047" t="s">
        <v>847</v>
      </c>
      <c r="M67" s="1048" t="s">
        <v>848</v>
      </c>
      <c r="O67" s="1004" t="s">
        <v>403</v>
      </c>
      <c r="P67" s="1005" t="s">
        <v>849</v>
      </c>
      <c r="Q67" s="3192">
        <f ca="1">Q61+Q62</f>
        <v>8404</v>
      </c>
      <c r="R67" s="1006" t="s">
        <v>404</v>
      </c>
    </row>
    <row r="68" spans="1:18" s="972" customFormat="1" ht="13.5" thickBot="1">
      <c r="A68" s="210"/>
      <c r="B68" s="4101"/>
      <c r="C68" s="2830"/>
      <c r="D68" s="670"/>
      <c r="E68" s="654" t="s">
        <v>774</v>
      </c>
      <c r="F68" s="3179">
        <f t="shared" ca="1" si="1"/>
        <v>1530.98</v>
      </c>
      <c r="I68" s="1046" t="s">
        <v>850</v>
      </c>
      <c r="J68" s="224">
        <v>70</v>
      </c>
      <c r="K68" s="224">
        <v>50</v>
      </c>
      <c r="L68" s="224">
        <v>80</v>
      </c>
      <c r="M68" s="1049">
        <v>0.02</v>
      </c>
      <c r="O68" s="989" t="s">
        <v>851</v>
      </c>
      <c r="P68" s="969"/>
      <c r="Q68" s="969"/>
      <c r="R68" s="969"/>
    </row>
    <row r="69" spans="1:18" s="972" customFormat="1" ht="13.5" thickBot="1">
      <c r="A69" s="4111" t="s">
        <v>775</v>
      </c>
      <c r="B69" s="653" t="s">
        <v>776</v>
      </c>
      <c r="C69" s="4103">
        <f ca="1">ROUND(F69*F70,2)</f>
        <v>6.95</v>
      </c>
      <c r="D69" s="4105" t="s">
        <v>3456</v>
      </c>
      <c r="E69" s="4118" t="s">
        <v>3828</v>
      </c>
      <c r="F69" s="4119">
        <f ca="1">C47</f>
        <v>3474</v>
      </c>
      <c r="I69" s="1046" t="s">
        <v>852</v>
      </c>
      <c r="J69" s="224">
        <v>50</v>
      </c>
      <c r="K69" s="224">
        <v>35</v>
      </c>
      <c r="L69" s="224">
        <v>60</v>
      </c>
      <c r="M69" s="1048">
        <v>0</v>
      </c>
      <c r="O69" s="997" t="s">
        <v>797</v>
      </c>
      <c r="P69" s="998" t="s">
        <v>798</v>
      </c>
      <c r="Q69" s="999" t="s">
        <v>799</v>
      </c>
      <c r="R69" s="999" t="s">
        <v>800</v>
      </c>
    </row>
    <row r="70" spans="1:18" s="972" customFormat="1" ht="13.5" thickBot="1">
      <c r="A70" s="4112"/>
      <c r="B70" s="660"/>
      <c r="C70" s="4104"/>
      <c r="D70" s="4106"/>
      <c r="E70" s="654" t="s">
        <v>769</v>
      </c>
      <c r="F70" s="2883">
        <f ca="1">F21</f>
        <v>2E-3</v>
      </c>
      <c r="I70" s="1046" t="s">
        <v>853</v>
      </c>
      <c r="J70" s="224">
        <v>40</v>
      </c>
      <c r="K70" s="224">
        <v>30</v>
      </c>
      <c r="L70" s="224">
        <v>50</v>
      </c>
      <c r="M70" s="1049">
        <v>0.02</v>
      </c>
      <c r="O70" s="1004" t="s">
        <v>397</v>
      </c>
      <c r="P70" s="1005" t="s">
        <v>854</v>
      </c>
      <c r="Q70" s="3193">
        <f ca="1">C25+J28</f>
        <v>8404</v>
      </c>
      <c r="R70" s="1006" t="s">
        <v>804</v>
      </c>
    </row>
    <row r="71" spans="1:18" s="972" customFormat="1" ht="16.5" thickBot="1">
      <c r="A71" s="4111" t="s">
        <v>778</v>
      </c>
      <c r="B71" s="653" t="s">
        <v>728</v>
      </c>
      <c r="C71" s="4103">
        <f ca="1">ROUND(F71*F72,2)</f>
        <v>3.47</v>
      </c>
      <c r="D71" s="4105" t="s">
        <v>3459</v>
      </c>
      <c r="E71" s="4118" t="s">
        <v>3829</v>
      </c>
      <c r="F71" s="4120">
        <f ca="1">C49</f>
        <v>3474</v>
      </c>
      <c r="O71" s="1004" t="s">
        <v>398</v>
      </c>
      <c r="P71" s="1005" t="s">
        <v>832</v>
      </c>
      <c r="Q71" s="3192">
        <f ca="1">L65</f>
        <v>0</v>
      </c>
      <c r="R71" s="1006" t="s">
        <v>855</v>
      </c>
    </row>
    <row r="72" spans="1:18" s="972" customFormat="1" ht="13.5" thickBot="1">
      <c r="A72" s="4113"/>
      <c r="B72" s="660"/>
      <c r="C72" s="4104"/>
      <c r="D72" s="4106"/>
      <c r="E72" s="654" t="s">
        <v>730</v>
      </c>
      <c r="F72" s="2884">
        <f ca="1">F22</f>
        <v>1E-3</v>
      </c>
      <c r="O72" s="1004"/>
      <c r="P72" s="1005"/>
      <c r="Q72" s="3192"/>
      <c r="R72" s="1006"/>
    </row>
    <row r="73" spans="1:18" s="972" customFormat="1" ht="16.5" thickBot="1">
      <c r="A73" s="4113" t="s">
        <v>779</v>
      </c>
      <c r="B73" s="654" t="s">
        <v>714</v>
      </c>
      <c r="C73" s="2806">
        <f ca="1">ROUND(C53*F73,2)</f>
        <v>0</v>
      </c>
      <c r="D73" s="668" t="s">
        <v>780</v>
      </c>
      <c r="E73" s="654" t="s">
        <v>698</v>
      </c>
      <c r="F73" s="2885">
        <f ca="1">F23</f>
        <v>0.01</v>
      </c>
      <c r="O73" s="1013" t="s">
        <v>399</v>
      </c>
      <c r="P73" s="1005" t="s">
        <v>836</v>
      </c>
      <c r="Q73" s="3193">
        <f ca="1">L56</f>
        <v>6947</v>
      </c>
      <c r="R73" s="1006" t="s">
        <v>856</v>
      </c>
    </row>
    <row r="74" spans="1:18" s="972" customFormat="1" ht="13.5" thickBot="1">
      <c r="A74" s="661" t="s">
        <v>3830</v>
      </c>
      <c r="B74" s="671" t="s">
        <v>738</v>
      </c>
      <c r="C74" s="2856">
        <f ca="1">C53-C61</f>
        <v>-10</v>
      </c>
      <c r="D74" s="667" t="s">
        <v>739</v>
      </c>
      <c r="E74" s="672"/>
      <c r="F74" s="2886"/>
      <c r="O74" s="1013"/>
      <c r="P74" s="1005"/>
      <c r="Q74" s="3193"/>
      <c r="R74" s="1006"/>
    </row>
    <row r="75" spans="1:18" s="972" customFormat="1" ht="16.5" thickBot="1">
      <c r="A75" s="3374" t="s">
        <v>3831</v>
      </c>
      <c r="B75" s="652" t="s">
        <v>760</v>
      </c>
      <c r="C75" s="3203">
        <f ca="1">ROUND(C74*(1-((1+F77)/(1+F75))^F76)/(F75-F77),0)</f>
        <v>-229</v>
      </c>
      <c r="D75" s="2905" t="s">
        <v>744</v>
      </c>
      <c r="E75" s="654" t="s">
        <v>745</v>
      </c>
      <c r="F75" s="2885">
        <f ca="1">F25</f>
        <v>5.5E-2</v>
      </c>
      <c r="O75" s="1013" t="s">
        <v>400</v>
      </c>
      <c r="P75" s="1051" t="s">
        <v>857</v>
      </c>
      <c r="Q75" s="3193">
        <f ca="1">ROUND(Q76-Q77*Q78,0)</f>
        <v>367</v>
      </c>
      <c r="R75" s="1006" t="s">
        <v>408</v>
      </c>
    </row>
    <row r="76" spans="1:18" s="972" customFormat="1" ht="13.5" thickBot="1">
      <c r="A76" s="3375"/>
      <c r="B76" s="656"/>
      <c r="C76" s="3204"/>
      <c r="D76" s="2906" t="s">
        <v>748</v>
      </c>
      <c r="E76" s="654" t="s">
        <v>749</v>
      </c>
      <c r="F76" s="2887">
        <f ca="1">F26</f>
        <v>47.92</v>
      </c>
      <c r="O76" s="1013" t="s">
        <v>405</v>
      </c>
      <c r="P76" s="1051" t="s">
        <v>858</v>
      </c>
      <c r="Q76" s="3193">
        <f ca="1">C24</f>
        <v>367</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3834</v>
      </c>
      <c r="B78" s="2854" t="s">
        <v>3463</v>
      </c>
      <c r="C78" s="3205">
        <f ca="1">ROUND(C75*(1+F28),0)</f>
        <v>-250</v>
      </c>
      <c r="D78" s="3377" t="str">
        <f>D28</f>
        <v>其他类型公式—收益价值×（1+9%）</v>
      </c>
      <c r="E78" s="969"/>
      <c r="F78" s="3378"/>
      <c r="O78" s="1013" t="s">
        <v>407</v>
      </c>
      <c r="P78" s="1051" t="s">
        <v>860</v>
      </c>
      <c r="Q78" s="1016">
        <f ca="1">C83</f>
        <v>7.0000000000000007E-2</v>
      </c>
      <c r="R78" s="1006"/>
    </row>
    <row r="79" spans="1:18" s="972" customFormat="1" ht="13.5" thickBot="1">
      <c r="A79" s="675" t="s">
        <v>390</v>
      </c>
      <c r="B79" s="676" t="s">
        <v>762</v>
      </c>
      <c r="C79" s="2867">
        <f ca="1">ROUND(C78*10000/F79,0)</f>
        <v>-505</v>
      </c>
      <c r="D79" s="677" t="s">
        <v>3494</v>
      </c>
      <c r="E79" s="678" t="s">
        <v>764</v>
      </c>
      <c r="F79" s="2888">
        <f ca="1">F29</f>
        <v>4951.4299999999994</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续建工期及建筑物耐用年限下的土地年期修正系数Kn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f ca="1">Q70+Q71</f>
        <v>8404</v>
      </c>
      <c r="R82" s="1006" t="s">
        <v>404</v>
      </c>
    </row>
    <row r="83" spans="1:18">
      <c r="B83" s="225" t="s">
        <v>782</v>
      </c>
      <c r="C83" s="2839">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0.58699999999999997</v>
      </c>
    </row>
    <row r="90" spans="1:18">
      <c r="B90" s="169" t="s">
        <v>789</v>
      </c>
      <c r="C90" s="2956">
        <f ca="1">ROUND(C49/(C25+J28+L51),3)</f>
        <v>0.41299999999999998</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xr:uid="{00000000-0002-0000-1C00-000000000000}">
      <formula1>"按不含税租金收入计税,按房产原值计税"</formula1>
    </dataValidation>
    <dataValidation type="list" allowBlank="1" showInputMessage="1" showErrorMessage="1" sqref="D66 D18" xr:uid="{00000000-0002-0000-1C00-000001000000}">
      <formula1>"按不含税租金收入计税,按房产原值计税,按票据"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52" xr:uid="{00000000-0002-0000-1C00-000003000000}">
      <formula1>"钢,钢混,砖混"</formula1>
    </dataValidation>
    <dataValidation type="list" allowBlank="1" showInputMessage="1" showErrorMessage="1" sqref="J53" xr:uid="{00000000-0002-0000-1C00-000004000000}">
      <formula1>"非生产用房,生产用房,受腐蚀的生产用房"</formula1>
    </dataValidation>
    <dataValidation type="list" allowBlank="1" showInputMessage="1" showErrorMessage="1" sqref="J61" xr:uid="{00000000-0002-0000-1C00-000005000000}">
      <formula1>估价范围判定</formula1>
    </dataValidation>
    <dataValidation type="list" allowBlank="1" showInputMessage="1" showErrorMessage="1" sqref="L60" xr:uid="{00000000-0002-0000-1C00-000006000000}">
      <formula1>"比较法,基准地价,收益还原"</formula1>
    </dataValidation>
    <dataValidation type="list" allowBlank="1" showInputMessage="1" showErrorMessage="1" sqref="M10 F10 F58"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 type="list" allowBlank="1" showInputMessage="1" showErrorMessage="1" sqref="D2" xr:uid="{00000000-0002-0000-1C00-000009000000}">
      <formula1>"含税,不含税"</formula1>
    </dataValidation>
    <dataValidation type="list" allowBlank="1" showInputMessage="1" showErrorMessage="1" sqref="D28" xr:uid="{00000000-0002-0000-1C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0"/>
  <sheetViews>
    <sheetView zoomScaleNormal="100" zoomScaleSheetLayoutView="100" workbookViewId="0">
      <selection activeCell="C22" sqref="C22:Q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c r="E1" s="952" t="s">
        <v>665</v>
      </c>
      <c r="F1" s="732">
        <f ca="1">J58</f>
        <v>-0.89999999999999991</v>
      </c>
      <c r="G1" s="966">
        <f>MATCH(C1,'数据-取费表'!A6:A16,0)+5</f>
        <v>9</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t="e">
        <f ca="1">ROUND(D3/10000,4)</f>
        <v>#DIV/0!</v>
      </c>
      <c r="C2" s="969" t="s">
        <v>791</v>
      </c>
      <c r="D2" s="3508"/>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3416</v>
      </c>
      <c r="C5" s="2855">
        <f ca="1">C6+C10+C12</f>
        <v>0</v>
      </c>
      <c r="D5" s="953" t="s">
        <v>3825</v>
      </c>
      <c r="E5" s="741"/>
      <c r="F5" s="742"/>
      <c r="G5" s="972"/>
      <c r="H5" s="184">
        <v>1</v>
      </c>
      <c r="I5" s="185" t="s">
        <v>679</v>
      </c>
      <c r="J5" s="2855">
        <f ca="1">J6+J10+J12</f>
        <v>0</v>
      </c>
      <c r="K5" s="953" t="s">
        <v>3825</v>
      </c>
      <c r="L5" s="3380"/>
      <c r="M5" s="742"/>
    </row>
    <row r="6" spans="1:37" ht="18" customHeight="1">
      <c r="A6" s="739" t="s">
        <v>392</v>
      </c>
      <c r="B6" s="2822" t="s">
        <v>3822</v>
      </c>
      <c r="C6" s="3614">
        <f ca="1">C7-C9</f>
        <v>0</v>
      </c>
      <c r="D6" s="2823" t="s">
        <v>3827</v>
      </c>
      <c r="E6" s="2821" t="s">
        <v>3414</v>
      </c>
      <c r="F6" s="3179">
        <f ca="1">INDIRECT("'数据-取费表'!u"&amp;$G$1)</f>
        <v>0</v>
      </c>
      <c r="G6" s="972"/>
      <c r="H6" s="739" t="s">
        <v>392</v>
      </c>
      <c r="I6" s="2822" t="s">
        <v>3822</v>
      </c>
      <c r="J6" s="2856">
        <f ca="1">J7-J9</f>
        <v>0</v>
      </c>
      <c r="K6" s="2823" t="s">
        <v>3827</v>
      </c>
      <c r="L6" s="3381" t="s">
        <v>3414</v>
      </c>
      <c r="M6" s="3642">
        <f ca="1">INDIRECT("'数据-取费表'!z"&amp;$G$1)</f>
        <v>0</v>
      </c>
    </row>
    <row r="7" spans="1:37" ht="18" customHeight="1">
      <c r="A7" s="4465" t="s">
        <v>391</v>
      </c>
      <c r="B7" s="4447" t="s">
        <v>3820</v>
      </c>
      <c r="C7" s="4468">
        <f ca="1">ROUND(F6*F7*F8,0)</f>
        <v>0</v>
      </c>
      <c r="D7" s="4450" t="s">
        <v>3492</v>
      </c>
      <c r="E7" s="746" t="s">
        <v>683</v>
      </c>
      <c r="F7" s="3601">
        <f ca="1">IF(INDIRECT("'数据-取费表'!ah"&amp;$G$1)="",INDIRECT("'数据-取费表'!k"&amp;$G$1),INDIRECT("'数据-取费表'!ah"&amp;$G$1))</f>
        <v>0</v>
      </c>
      <c r="G7" s="972"/>
      <c r="H7" s="4465" t="s">
        <v>391</v>
      </c>
      <c r="I7" s="4447" t="s">
        <v>3820</v>
      </c>
      <c r="J7" s="4458">
        <f ca="1">ROUND(M6*M8*M7,0)</f>
        <v>0</v>
      </c>
      <c r="K7" s="4450" t="s">
        <v>3492</v>
      </c>
      <c r="L7" s="1912" t="s">
        <v>683</v>
      </c>
      <c r="M7" s="3643">
        <f ca="1">F7</f>
        <v>0</v>
      </c>
    </row>
    <row r="8" spans="1:37" ht="18" customHeight="1">
      <c r="A8" s="4466"/>
      <c r="B8" s="4448"/>
      <c r="C8" s="4468"/>
      <c r="D8" s="4450"/>
      <c r="E8" s="187" t="s">
        <v>684</v>
      </c>
      <c r="F8" s="3601">
        <f ca="1">INDIRECT("'数据-取费表'!ai"&amp;$G$1)</f>
        <v>0</v>
      </c>
      <c r="G8" s="972"/>
      <c r="H8" s="4466"/>
      <c r="I8" s="4448"/>
      <c r="J8" s="4458"/>
      <c r="K8" s="4450"/>
      <c r="L8" s="1912" t="s">
        <v>684</v>
      </c>
      <c r="M8" s="3643">
        <f ca="1">INDIRECT("'数据-取费表'!ai"&amp;$G$1)</f>
        <v>0</v>
      </c>
    </row>
    <row r="9" spans="1:37" ht="18" customHeight="1">
      <c r="A9" s="2804" t="s">
        <v>3415</v>
      </c>
      <c r="B9" s="3202" t="s">
        <v>3821</v>
      </c>
      <c r="C9" s="3204">
        <f ca="1">ROUND(C7*F9,0)</f>
        <v>0</v>
      </c>
      <c r="D9" s="2823" t="s">
        <v>3826</v>
      </c>
      <c r="E9" s="187" t="s">
        <v>685</v>
      </c>
      <c r="F9" s="2885">
        <f ca="1">INDIRECT("'数据-取费表'!w"&amp;$G$1)</f>
        <v>0</v>
      </c>
      <c r="G9" s="972"/>
      <c r="H9" s="2804" t="s">
        <v>3415</v>
      </c>
      <c r="I9" s="3202" t="s">
        <v>3821</v>
      </c>
      <c r="J9" s="2856">
        <f ca="1">ROUND(J7*M9,0)</f>
        <v>0</v>
      </c>
      <c r="K9" s="2823" t="s">
        <v>3826</v>
      </c>
      <c r="L9" s="3201" t="s">
        <v>685</v>
      </c>
      <c r="M9" s="3629">
        <f ca="1">INDIRECT("'数据-取费表'!ab"&amp;$G$1)</f>
        <v>0</v>
      </c>
    </row>
    <row r="10" spans="1:37" ht="18" customHeight="1">
      <c r="A10" s="739" t="s">
        <v>396</v>
      </c>
      <c r="B10" s="954" t="s">
        <v>686</v>
      </c>
      <c r="C10" s="2856">
        <f ca="1">ROUND(IF(F10="押一",C6/12*F11,IF(F10="押二",C6/12*2*F11,IF(F10="押三",C6/12*3*F11,C11*F11))),0)</f>
        <v>0</v>
      </c>
      <c r="D10" s="59" t="s">
        <v>2026</v>
      </c>
      <c r="E10" s="198" t="s">
        <v>687</v>
      </c>
      <c r="F10" s="781"/>
      <c r="G10" s="972"/>
      <c r="H10" s="739" t="s">
        <v>396</v>
      </c>
      <c r="I10" s="954" t="s">
        <v>686</v>
      </c>
      <c r="J10" s="3203">
        <f ca="1">ROUND(IF(M10="押一",J6/12*M11,IF(M10="押二",J6/12*2*M11,IF(M10="押三",J6/12*3*M11,J11*M11))),0)</f>
        <v>0</v>
      </c>
      <c r="K10" s="59" t="s">
        <v>2026</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3702</v>
      </c>
      <c r="B13" s="749" t="s">
        <v>700</v>
      </c>
      <c r="C13" s="3205">
        <f ca="1">ROUND(C14+C21+C22+C23,0)</f>
        <v>0</v>
      </c>
      <c r="D13" s="756" t="s">
        <v>701</v>
      </c>
      <c r="E13" s="757"/>
      <c r="F13" s="742"/>
      <c r="G13" s="972"/>
      <c r="H13" s="748" t="s">
        <v>3702</v>
      </c>
      <c r="I13" s="749" t="s">
        <v>700</v>
      </c>
      <c r="J13" s="3205">
        <f ca="1">ROUND(J14+J21+J22+J23,0)</f>
        <v>0</v>
      </c>
      <c r="K13" s="937" t="s">
        <v>3462</v>
      </c>
      <c r="L13" s="742"/>
      <c r="M13" s="3632"/>
    </row>
    <row r="14" spans="1:37" ht="18" customHeight="1">
      <c r="A14" s="686" t="s">
        <v>392</v>
      </c>
      <c r="B14" s="187" t="s">
        <v>705</v>
      </c>
      <c r="C14" s="2807">
        <f ca="1">ROUND(IF(AND(项目基本情况!B11="自然人",项目基本情况!B10="北京市",M52="住宅"),C6*F14,C15+C18+C19),2)</f>
        <v>0</v>
      </c>
      <c r="D14" s="937" t="s">
        <v>3462</v>
      </c>
      <c r="E14" s="936" t="s">
        <v>756</v>
      </c>
      <c r="F14" s="4068"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2" t="s">
        <v>3461</v>
      </c>
      <c r="L14" s="70" t="s">
        <v>707</v>
      </c>
      <c r="M14" s="4068" t="str">
        <f>IF(项目基本情况!B11="企业","",IF('数据-取费表'!B10="住宅",IF(M6*M7*M8/12/(1+'数据-取费表'!F30)&gt;100000,4%,2.5%),IF(M6*M7*M8/12/(1+'数据-取费表'!F30)&gt;100000,12%,7%)))</f>
        <v/>
      </c>
    </row>
    <row r="15" spans="1:37" s="983" customFormat="1" ht="18" customHeight="1">
      <c r="A15" s="2804" t="s">
        <v>391</v>
      </c>
      <c r="B15" s="2821" t="s">
        <v>3290</v>
      </c>
      <c r="C15" s="2807">
        <f ca="1">ROUND((C16-C17)*(1+F15),0)</f>
        <v>0</v>
      </c>
      <c r="D15" s="2852" t="s">
        <v>3461</v>
      </c>
      <c r="E15" s="187" t="s">
        <v>3455</v>
      </c>
      <c r="F15" s="2880">
        <f>'数据-取费表'!B44</f>
        <v>0.12000000000000001</v>
      </c>
      <c r="G15" s="982"/>
      <c r="H15" s="686" t="s">
        <v>391</v>
      </c>
      <c r="I15" s="2821" t="s">
        <v>3290</v>
      </c>
      <c r="J15" s="2807">
        <f ca="1">ROUND((J16-J17)*(1+M15),0)</f>
        <v>0</v>
      </c>
      <c r="K15" s="1031"/>
      <c r="L15" s="1912" t="s">
        <v>3455</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3293</v>
      </c>
      <c r="B16" s="2826" t="s">
        <v>3419</v>
      </c>
      <c r="C16" s="2751">
        <f ca="1">ROUND(C6*F16,0)</f>
        <v>0</v>
      </c>
      <c r="D16" s="1031"/>
      <c r="E16" s="2833" t="s">
        <v>3421</v>
      </c>
      <c r="F16" s="2880">
        <v>0.09</v>
      </c>
      <c r="G16" s="972"/>
      <c r="H16" s="2592" t="s">
        <v>3293</v>
      </c>
      <c r="I16" s="2826" t="s">
        <v>3419</v>
      </c>
      <c r="J16" s="2751">
        <f ca="1">ROUND(J6*M16,0)</f>
        <v>0</v>
      </c>
      <c r="K16" s="2834" t="s">
        <v>3422</v>
      </c>
      <c r="L16" s="3383" t="s">
        <v>3421</v>
      </c>
      <c r="M16" s="3634">
        <v>0.09</v>
      </c>
    </row>
    <row r="17" spans="1:37" s="983" customFormat="1" ht="18" customHeight="1">
      <c r="A17" s="2592" t="s">
        <v>3294</v>
      </c>
      <c r="B17" s="2826" t="s">
        <v>3420</v>
      </c>
      <c r="C17" s="3175">
        <f ca="1">ROUND(C21*F16+((C22+C23)*F17),0)</f>
        <v>0</v>
      </c>
      <c r="D17" s="2834" t="s">
        <v>3422</v>
      </c>
      <c r="E17" s="2834"/>
      <c r="F17" s="2880">
        <v>0.06</v>
      </c>
      <c r="G17" s="982"/>
      <c r="H17" s="2592" t="s">
        <v>3294</v>
      </c>
      <c r="I17" s="2826" t="s">
        <v>3420</v>
      </c>
      <c r="J17" s="3175">
        <f ca="1">ROUND(J21*M16+((J22+J23)*M17),0)</f>
        <v>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1">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3</v>
      </c>
      <c r="G19" s="972"/>
      <c r="H19" s="686" t="s">
        <v>667</v>
      </c>
      <c r="I19" s="56" t="s">
        <v>716</v>
      </c>
      <c r="J19" s="3176">
        <f ca="1">ROUND(M19*M20/10000,0)</f>
        <v>0</v>
      </c>
      <c r="K19" s="208" t="s">
        <v>717</v>
      </c>
      <c r="L19" s="1912" t="s">
        <v>718</v>
      </c>
      <c r="M19" s="3641">
        <f>'数据-取费表'!B53</f>
        <v>3</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3">
        <f ca="1">INDIRECT("'数据-取费表'!Ak"&amp;$G$1)</f>
        <v>0</v>
      </c>
      <c r="G21" s="982"/>
      <c r="H21" s="686" t="s">
        <v>396</v>
      </c>
      <c r="I21" s="187" t="s">
        <v>724</v>
      </c>
      <c r="J21" s="2807">
        <f ca="1">ROUND(J31*M21,0)</f>
        <v>0</v>
      </c>
      <c r="K21" s="936" t="s">
        <v>725</v>
      </c>
      <c r="L21" s="1912" t="s">
        <v>698</v>
      </c>
      <c r="M21" s="3635">
        <f ca="1">INDIRECT("'数据-取费表'!Ak"&amp;$G$1)</f>
        <v>0</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3459</v>
      </c>
      <c r="E22" s="187" t="s">
        <v>698</v>
      </c>
      <c r="F22" s="2884">
        <f ca="1">INDIRECT("'数据-取费表'!Al"&amp;$G$1)</f>
        <v>0</v>
      </c>
      <c r="G22" s="972"/>
      <c r="H22" s="686" t="s">
        <v>431</v>
      </c>
      <c r="I22" s="187" t="s">
        <v>728</v>
      </c>
      <c r="J22" s="2807">
        <f ca="1">ROUND(J33*M22,0)</f>
        <v>0</v>
      </c>
      <c r="K22" s="936" t="s">
        <v>729</v>
      </c>
      <c r="L22" s="1912" t="s">
        <v>698</v>
      </c>
      <c r="M22" s="3636">
        <f ca="1">INDIRECT("'数据-取费表'!Al"&amp;$G$1)</f>
        <v>0</v>
      </c>
    </row>
    <row r="23" spans="1:37" s="983" customFormat="1" ht="18" customHeight="1" thickBot="1">
      <c r="A23" s="758" t="s">
        <v>670</v>
      </c>
      <c r="B23" s="759" t="s">
        <v>714</v>
      </c>
      <c r="C23" s="3178">
        <f ca="1">ROUND(C5*F23,0)</f>
        <v>0</v>
      </c>
      <c r="D23" s="761" t="s">
        <v>734</v>
      </c>
      <c r="E23" s="759" t="s">
        <v>698</v>
      </c>
      <c r="F23" s="2954">
        <f ca="1">INDIRECT("'数据-取费表'!Am"&amp;$G$1)</f>
        <v>0</v>
      </c>
      <c r="G23" s="982"/>
      <c r="H23" s="758" t="s">
        <v>670</v>
      </c>
      <c r="I23" s="759" t="s">
        <v>714</v>
      </c>
      <c r="J23" s="3178">
        <f ca="1">ROUND(J5*M23,0)</f>
        <v>0</v>
      </c>
      <c r="K23" s="761" t="s">
        <v>734</v>
      </c>
      <c r="L23" s="3382" t="s">
        <v>698</v>
      </c>
      <c r="M23" s="3637">
        <f ca="1">INDIRECT("'数据-取费表'!Am"&amp;$G$1)</f>
        <v>0</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3305</v>
      </c>
      <c r="B24" s="763" t="s">
        <v>758</v>
      </c>
      <c r="C24" s="3205">
        <f ca="1">C5-C13</f>
        <v>0</v>
      </c>
      <c r="D24" s="764" t="s">
        <v>739</v>
      </c>
      <c r="E24" s="765"/>
      <c r="F24" s="766"/>
      <c r="G24" s="982"/>
      <c r="H24" s="748" t="s">
        <v>3305</v>
      </c>
      <c r="I24" s="763" t="s">
        <v>738</v>
      </c>
      <c r="J24" s="3205">
        <f ca="1">J5-J13</f>
        <v>0</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3704</v>
      </c>
      <c r="B25" s="4460" t="s">
        <v>760</v>
      </c>
      <c r="C25" s="4468" t="e">
        <f ca="1">ROUND(C24*(1-((1+F27)/(1+F25))^F26)/(F25-F27),0)</f>
        <v>#DIV/0!</v>
      </c>
      <c r="D25" s="208" t="s">
        <v>744</v>
      </c>
      <c r="E25" s="187" t="s">
        <v>745</v>
      </c>
      <c r="F25" s="2885">
        <f ca="1">INDIRECT("'数据-取费表'!I"&amp;$G$1)</f>
        <v>0</v>
      </c>
      <c r="G25" s="972"/>
      <c r="H25" s="4451" t="s">
        <v>3704</v>
      </c>
      <c r="I25" s="4454" t="s">
        <v>743</v>
      </c>
      <c r="J25" s="4457">
        <f ca="1">IF(J5&lt;&gt;0,ROUND(J24*(1-((1+M27)/(1+M25))^M26)/(M25-M27),0),0)</f>
        <v>0</v>
      </c>
      <c r="K25" s="208" t="s">
        <v>744</v>
      </c>
      <c r="L25" s="3201" t="s">
        <v>745</v>
      </c>
      <c r="M25" s="3629">
        <f ca="1">INDIRECT("'数据-取费表'!I"&amp;$G$1)</f>
        <v>0</v>
      </c>
    </row>
    <row r="26" spans="1:37">
      <c r="A26" s="2903"/>
      <c r="B26" s="4460"/>
      <c r="C26" s="4468"/>
      <c r="D26" s="215" t="s">
        <v>761</v>
      </c>
      <c r="E26" s="187" t="s">
        <v>749</v>
      </c>
      <c r="F26" s="2887">
        <f ca="1">IF(INDIRECT("'数据-取费表'!af"&amp;$G$1)=0,INDIRECT("'数据-取费表'!ae"&amp;$G$1),INDIRECT("'数据-取费表'!af"&amp;$G$1))</f>
        <v>0</v>
      </c>
      <c r="G26" s="972"/>
      <c r="H26" s="4452"/>
      <c r="I26" s="4455"/>
      <c r="J26" s="4458"/>
      <c r="K26" s="936" t="s">
        <v>748</v>
      </c>
      <c r="L26" s="1912" t="s">
        <v>749</v>
      </c>
      <c r="M26" s="3639">
        <f ca="1">INDIRECT("'数据-取费表'!ag"&amp;$G$1)</f>
        <v>0</v>
      </c>
    </row>
    <row r="27" spans="1:37" ht="18" customHeight="1">
      <c r="A27" s="1018"/>
      <c r="B27" s="4460"/>
      <c r="C27" s="4468"/>
      <c r="D27" s="211"/>
      <c r="E27" s="187" t="s">
        <v>752</v>
      </c>
      <c r="F27" s="2885">
        <f ca="1">INDIRECT("'数据-取费表'!v"&amp;$G$1)</f>
        <v>0</v>
      </c>
      <c r="G27" s="972"/>
      <c r="H27" s="4453"/>
      <c r="I27" s="4456"/>
      <c r="J27" s="4459"/>
      <c r="K27" s="936"/>
      <c r="L27" s="1912" t="s">
        <v>752</v>
      </c>
      <c r="M27" s="3640">
        <f ca="1">INDIRECT("'数据-取费表'!aa"&amp;$G$1)</f>
        <v>0</v>
      </c>
    </row>
    <row r="28" spans="1:37" s="983" customFormat="1" ht="18" customHeight="1" thickBot="1">
      <c r="A28" s="4062" t="s">
        <v>3705</v>
      </c>
      <c r="B28" s="4063" t="s">
        <v>3490</v>
      </c>
      <c r="C28" s="4073" t="e">
        <f ca="1">ROUND(C25*(1+F28),0)</f>
        <v>#DIV/0!</v>
      </c>
      <c r="D28" s="3371" t="s">
        <v>3708</v>
      </c>
      <c r="E28" s="4069" t="str">
        <f>IF(D28="其他类型公式—收益价值×（1+9%）","销项税率","征收率")</f>
        <v>销项税率</v>
      </c>
      <c r="F28" s="4070">
        <f>IF(D28="其他类型公式—收益价值×（1+9%）",9%,3%)</f>
        <v>0.09</v>
      </c>
      <c r="G28" s="982"/>
      <c r="H28" s="200" t="s">
        <v>3705</v>
      </c>
      <c r="I28" s="2837" t="s">
        <v>754</v>
      </c>
      <c r="J28" s="2856">
        <f ca="1">ROUND(J25/(1+F25)^F26,0)</f>
        <v>0</v>
      </c>
      <c r="K28" s="55" t="s">
        <v>755</v>
      </c>
      <c r="L28" s="1912"/>
      <c r="M28" s="3639">
        <f ca="1">INDIRECT("'数据-取费表'!k"&amp;$G$1)</f>
        <v>0</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74" t="e">
        <f ca="1">ROUND(C28/F29,0)</f>
        <v>#DIV/0!</v>
      </c>
      <c r="D29" s="4067" t="s">
        <v>3494</v>
      </c>
      <c r="E29" s="221" t="s">
        <v>764</v>
      </c>
      <c r="F29" s="2888">
        <f ca="1">INDIRECT("'数据-取费表'!k"&amp;$G$1)</f>
        <v>0</v>
      </c>
      <c r="G29" s="982"/>
      <c r="H29" s="4056" t="s">
        <v>3707</v>
      </c>
      <c r="I29" s="4057" t="s">
        <v>3491</v>
      </c>
      <c r="J29" s="4075">
        <f ca="1">ROUND(J28*(1+F28),0)</f>
        <v>0</v>
      </c>
      <c r="K29" s="4059" t="str">
        <f>D28</f>
        <v>其他类型公式—收益价值×（1+9%）</v>
      </c>
      <c r="L29" s="4061"/>
      <c r="M29" s="4076"/>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3423</v>
      </c>
      <c r="B31" s="2836" t="s">
        <v>3424</v>
      </c>
      <c r="C31" s="3605">
        <f ca="1">SUM(C32:C37)</f>
        <v>0</v>
      </c>
      <c r="D31" s="2848" t="s">
        <v>3431</v>
      </c>
      <c r="E31" s="2844"/>
      <c r="F31" s="2845"/>
      <c r="G31" s="972"/>
      <c r="H31" s="2859" t="s">
        <v>3423</v>
      </c>
      <c r="I31" s="2862" t="s">
        <v>3464</v>
      </c>
      <c r="J31" s="2863">
        <f ca="1">C47</f>
        <v>0</v>
      </c>
      <c r="K31" s="3373" t="s">
        <v>3460</v>
      </c>
      <c r="L31" s="2864"/>
      <c r="M31" s="3200"/>
    </row>
    <row r="32" spans="1:37" ht="18" customHeight="1">
      <c r="A32" s="2804" t="s">
        <v>391</v>
      </c>
      <c r="B32" s="2768" t="s">
        <v>693</v>
      </c>
      <c r="C32" s="2702">
        <f ca="1">ROUND(INDIRECT("'数据-取费表'!l"&amp;$G$1)*F29+'数据-取费表'!L14*INDIRECT("'数据-取费表'!S"&amp;$G$1),0)</f>
        <v>0</v>
      </c>
      <c r="D32" s="936" t="s">
        <v>694</v>
      </c>
      <c r="E32" s="936"/>
      <c r="F32" s="216"/>
      <c r="G32" s="972"/>
      <c r="H32" s="2860" t="s">
        <v>396</v>
      </c>
      <c r="I32" s="2865" t="s">
        <v>3451</v>
      </c>
      <c r="J32" s="2751">
        <f ca="1">ROUND(J31*(1-M32),0)</f>
        <v>0</v>
      </c>
      <c r="K32" s="187" t="s">
        <v>3454</v>
      </c>
      <c r="L32" s="2823" t="s">
        <v>3467</v>
      </c>
      <c r="M32" s="197">
        <f ca="1">INDIRECT("'数据-取费表'!ad"&amp;$G$1)</f>
        <v>0</v>
      </c>
    </row>
    <row r="33" spans="1:17" ht="18" customHeight="1" thickBot="1">
      <c r="A33" s="2804" t="s">
        <v>3415</v>
      </c>
      <c r="B33" s="2768" t="s">
        <v>696</v>
      </c>
      <c r="C33" s="2807">
        <f ca="1">ROUND(C32*F33,0)</f>
        <v>0</v>
      </c>
      <c r="D33" s="187" t="s">
        <v>697</v>
      </c>
      <c r="E33" s="187" t="s">
        <v>698</v>
      </c>
      <c r="F33" s="2881">
        <f>'数据-取费表'!B33</f>
        <v>2.5000000000000001E-2</v>
      </c>
      <c r="G33" s="972"/>
      <c r="H33" s="2861" t="s">
        <v>3442</v>
      </c>
      <c r="I33" s="2866" t="s">
        <v>3453</v>
      </c>
      <c r="J33" s="2867">
        <f ca="1">J31-J32</f>
        <v>0</v>
      </c>
      <c r="K33" s="2846" t="s">
        <v>3493</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3427</v>
      </c>
      <c r="B35" s="2768" t="s">
        <v>702</v>
      </c>
      <c r="C35" s="2807">
        <f ca="1">ROUND(F35*(F29+INDIRECT("'数据-取费表'!S"&amp;$G$1)),0)</f>
        <v>0</v>
      </c>
      <c r="D35" s="187" t="s">
        <v>703</v>
      </c>
      <c r="E35" s="187" t="s">
        <v>704</v>
      </c>
      <c r="F35" s="3617">
        <f>'数据-取费表'!B35</f>
        <v>360</v>
      </c>
      <c r="G35" s="972"/>
    </row>
    <row r="36" spans="1:17" ht="18" customHeight="1">
      <c r="A36" s="2804" t="s">
        <v>669</v>
      </c>
      <c r="B36" s="2826" t="s">
        <v>3297</v>
      </c>
      <c r="C36" s="2807">
        <f ca="1">ROUND(C32*F36,0)</f>
        <v>0</v>
      </c>
      <c r="D36" s="187" t="s">
        <v>697</v>
      </c>
      <c r="E36" s="187" t="s">
        <v>698</v>
      </c>
      <c r="F36" s="2881">
        <f>'数据-取费表'!B36</f>
        <v>1.2999999999999999E-2</v>
      </c>
      <c r="G36" s="972"/>
      <c r="H36" s="47"/>
      <c r="I36" s="47"/>
      <c r="J36" s="47"/>
      <c r="K36" s="1905"/>
      <c r="L36" s="47"/>
      <c r="M36" s="47"/>
    </row>
    <row r="37" spans="1:17" ht="18" customHeight="1">
      <c r="A37" s="2804" t="s">
        <v>669</v>
      </c>
      <c r="B37" s="2826" t="s">
        <v>3298</v>
      </c>
      <c r="C37" s="2807">
        <f ca="1">ROUND(C32*F37,0)</f>
        <v>0</v>
      </c>
      <c r="D37" s="187" t="s">
        <v>697</v>
      </c>
      <c r="E37" s="187" t="s">
        <v>698</v>
      </c>
      <c r="F37" s="2881">
        <f>'数据-取费表'!B37</f>
        <v>1.6E-2</v>
      </c>
      <c r="G37" s="972"/>
      <c r="H37" s="47"/>
      <c r="I37" s="47"/>
      <c r="J37" s="47"/>
      <c r="K37" s="1905"/>
      <c r="L37" s="47"/>
      <c r="M37" s="47"/>
    </row>
    <row r="38" spans="1:17" ht="18" customHeight="1">
      <c r="A38" s="200" t="s">
        <v>3438</v>
      </c>
      <c r="B38" s="2837" t="s">
        <v>3439</v>
      </c>
      <c r="C38" s="2856">
        <f ca="1">ROUND(C31*F38,0)</f>
        <v>0</v>
      </c>
      <c r="D38" s="2838" t="s">
        <v>3440</v>
      </c>
      <c r="E38" s="2837" t="s">
        <v>3441</v>
      </c>
      <c r="F38" s="2885">
        <f>'数据-取费表'!B38</f>
        <v>0.02</v>
      </c>
      <c r="G38" s="972"/>
      <c r="H38" s="47"/>
      <c r="I38" s="47"/>
      <c r="J38" s="47"/>
      <c r="K38" s="1905"/>
      <c r="L38" s="47"/>
      <c r="M38" s="47"/>
    </row>
    <row r="39" spans="1:17" ht="18" customHeight="1">
      <c r="A39" s="200" t="s">
        <v>3442</v>
      </c>
      <c r="B39" s="2837" t="s">
        <v>3443</v>
      </c>
      <c r="C39" s="3606" t="str">
        <f>F39&amp;"V"</f>
        <v>0.03V</v>
      </c>
      <c r="D39" s="2838" t="s">
        <v>3444</v>
      </c>
      <c r="E39" s="2837" t="s">
        <v>3445</v>
      </c>
      <c r="F39" s="2885">
        <f>'数据-取费表'!B39</f>
        <v>0.03</v>
      </c>
      <c r="G39" s="972"/>
      <c r="H39" s="47"/>
      <c r="I39" s="47"/>
      <c r="J39" s="47"/>
      <c r="K39" s="1905"/>
      <c r="L39" s="47"/>
      <c r="M39" s="47"/>
    </row>
    <row r="40" spans="1:17" ht="18" customHeight="1">
      <c r="A40" s="200" t="s">
        <v>3446</v>
      </c>
      <c r="B40" s="2840" t="s">
        <v>3380</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3447</v>
      </c>
      <c r="B43" s="2840" t="s">
        <v>3316</v>
      </c>
      <c r="C43" s="3606" t="str">
        <f ca="1">C44&amp;"+"&amp;C45&amp;"V建"</f>
        <v>0+0V建</v>
      </c>
      <c r="D43" s="2788" t="s">
        <v>3448</v>
      </c>
      <c r="E43" s="201"/>
      <c r="F43" s="2882"/>
      <c r="G43" s="972"/>
      <c r="H43" s="47"/>
      <c r="I43" s="47"/>
      <c r="J43" s="47"/>
      <c r="K43" s="1905"/>
      <c r="L43" s="47"/>
      <c r="M43" s="47"/>
    </row>
    <row r="44" spans="1:17"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7" ht="18" customHeight="1">
      <c r="A45" s="2804" t="s">
        <v>393</v>
      </c>
      <c r="B45" s="187" t="s">
        <v>746</v>
      </c>
      <c r="C45" s="3604">
        <f ca="1">ROUND(F39*F44,4)</f>
        <v>0</v>
      </c>
      <c r="D45" s="207" t="s">
        <v>747</v>
      </c>
      <c r="E45" s="187"/>
      <c r="F45" s="2881"/>
      <c r="G45" s="972"/>
      <c r="H45" s="47"/>
      <c r="I45" s="47"/>
      <c r="J45" s="47"/>
      <c r="K45" s="1905"/>
      <c r="L45" s="47"/>
      <c r="M45" s="47"/>
    </row>
    <row r="46" spans="1:17" ht="18" customHeight="1">
      <c r="A46" s="200" t="s">
        <v>3434</v>
      </c>
      <c r="B46" s="2837" t="s">
        <v>3435</v>
      </c>
      <c r="C46" s="2856">
        <f>ROUND(F46/(1+'数据-取费表'!C43),4)</f>
        <v>0</v>
      </c>
      <c r="D46" s="2838"/>
      <c r="E46" s="2837"/>
      <c r="F46" s="2885"/>
      <c r="G46" s="972"/>
      <c r="H46" s="47"/>
      <c r="I46" s="47"/>
      <c r="J46" s="47"/>
      <c r="K46" s="1905"/>
      <c r="L46" s="47"/>
      <c r="M46" s="47"/>
    </row>
    <row r="47" spans="1:17" s="972" customFormat="1" ht="18" customHeight="1">
      <c r="A47" s="200" t="s">
        <v>3436</v>
      </c>
      <c r="B47" s="2837" t="s">
        <v>3437</v>
      </c>
      <c r="C47" s="2856">
        <f ca="1">ROUND((C31+C38+C41+C44)/(1-F39-C42-C45-C46),0)</f>
        <v>0</v>
      </c>
      <c r="D47" s="2851" t="s">
        <v>3460</v>
      </c>
      <c r="E47" s="2837"/>
      <c r="F47" s="2885"/>
      <c r="K47" s="988"/>
      <c r="Q47" s="3620"/>
    </row>
    <row r="48" spans="1:17" s="972" customFormat="1" ht="18" customHeight="1">
      <c r="A48" s="2841" t="s">
        <v>3449</v>
      </c>
      <c r="B48" s="2840" t="s">
        <v>3451</v>
      </c>
      <c r="C48" s="2856">
        <f ca="1">ROUND(C47*(1-F48),0)</f>
        <v>0</v>
      </c>
      <c r="D48" s="187" t="s">
        <v>3454</v>
      </c>
      <c r="E48" s="187" t="s">
        <v>692</v>
      </c>
      <c r="F48" s="2881">
        <f ca="1">INDIRECT("'数据-取费表'!y"&amp;$G$1)</f>
        <v>0</v>
      </c>
      <c r="K48" s="988"/>
      <c r="Q48" s="3620"/>
    </row>
    <row r="49" spans="1:18" s="972" customFormat="1" ht="18" customHeight="1" thickBot="1">
      <c r="A49" s="2842" t="s">
        <v>3452</v>
      </c>
      <c r="B49" s="2850" t="s">
        <v>3458</v>
      </c>
      <c r="C49" s="2867">
        <f ca="1">C47-C48</f>
        <v>0</v>
      </c>
      <c r="D49" s="2846" t="s">
        <v>3493</v>
      </c>
      <c r="E49" s="218"/>
      <c r="F49" s="2847"/>
      <c r="K49" s="988"/>
      <c r="Q49" s="3620"/>
    </row>
    <row r="50" spans="1:18" s="972" customFormat="1" ht="18" customHeight="1" thickBot="1">
      <c r="A50" s="986"/>
      <c r="B50" s="986"/>
      <c r="C50" s="987"/>
      <c r="D50" s="986"/>
      <c r="E50" s="986"/>
      <c r="F50" s="986"/>
      <c r="I50" s="2869" t="s">
        <v>3468</v>
      </c>
      <c r="J50" s="504"/>
      <c r="O50" s="2011" t="s">
        <v>794</v>
      </c>
      <c r="P50" s="1045"/>
      <c r="Q50" s="3622"/>
      <c r="R50" s="1045"/>
    </row>
    <row r="51" spans="1:18" s="972" customFormat="1" ht="13.5" thickBot="1">
      <c r="A51" s="990" t="s">
        <v>795</v>
      </c>
      <c r="C51" s="2874" t="e">
        <f ca="1">IF(D2="含税",C78-C28,C75-C25)</f>
        <v>#DIV/0!</v>
      </c>
      <c r="D51" s="992" t="str">
        <f>C2</f>
        <v>万元</v>
      </c>
      <c r="E51" s="986"/>
      <c r="F51" s="986"/>
      <c r="I51" s="993" t="s">
        <v>796</v>
      </c>
      <c r="J51" s="994"/>
      <c r="K51" s="995"/>
      <c r="L51" s="3184" t="e">
        <f ca="1">IF(M52="住宅",0,IF(L53&gt;J56,L65,J65))</f>
        <v>#DIV/0!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623" t="e">
        <f ca="1">C25+J28</f>
        <v>#DIV/0!</v>
      </c>
      <c r="R52" s="1006" t="s">
        <v>804</v>
      </c>
    </row>
    <row r="53" spans="1:18" s="972" customFormat="1" ht="28.5" thickBot="1">
      <c r="A53" s="776" t="s">
        <v>432</v>
      </c>
      <c r="B53" s="185" t="s">
        <v>679</v>
      </c>
      <c r="C53" s="2870">
        <f ca="1">C54+C58+C60</f>
        <v>0</v>
      </c>
      <c r="D53" s="953" t="s">
        <v>3825</v>
      </c>
      <c r="E53" s="779"/>
      <c r="F53" s="666"/>
      <c r="G53" s="500"/>
      <c r="H53" s="501"/>
      <c r="I53" s="1007" t="s">
        <v>805</v>
      </c>
      <c r="J53" s="1008"/>
      <c r="K53" s="1009" t="s">
        <v>806</v>
      </c>
      <c r="L53" s="3182">
        <f ca="1">INDIRECT("'数据-取费表'!f"&amp;$G$1)</f>
        <v>0</v>
      </c>
      <c r="O53" s="1004" t="s">
        <v>398</v>
      </c>
      <c r="P53" s="1005" t="s">
        <v>807</v>
      </c>
      <c r="Q53" s="3623" t="e">
        <f ca="1">J65</f>
        <v>#DIV/0!</v>
      </c>
      <c r="R53" s="1006" t="s">
        <v>808</v>
      </c>
    </row>
    <row r="54" spans="1:18" s="972" customFormat="1" ht="15.75" thickBot="1">
      <c r="A54" s="4107" t="s">
        <v>3836</v>
      </c>
      <c r="B54" s="2822" t="s">
        <v>3822</v>
      </c>
      <c r="C54" s="2871">
        <f ca="1">C55-C57</f>
        <v>0</v>
      </c>
      <c r="D54" s="2823" t="s">
        <v>3827</v>
      </c>
      <c r="E54" s="2849" t="s">
        <v>3457</v>
      </c>
      <c r="F54" s="2875"/>
      <c r="H54" s="501"/>
      <c r="I54" s="1007" t="s">
        <v>809</v>
      </c>
      <c r="J54" s="3180"/>
      <c r="K54" s="1009" t="s">
        <v>810</v>
      </c>
      <c r="L54" s="3186"/>
      <c r="O54" s="1013" t="s">
        <v>399</v>
      </c>
      <c r="P54" s="1005" t="s">
        <v>811</v>
      </c>
      <c r="Q54" s="3623">
        <f ca="1">C47</f>
        <v>0</v>
      </c>
      <c r="R54" s="1006" t="s">
        <v>804</v>
      </c>
    </row>
    <row r="55" spans="1:18" s="972" customFormat="1" ht="13.5" thickBot="1">
      <c r="A55" s="4091" t="s">
        <v>3823</v>
      </c>
      <c r="B55" s="4447" t="s">
        <v>3820</v>
      </c>
      <c r="C55" s="3203">
        <f ca="1">ROUND(F54*F56*F55,0)</f>
        <v>0</v>
      </c>
      <c r="D55" s="4450" t="s">
        <v>3492</v>
      </c>
      <c r="E55" s="726" t="s">
        <v>683</v>
      </c>
      <c r="F55" s="2876">
        <f ca="1">F7</f>
        <v>0</v>
      </c>
      <c r="H55" s="501"/>
      <c r="I55" s="1007" t="s">
        <v>812</v>
      </c>
      <c r="J55" s="3181">
        <f>SUMPRODUCT((I68:I70=J52)*(J67:L67=J53)*(J68:L70))</f>
        <v>0</v>
      </c>
      <c r="K55" s="1009" t="s">
        <v>813</v>
      </c>
      <c r="L55" s="3186"/>
      <c r="M55" s="1015"/>
      <c r="O55" s="1013" t="s">
        <v>400</v>
      </c>
      <c r="P55" s="1005" t="s">
        <v>814</v>
      </c>
      <c r="Q55" s="3624" t="e">
        <f ca="1">J63</f>
        <v>#DIV/0!</v>
      </c>
      <c r="R55" s="1006"/>
    </row>
    <row r="56" spans="1:18" s="972" customFormat="1" ht="13.5" thickBot="1">
      <c r="A56" s="4092"/>
      <c r="B56" s="4448"/>
      <c r="C56" s="4093"/>
      <c r="D56" s="4450"/>
      <c r="E56" s="685" t="s">
        <v>684</v>
      </c>
      <c r="F56" s="2877">
        <f ca="1">F8</f>
        <v>0</v>
      </c>
      <c r="I56" s="1017" t="s">
        <v>815</v>
      </c>
      <c r="J56" s="3182">
        <f>IF(J54="",J55,J54+J55-YEAR('数据-取费表'!B2))</f>
        <v>0</v>
      </c>
      <c r="K56" s="1018" t="s">
        <v>816</v>
      </c>
      <c r="L56" s="3187">
        <f ca="1">ROUND(-PV(INDIRECT("'数据-取费表'!h"&amp;$G$1),J56,(C24-C48*C83),0),0)</f>
        <v>0</v>
      </c>
      <c r="M56" s="1020"/>
      <c r="O56" s="1013" t="s">
        <v>401</v>
      </c>
      <c r="P56" s="1005" t="s">
        <v>817</v>
      </c>
      <c r="Q56" s="3624">
        <f>J57</f>
        <v>0</v>
      </c>
      <c r="R56" s="1006"/>
    </row>
    <row r="57" spans="1:18" s="972" customFormat="1" ht="13.5" thickBot="1">
      <c r="A57" s="4090" t="s">
        <v>3824</v>
      </c>
      <c r="B57" s="3202" t="s">
        <v>3821</v>
      </c>
      <c r="C57" s="2872">
        <f ca="1">ROUND(C55*F57,0)</f>
        <v>0</v>
      </c>
      <c r="D57" s="2823" t="s">
        <v>3826</v>
      </c>
      <c r="E57" s="685" t="s">
        <v>685</v>
      </c>
      <c r="F57" s="2878"/>
      <c r="I57" s="1021" t="s">
        <v>818</v>
      </c>
      <c r="J57" s="1022"/>
      <c r="K57" s="1021" t="s">
        <v>819</v>
      </c>
      <c r="L57" s="3188"/>
      <c r="O57" s="1013" t="s">
        <v>402</v>
      </c>
      <c r="P57" s="1005" t="s">
        <v>820</v>
      </c>
      <c r="Q57" s="3623">
        <f ca="1">J58</f>
        <v>-0.89999999999999991</v>
      </c>
      <c r="R57" s="1006" t="s">
        <v>821</v>
      </c>
    </row>
    <row r="58" spans="1:18" s="972" customFormat="1" ht="24.75" thickBot="1">
      <c r="A58" s="4117" t="s">
        <v>3465</v>
      </c>
      <c r="B58" s="961" t="s">
        <v>686</v>
      </c>
      <c r="C58" s="2856">
        <f ca="1">ROUND(IF(F58="押一",C54/12*F11,IF(F58="押二",C54/12*2*F11,IF(F58="押三",C54/12*3*F11,C59*F11))),0)</f>
        <v>0</v>
      </c>
      <c r="D58" s="59" t="s">
        <v>2026</v>
      </c>
      <c r="E58" s="198" t="s">
        <v>687</v>
      </c>
      <c r="F58" s="2879"/>
      <c r="I58" s="1023" t="s">
        <v>822</v>
      </c>
      <c r="J58" s="3183">
        <f ca="1">IF(M52="住宅",IF(D1="——",MAX(J56,L53),MAX(J56,L53-'数据-取费表'!B24)),IF(D1="——",MIN(J56,L53),MIN(J56,L53-'数据-取费表'!B24)))</f>
        <v>-0.89999999999999991</v>
      </c>
      <c r="K58" s="4445" t="s">
        <v>823</v>
      </c>
      <c r="L58" s="4446"/>
      <c r="O58" s="1004" t="s">
        <v>403</v>
      </c>
      <c r="P58" s="1005" t="s">
        <v>824</v>
      </c>
      <c r="Q58" s="3623" t="e">
        <f ca="1">Q52+Q53</f>
        <v>#DIV/0!</v>
      </c>
      <c r="R58" s="1006" t="s">
        <v>404</v>
      </c>
    </row>
    <row r="59" spans="1:18" s="972" customFormat="1" ht="13.5" thickBot="1">
      <c r="A59" s="797"/>
      <c r="B59" s="955" t="s">
        <v>666</v>
      </c>
      <c r="C59" s="3615"/>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#DIV/0!</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0</v>
      </c>
      <c r="D61" s="664" t="s">
        <v>701</v>
      </c>
      <c r="E61" s="665"/>
      <c r="F61" s="666"/>
      <c r="I61" s="1033" t="s">
        <v>828</v>
      </c>
      <c r="J61" s="1034"/>
      <c r="K61" s="1007" t="s">
        <v>829</v>
      </c>
      <c r="L61" s="3182">
        <f ca="1">IF(L53&lt;J56,"——",L53-J58)</f>
        <v>0.89999999999999991</v>
      </c>
      <c r="O61" s="1004" t="s">
        <v>397</v>
      </c>
      <c r="P61" s="1005" t="s">
        <v>803</v>
      </c>
      <c r="Q61" s="3623"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3462</v>
      </c>
      <c r="E62" s="668" t="s">
        <v>707</v>
      </c>
      <c r="F62" s="4068" t="str">
        <f>IF(项目基本情况!B11="企业","——",IF('数据-取费表'!B10="住宅",IF(F54*F55*F56/12/(1+'数据-取费表'!F30)&gt;100000,4%,2.5%),IF(F54*F55*F56/12/(1+'数据-取费表'!F30)&gt;100000,12%,7%)))</f>
        <v>——</v>
      </c>
      <c r="I62" s="1039" t="s">
        <v>830</v>
      </c>
      <c r="J62" s="3612">
        <f ca="1">IF(OR(M52="住宅",J56&lt;L53,J61="是"),"——",J56-L53)</f>
        <v>0</v>
      </c>
      <c r="K62" s="1007" t="s">
        <v>831</v>
      </c>
      <c r="L62" s="3191">
        <f ca="1">IF(L53&lt;J56,"——",IF(L60="比较法",L54,IF(L60="基准地价",L55,L56)))</f>
        <v>0</v>
      </c>
      <c r="O62" s="1004" t="s">
        <v>398</v>
      </c>
      <c r="P62" s="1005" t="s">
        <v>832</v>
      </c>
      <c r="Q62" s="3623" t="e">
        <f ca="1">L65</f>
        <v>#DIV/0!</v>
      </c>
      <c r="R62" s="1006" t="s">
        <v>833</v>
      </c>
    </row>
    <row r="63" spans="1:18" s="972" customFormat="1" ht="24.75" thickBot="1">
      <c r="A63" s="2804" t="s">
        <v>391</v>
      </c>
      <c r="B63" s="2821" t="s">
        <v>3290</v>
      </c>
      <c r="C63" s="2807">
        <f ca="1">ROUND((C64-C65)*(1+F63),0)</f>
        <v>0</v>
      </c>
      <c r="D63" s="2852" t="s">
        <v>3461</v>
      </c>
      <c r="E63" s="187" t="s">
        <v>3455</v>
      </c>
      <c r="F63" s="2880">
        <f>F15</f>
        <v>0.12000000000000001</v>
      </c>
      <c r="I63" s="1039" t="s">
        <v>834</v>
      </c>
      <c r="J63" s="1041" t="e">
        <f ca="1">IF(J60&lt;0.4,0.4,J60)</f>
        <v>#DIV/0!</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2"/>
      <c r="B64" s="2826" t="s">
        <v>3419</v>
      </c>
      <c r="C64" s="2807">
        <f ca="1">ROUND(C54*F64,0)</f>
        <v>0</v>
      </c>
      <c r="D64" s="1031"/>
      <c r="E64" s="2833" t="s">
        <v>3421</v>
      </c>
      <c r="F64" s="2880">
        <f t="shared" ref="F64:F68"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3420</v>
      </c>
      <c r="C65" s="2807">
        <f ca="1">ROUND(C69*F64+((C71+C73)*F65),0)</f>
        <v>0</v>
      </c>
      <c r="D65" s="2834" t="s">
        <v>3422</v>
      </c>
      <c r="E65" s="2834"/>
      <c r="F65" s="2880">
        <f t="shared" si="0"/>
        <v>0.06</v>
      </c>
      <c r="I65" s="1042" t="s">
        <v>839</v>
      </c>
      <c r="J65" s="4072" t="e">
        <f ca="1">IF(OR(M52="住宅",J56&lt;L53,J61="是"),"0",ROUND(J64/(1+J57)^J58,0))</f>
        <v>#DIV/0!</v>
      </c>
      <c r="K65" s="1044" t="s">
        <v>840</v>
      </c>
      <c r="L65" s="4072" t="e">
        <f ca="1">IF(OR(M52="住宅",L53&lt;J56),0,ROUND(L62*(L63/L64-1),0))</f>
        <v>#DIV/0!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1.2E-2</v>
      </c>
      <c r="I66" s="1045"/>
      <c r="J66" s="1045"/>
      <c r="K66" s="1045"/>
      <c r="L66" s="1045"/>
      <c r="O66" s="1013" t="s">
        <v>402</v>
      </c>
      <c r="P66" s="1005" t="str">
        <f>K64</f>
        <v>建设期及建筑物耐用年限下的土地年期修正系数Kn</v>
      </c>
      <c r="Q66" s="3627" t="e">
        <f ca="1">L64</f>
        <v>#DIV/0!</v>
      </c>
      <c r="R66" s="1006" t="s">
        <v>843</v>
      </c>
    </row>
    <row r="67" spans="1:18" s="972" customFormat="1" ht="13.5" thickBot="1">
      <c r="A67" s="4088" t="s">
        <v>770</v>
      </c>
      <c r="B67" s="653" t="s">
        <v>771</v>
      </c>
      <c r="C67" s="3176">
        <f ca="1">IF(项目基本情况!B11="自然人","——",ROUND(F67*F68,0))</f>
        <v>0</v>
      </c>
      <c r="D67" s="669" t="s">
        <v>772</v>
      </c>
      <c r="E67" s="654" t="s">
        <v>718</v>
      </c>
      <c r="F67" s="3611">
        <f t="shared" si="0"/>
        <v>3</v>
      </c>
      <c r="I67" s="1046" t="s">
        <v>844</v>
      </c>
      <c r="J67" s="1047" t="s">
        <v>845</v>
      </c>
      <c r="K67" s="1047" t="s">
        <v>846</v>
      </c>
      <c r="L67" s="1047" t="s">
        <v>847</v>
      </c>
      <c r="M67" s="1048" t="s">
        <v>848</v>
      </c>
      <c r="O67" s="1004" t="s">
        <v>403</v>
      </c>
      <c r="P67" s="1005" t="s">
        <v>824</v>
      </c>
      <c r="Q67" s="3623" t="e">
        <f ca="1">Q61+Q62</f>
        <v>#DIV/0!</v>
      </c>
      <c r="R67" s="1006" t="s">
        <v>404</v>
      </c>
    </row>
    <row r="68" spans="1:18" s="972" customFormat="1" ht="13.5" thickBot="1">
      <c r="A68" s="4089"/>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1" t="s">
        <v>775</v>
      </c>
      <c r="B69" s="653" t="s">
        <v>776</v>
      </c>
      <c r="C69" s="4122">
        <f ca="1">ROUND(F69*F70,0)</f>
        <v>0</v>
      </c>
      <c r="D69" s="4105" t="s">
        <v>725</v>
      </c>
      <c r="E69" s="2799" t="s">
        <v>3835</v>
      </c>
      <c r="F69" s="2873">
        <f ca="1">C47</f>
        <v>0</v>
      </c>
      <c r="I69" s="3618" t="s">
        <v>852</v>
      </c>
      <c r="J69" s="224">
        <v>50</v>
      </c>
      <c r="K69" s="224">
        <v>35</v>
      </c>
      <c r="L69" s="224">
        <v>60</v>
      </c>
      <c r="M69" s="1048">
        <v>0</v>
      </c>
      <c r="O69" s="997" t="s">
        <v>797</v>
      </c>
      <c r="P69" s="998" t="s">
        <v>798</v>
      </c>
      <c r="Q69" s="3626" t="s">
        <v>799</v>
      </c>
      <c r="R69" s="999" t="s">
        <v>800</v>
      </c>
    </row>
    <row r="70" spans="1:18" s="972" customFormat="1" ht="13.5" thickBot="1">
      <c r="A70" s="4113"/>
      <c r="B70" s="660"/>
      <c r="C70" s="4123"/>
      <c r="D70" s="4106"/>
      <c r="E70" s="654" t="s">
        <v>698</v>
      </c>
      <c r="F70" s="2883">
        <f ca="1">F21</f>
        <v>0</v>
      </c>
      <c r="I70" s="3618" t="s">
        <v>853</v>
      </c>
      <c r="J70" s="224">
        <v>40</v>
      </c>
      <c r="K70" s="224">
        <v>30</v>
      </c>
      <c r="L70" s="224">
        <v>50</v>
      </c>
      <c r="M70" s="1049">
        <v>0.02</v>
      </c>
      <c r="O70" s="1004" t="s">
        <v>397</v>
      </c>
      <c r="P70" s="1005" t="s">
        <v>854</v>
      </c>
      <c r="Q70" s="3628" t="e">
        <f ca="1">C25+J28</f>
        <v>#DIV/0!</v>
      </c>
      <c r="R70" s="1006" t="s">
        <v>804</v>
      </c>
    </row>
    <row r="71" spans="1:18" s="972" customFormat="1" ht="16.5" thickBot="1">
      <c r="A71" s="4111" t="s">
        <v>778</v>
      </c>
      <c r="B71" s="653" t="s">
        <v>728</v>
      </c>
      <c r="C71" s="4122">
        <f ca="1">ROUND(F71*F72,0)</f>
        <v>0</v>
      </c>
      <c r="D71" s="4105" t="s">
        <v>3459</v>
      </c>
      <c r="E71" s="2799" t="s">
        <v>3458</v>
      </c>
      <c r="F71" s="2608">
        <f ca="1">C49</f>
        <v>0</v>
      </c>
      <c r="O71" s="1004" t="s">
        <v>398</v>
      </c>
      <c r="P71" s="1005" t="s">
        <v>832</v>
      </c>
      <c r="Q71" s="3627" t="e">
        <f ca="1">L65</f>
        <v>#DIV/0!</v>
      </c>
      <c r="R71" s="1006" t="s">
        <v>855</v>
      </c>
    </row>
    <row r="72" spans="1:18" s="972" customFormat="1" ht="13.5" thickBot="1">
      <c r="A72" s="4113"/>
      <c r="B72" s="660"/>
      <c r="C72" s="4123"/>
      <c r="D72" s="4106"/>
      <c r="E72" s="654" t="s">
        <v>698</v>
      </c>
      <c r="F72" s="2884">
        <f ca="1">F22</f>
        <v>0</v>
      </c>
      <c r="O72" s="1004"/>
      <c r="P72" s="1005"/>
      <c r="Q72" s="3627"/>
      <c r="R72" s="1006"/>
    </row>
    <row r="73" spans="1:18" s="972" customFormat="1" ht="16.5" thickBot="1">
      <c r="A73" s="547" t="s">
        <v>779</v>
      </c>
      <c r="B73" s="654" t="s">
        <v>714</v>
      </c>
      <c r="C73" s="2807">
        <f ca="1">ROUND(C53*F73,0)</f>
        <v>0</v>
      </c>
      <c r="D73" s="668" t="s">
        <v>780</v>
      </c>
      <c r="E73" s="654" t="s">
        <v>698</v>
      </c>
      <c r="F73" s="2885">
        <f ca="1">F23</f>
        <v>0</v>
      </c>
      <c r="O73" s="1013" t="s">
        <v>399</v>
      </c>
      <c r="P73" s="1005" t="s">
        <v>836</v>
      </c>
      <c r="Q73" s="3628">
        <f ca="1">L56</f>
        <v>0</v>
      </c>
      <c r="R73" s="1006" t="s">
        <v>856</v>
      </c>
    </row>
    <row r="74" spans="1:18" s="972" customFormat="1" ht="13.5" thickBot="1">
      <c r="A74" s="661" t="s">
        <v>388</v>
      </c>
      <c r="B74" s="671" t="s">
        <v>738</v>
      </c>
      <c r="C74" s="2856">
        <f ca="1">C53-C61</f>
        <v>0</v>
      </c>
      <c r="D74" s="667" t="s">
        <v>739</v>
      </c>
      <c r="E74" s="672"/>
      <c r="F74" s="2886"/>
      <c r="O74" s="1013"/>
      <c r="P74" s="1005"/>
      <c r="Q74" s="3628"/>
      <c r="R74" s="1006"/>
    </row>
    <row r="75" spans="1:18" s="972" customFormat="1" ht="16.5" thickBot="1">
      <c r="A75" s="3374" t="s">
        <v>389</v>
      </c>
      <c r="B75" s="652" t="s">
        <v>760</v>
      </c>
      <c r="C75" s="3203">
        <f ca="1">ROUND(C74*(1-((1+F77)/(1+F75))^F76)/(F75-F77),0)</f>
        <v>0</v>
      </c>
      <c r="D75" s="2905" t="s">
        <v>744</v>
      </c>
      <c r="E75" s="654" t="s">
        <v>745</v>
      </c>
      <c r="F75" s="2885">
        <f ca="1">F25</f>
        <v>0</v>
      </c>
      <c r="O75" s="1013" t="s">
        <v>400</v>
      </c>
      <c r="P75" s="1051" t="s">
        <v>857</v>
      </c>
      <c r="Q75" s="3628">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628">
        <f ca="1">C24</f>
        <v>0</v>
      </c>
      <c r="R76" s="1006" t="s">
        <v>804</v>
      </c>
    </row>
    <row r="77" spans="1:18" s="972" customFormat="1" ht="13.5" thickBot="1">
      <c r="A77" s="3376"/>
      <c r="B77" s="2907"/>
      <c r="C77" s="2907"/>
      <c r="D77" s="2904"/>
      <c r="E77" s="654" t="s">
        <v>752</v>
      </c>
      <c r="F77" s="2878">
        <v>0.02</v>
      </c>
      <c r="O77" s="1013" t="s">
        <v>406</v>
      </c>
      <c r="P77" s="1051" t="s">
        <v>859</v>
      </c>
      <c r="Q77" s="3628">
        <f ca="1">C48</f>
        <v>0</v>
      </c>
      <c r="R77" s="1006" t="s">
        <v>804</v>
      </c>
    </row>
    <row r="78" spans="1:18" s="972" customFormat="1" ht="13.5" thickBot="1">
      <c r="A78" s="658"/>
      <c r="B78" s="2854" t="s">
        <v>3463</v>
      </c>
      <c r="C78" s="3205">
        <f ca="1">ROUND(C75*(1+F28),0)</f>
        <v>0</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t="e">
        <f ca="1">ROUND(C78/F79,0)</f>
        <v>#DIV/0!</v>
      </c>
      <c r="D79" s="677" t="s">
        <v>3494</v>
      </c>
      <c r="E79" s="678" t="s">
        <v>764</v>
      </c>
      <c r="F79" s="2888">
        <f ca="1">F29</f>
        <v>0</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xr:uid="{00000000-0002-0000-1D00-000000000000}">
      <formula1>"含税,不含税"</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M10 F10 F58" xr:uid="{00000000-0002-0000-1D00-000002000000}">
      <formula1>"押一,押二,押三,自定义"</formula1>
    </dataValidation>
    <dataValidation type="list" allowBlank="1" showInputMessage="1" showErrorMessage="1" sqref="L60" xr:uid="{00000000-0002-0000-1D00-000003000000}">
      <formula1>"比较法,基准地价,收益还原"</formula1>
    </dataValidation>
    <dataValidation type="list" allowBlank="1" showInputMessage="1" showErrorMessage="1" sqref="J61" xr:uid="{00000000-0002-0000-1D00-000004000000}">
      <formula1>估价范围判定</formula1>
    </dataValidation>
    <dataValidation type="list" allowBlank="1" showInputMessage="1" showErrorMessage="1" sqref="J53" xr:uid="{00000000-0002-0000-1D00-000005000000}">
      <formula1>"非生产用房,生产用房,受腐蚀的生产用房"</formula1>
    </dataValidation>
    <dataValidation type="list" allowBlank="1" showInputMessage="1" showErrorMessage="1" sqref="J52" xr:uid="{00000000-0002-0000-1D00-000006000000}">
      <formula1>"钢,钢混,砖混"</formula1>
    </dataValidation>
    <dataValidation type="list" allowBlank="1" showInputMessage="1" showErrorMessage="1" sqref="C1" xr:uid="{00000000-0002-0000-1D00-000007000000}">
      <formula1>项目类型</formula1>
    </dataValidation>
    <dataValidation type="list" allowBlank="1" showInputMessage="1" showErrorMessage="1" sqref="D66 D18" xr:uid="{00000000-0002-0000-1D00-000008000000}">
      <formula1>"按不含税租金收入计税,按房产原值计税,按票据"</formula1>
    </dataValidation>
    <dataValidation type="list" allowBlank="1" showInputMessage="1" showErrorMessage="1" sqref="K18" xr:uid="{00000000-0002-0000-1D00-000009000000}">
      <formula1>"按不含税租金收入计税,按房产原值计税"</formula1>
    </dataValidation>
    <dataValidation type="list" allowBlank="1" showInputMessage="1" showErrorMessage="1" sqref="D28" xr:uid="{00000000-0002-0000-1D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9</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9" t="s">
        <v>680</v>
      </c>
      <c r="C6" s="744">
        <f ca="1">ROUND(F6*F8*F7*(1-F9),0)</f>
        <v>0</v>
      </c>
      <c r="D6" s="56" t="s">
        <v>2019</v>
      </c>
      <c r="E6" s="187" t="s">
        <v>682</v>
      </c>
      <c r="F6" s="188">
        <f ca="1">INDIRECT("'数据-取费表'!u"&amp;$G$1)</f>
        <v>0</v>
      </c>
      <c r="G6" s="972"/>
      <c r="H6" s="739" t="s">
        <v>392</v>
      </c>
      <c r="I6" s="4469" t="s">
        <v>680</v>
      </c>
      <c r="J6" s="186">
        <f ca="1">ROUND(M6*M8*M7*(1-M9),0)</f>
        <v>0</v>
      </c>
      <c r="K6" s="964" t="s">
        <v>2020</v>
      </c>
      <c r="L6" s="187" t="s">
        <v>682</v>
      </c>
      <c r="M6" s="188">
        <f ca="1">INDIRECT("'数据-取费表'!z"&amp;$G$1)</f>
        <v>0</v>
      </c>
    </row>
    <row r="7" spans="1:37" ht="18" customHeight="1">
      <c r="A7" s="743"/>
      <c r="B7" s="4470"/>
      <c r="C7" s="745"/>
      <c r="D7" s="192"/>
      <c r="E7" s="746" t="s">
        <v>683</v>
      </c>
      <c r="F7" s="188">
        <f ca="1">IF(INDIRECT("'数据-取费表'!ah"&amp;$G$1)="",INDIRECT("'数据-取费表'!k"&amp;$G$1),INDIRECT("'数据-取费表'!ah"&amp;$G$1))</f>
        <v>0</v>
      </c>
      <c r="G7" s="972"/>
      <c r="H7" s="189"/>
      <c r="I7" s="4470"/>
      <c r="J7" s="191"/>
      <c r="K7" s="192"/>
      <c r="L7" s="187" t="s">
        <v>683</v>
      </c>
      <c r="M7" s="188">
        <f ca="1">F7</f>
        <v>0</v>
      </c>
    </row>
    <row r="8" spans="1:37" ht="18" customHeight="1">
      <c r="A8" s="189"/>
      <c r="B8" s="4470"/>
      <c r="C8" s="191"/>
      <c r="D8" s="192"/>
      <c r="E8" s="187" t="s">
        <v>684</v>
      </c>
      <c r="F8" s="188">
        <f ca="1">INDIRECT("'数据-取费表'!ai"&amp;$G$1)</f>
        <v>0</v>
      </c>
      <c r="G8" s="972"/>
      <c r="H8" s="189"/>
      <c r="I8" s="4470"/>
      <c r="J8" s="191"/>
      <c r="K8" s="192"/>
      <c r="L8" s="187" t="s">
        <v>684</v>
      </c>
      <c r="M8" s="188">
        <f ca="1">INDIRECT("'数据-取费表'!ai"&amp;$G$1)</f>
        <v>0</v>
      </c>
    </row>
    <row r="9" spans="1:37" ht="18" customHeight="1">
      <c r="A9" s="189"/>
      <c r="B9" s="4471"/>
      <c r="C9" s="191"/>
      <c r="D9" s="192"/>
      <c r="E9" s="187" t="s">
        <v>685</v>
      </c>
      <c r="F9" s="197">
        <f ca="1">INDIRECT("'数据-取费表'!w"&amp;$G$1)</f>
        <v>0</v>
      </c>
      <c r="G9" s="972"/>
      <c r="H9" s="189"/>
      <c r="I9" s="4471"/>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2.5000000000000001E-2</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1.2999999999999999E-2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3226</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2204</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3226</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3</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3242</v>
      </c>
      <c r="B45" s="986"/>
      <c r="C45" s="1056" t="e">
        <f ca="1">ROUND((C68-C40)/10000,4)</f>
        <v>#DIV/0!</v>
      </c>
      <c r="D45" s="2561" t="s">
        <v>3243</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45" t="s">
        <v>823</v>
      </c>
      <c r="L53" s="4446"/>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3226</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81"/>
  <sheetViews>
    <sheetView zoomScaleNormal="100" workbookViewId="0">
      <selection activeCell="C22" sqref="C22:Q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2328</v>
      </c>
      <c r="B1" s="2110"/>
      <c r="C1" s="2121"/>
      <c r="D1" s="2121"/>
      <c r="E1" s="2111"/>
      <c r="F1" s="2112"/>
      <c r="G1" s="2113"/>
      <c r="J1" s="2116" t="s">
        <v>2212</v>
      </c>
      <c r="K1" s="2117"/>
      <c r="L1" s="2117"/>
      <c r="M1" s="2117"/>
      <c r="N1" s="2117"/>
      <c r="O1" s="2117"/>
      <c r="P1" s="2117"/>
      <c r="Q1" s="2117"/>
      <c r="R1" s="2118"/>
      <c r="S1" s="2119"/>
      <c r="T1" s="2119"/>
      <c r="U1" s="2119"/>
    </row>
    <row r="2" spans="1:22" s="2130" customFormat="1" ht="13.15" customHeight="1">
      <c r="A2" s="973" t="s">
        <v>2213</v>
      </c>
      <c r="B2" s="3644" t="e">
        <f>IF(D2="——",C40,C40+E2)</f>
        <v>#DIV/0!</v>
      </c>
      <c r="C2" s="2121" t="s">
        <v>2214</v>
      </c>
      <c r="D2" s="2567" t="s">
        <v>3248</v>
      </c>
      <c r="E2" s="2568"/>
      <c r="F2" s="2123"/>
      <c r="G2" s="2124"/>
      <c r="H2" s="2125"/>
      <c r="I2" s="2126"/>
      <c r="J2" s="4472" t="s">
        <v>2215</v>
      </c>
      <c r="K2" s="4473"/>
      <c r="L2" s="2127" t="s">
        <v>2216</v>
      </c>
      <c r="M2" s="2127" t="s">
        <v>2217</v>
      </c>
      <c r="N2" s="2127" t="s">
        <v>2218</v>
      </c>
      <c r="O2" s="2127" t="s">
        <v>2219</v>
      </c>
      <c r="P2" s="2127" t="s">
        <v>2220</v>
      </c>
      <c r="Q2" s="2128" t="s">
        <v>2221</v>
      </c>
      <c r="R2" s="2129" t="s">
        <v>2222</v>
      </c>
      <c r="S2" s="2119"/>
      <c r="T2" s="2119"/>
      <c r="U2" s="2119"/>
      <c r="V2" s="2126"/>
    </row>
    <row r="3" spans="1:22" s="2130" customFormat="1" ht="13.15" customHeight="1">
      <c r="A3" s="2131" t="s">
        <v>2223</v>
      </c>
      <c r="B3" s="3645" t="e">
        <f>ROUND(B2*10000/B4,0)</f>
        <v>#DIV/0!</v>
      </c>
      <c r="C3" s="2121" t="s">
        <v>2224</v>
      </c>
      <c r="D3" s="2121"/>
      <c r="E3" s="2122"/>
      <c r="F3" s="2123"/>
      <c r="G3" s="2124"/>
      <c r="H3" s="2125"/>
      <c r="I3" s="2126"/>
      <c r="J3" s="4474" t="s">
        <v>2225</v>
      </c>
      <c r="K3" s="4475"/>
      <c r="L3" s="2132"/>
      <c r="M3" s="2132"/>
      <c r="N3" s="2132"/>
      <c r="O3" s="2132"/>
      <c r="P3" s="2132"/>
      <c r="Q3" s="2133"/>
      <c r="R3" s="2134">
        <f>SUM(L3:Q3)</f>
        <v>0</v>
      </c>
      <c r="S3" s="2119"/>
      <c r="T3" s="2119"/>
      <c r="U3" s="2119"/>
      <c r="V3" s="2126"/>
    </row>
    <row r="4" spans="1:22" s="2130" customFormat="1" ht="13.15" customHeight="1">
      <c r="A4" s="2135" t="s">
        <v>2226</v>
      </c>
      <c r="B4" s="2169"/>
      <c r="C4" s="2121"/>
      <c r="D4" s="2121"/>
      <c r="E4" s="2122"/>
      <c r="F4" s="2123"/>
      <c r="G4" s="2124"/>
      <c r="H4" s="2125"/>
      <c r="I4" s="2126"/>
      <c r="J4" s="4474" t="s">
        <v>2227</v>
      </c>
      <c r="K4" s="4475"/>
      <c r="L4" s="2137"/>
      <c r="M4" s="2137"/>
      <c r="N4" s="2137"/>
      <c r="O4" s="2137"/>
      <c r="P4" s="2137"/>
      <c r="Q4" s="2138"/>
      <c r="R4" s="2139">
        <f>SUM(L4:Q4)</f>
        <v>0</v>
      </c>
      <c r="S4" s="2119"/>
      <c r="T4" s="2119"/>
      <c r="U4" s="2119"/>
      <c r="V4" s="2126"/>
    </row>
    <row r="5" spans="1:22" s="2130" customFormat="1" ht="13.15" customHeight="1" thickBot="1">
      <c r="A5" s="2140" t="s">
        <v>2228</v>
      </c>
      <c r="B5" s="3646"/>
      <c r="C5" s="2121"/>
      <c r="D5" s="2141"/>
      <c r="E5" s="2123"/>
      <c r="F5" s="2123"/>
      <c r="G5" s="2124"/>
      <c r="H5" s="2125"/>
      <c r="I5" s="2126"/>
      <c r="J5" s="2142" t="s">
        <v>2229</v>
      </c>
      <c r="K5" s="2143"/>
      <c r="L5" s="2143"/>
      <c r="M5" s="2144"/>
      <c r="N5" s="2144"/>
      <c r="O5" s="2144"/>
      <c r="P5" s="2144"/>
      <c r="Q5" s="2144"/>
      <c r="R5" s="2129">
        <f>SUM(R14,R19,R24,R25,R27,R28)</f>
        <v>0</v>
      </c>
      <c r="S5" s="2119"/>
      <c r="T5" s="2119" t="s">
        <v>2230</v>
      </c>
      <c r="U5" s="2119" t="e">
        <f>ROUND(R5*10000/365/R3,1)</f>
        <v>#DIV/0!</v>
      </c>
      <c r="V5" s="2126"/>
    </row>
    <row r="6" spans="1:22" s="2130" customFormat="1" ht="13.15" customHeight="1" thickBot="1">
      <c r="A6" s="4476" t="s">
        <v>3818</v>
      </c>
      <c r="B6" s="4477"/>
      <c r="C6" s="4478"/>
      <c r="D6" s="3647"/>
      <c r="E6" s="3796"/>
      <c r="F6" s="2146"/>
      <c r="G6" s="2147"/>
      <c r="H6" s="2125"/>
      <c r="I6" s="2126"/>
      <c r="J6" s="4479">
        <v>1</v>
      </c>
      <c r="K6" s="4480" t="s">
        <v>2231</v>
      </c>
      <c r="L6" s="2148" t="s">
        <v>2232</v>
      </c>
      <c r="M6" s="2149" t="s">
        <v>2233</v>
      </c>
      <c r="N6" s="2149" t="s">
        <v>2234</v>
      </c>
      <c r="O6" s="2149" t="s">
        <v>2235</v>
      </c>
      <c r="P6" s="2149" t="s">
        <v>2236</v>
      </c>
      <c r="Q6" s="2149" t="s">
        <v>2237</v>
      </c>
      <c r="R6" s="2134" t="s">
        <v>2238</v>
      </c>
      <c r="S6" s="2119"/>
      <c r="T6" s="2119" t="s">
        <v>2239</v>
      </c>
      <c r="U6" s="2119"/>
      <c r="V6" s="2126"/>
    </row>
    <row r="7" spans="1:22" s="2130" customFormat="1" ht="13.15" customHeight="1">
      <c r="A7" s="2150" t="s">
        <v>2240</v>
      </c>
      <c r="B7" s="2151"/>
      <c r="C7" s="2152"/>
      <c r="D7" s="3648">
        <f>SUM(D9,D10,D11,D17,0)</f>
        <v>0</v>
      </c>
      <c r="E7" s="2153" t="e">
        <f>E9+E10+E11+E17</f>
        <v>#DIV/0!</v>
      </c>
      <c r="F7" s="2154"/>
      <c r="G7" s="2155"/>
      <c r="H7" s="2125"/>
      <c r="I7" s="2126"/>
      <c r="J7" s="4479"/>
      <c r="K7" s="4481"/>
      <c r="L7" s="2156" t="s">
        <v>2241</v>
      </c>
      <c r="M7" s="3904"/>
      <c r="N7" s="3903"/>
      <c r="O7" s="2169"/>
      <c r="P7" s="2169"/>
      <c r="Q7" s="3903">
        <v>365</v>
      </c>
      <c r="R7" s="3902">
        <f>ROUND(M7*N7*O7*P7*Q7/10000,0)</f>
        <v>0</v>
      </c>
      <c r="S7" s="2119"/>
      <c r="T7" s="2119" t="s">
        <v>2242</v>
      </c>
      <c r="U7" s="2119"/>
      <c r="V7" s="2126"/>
    </row>
    <row r="8" spans="1:22" s="2130" customFormat="1" ht="13.15" customHeight="1">
      <c r="A8" s="2160" t="s">
        <v>2243</v>
      </c>
      <c r="B8" s="4483" t="s">
        <v>2244</v>
      </c>
      <c r="C8" s="4484"/>
      <c r="D8" s="2161" t="s">
        <v>2245</v>
      </c>
      <c r="E8" s="2162" t="s">
        <v>2246</v>
      </c>
      <c r="F8" s="2163" t="s">
        <v>2247</v>
      </c>
      <c r="G8" s="2164"/>
      <c r="H8" s="2125"/>
      <c r="I8" s="2126"/>
      <c r="J8" s="4479"/>
      <c r="K8" s="4481"/>
      <c r="L8" s="2156" t="s">
        <v>2248</v>
      </c>
      <c r="M8" s="3904"/>
      <c r="N8" s="3903"/>
      <c r="O8" s="2169"/>
      <c r="P8" s="2169"/>
      <c r="Q8" s="3903">
        <v>365</v>
      </c>
      <c r="R8" s="3902">
        <f t="shared" ref="R8:R13" si="0">ROUND(M8*N8*O8*P8*Q8/10000,0)</f>
        <v>0</v>
      </c>
      <c r="S8" s="2119"/>
      <c r="T8" s="2119" t="s">
        <v>2249</v>
      </c>
      <c r="U8" s="2119"/>
      <c r="V8" s="2126"/>
    </row>
    <row r="9" spans="1:22" s="2130" customFormat="1" ht="13.15" customHeight="1">
      <c r="A9" s="2160">
        <v>1</v>
      </c>
      <c r="B9" s="4483" t="s">
        <v>2250</v>
      </c>
      <c r="C9" s="4484"/>
      <c r="D9" s="3649">
        <f>ROUND(D6*E9,0)</f>
        <v>0</v>
      </c>
      <c r="E9" s="3650"/>
      <c r="F9" s="2165" t="s">
        <v>2251</v>
      </c>
      <c r="G9" s="2147"/>
      <c r="H9" s="2125"/>
      <c r="I9" s="2126"/>
      <c r="J9" s="4479"/>
      <c r="K9" s="4481"/>
      <c r="L9" s="2156" t="s">
        <v>2252</v>
      </c>
      <c r="M9" s="3904"/>
      <c r="N9" s="3903"/>
      <c r="O9" s="2169"/>
      <c r="P9" s="2169"/>
      <c r="Q9" s="3903">
        <v>365</v>
      </c>
      <c r="R9" s="3902">
        <f t="shared" si="0"/>
        <v>0</v>
      </c>
      <c r="S9" s="2119"/>
      <c r="T9" s="2119"/>
      <c r="U9" s="2119"/>
      <c r="V9" s="2126"/>
    </row>
    <row r="10" spans="1:22" s="2130" customFormat="1" ht="13.15" customHeight="1">
      <c r="A10" s="2160">
        <v>2</v>
      </c>
      <c r="B10" s="4483" t="s">
        <v>2253</v>
      </c>
      <c r="C10" s="4484"/>
      <c r="D10" s="3649">
        <f>ROUND(D6*E10,0)</f>
        <v>0</v>
      </c>
      <c r="E10" s="3650"/>
      <c r="F10" s="3791" t="s">
        <v>3741</v>
      </c>
      <c r="G10" s="2147"/>
      <c r="H10" s="2125"/>
      <c r="I10" s="2126"/>
      <c r="J10" s="4479"/>
      <c r="K10" s="4481"/>
      <c r="L10" s="2156" t="s">
        <v>2254</v>
      </c>
      <c r="M10" s="3904"/>
      <c r="N10" s="3903"/>
      <c r="O10" s="2169"/>
      <c r="P10" s="2169"/>
      <c r="Q10" s="3903">
        <v>365</v>
      </c>
      <c r="R10" s="3902">
        <f t="shared" si="0"/>
        <v>0</v>
      </c>
      <c r="S10" s="2119"/>
      <c r="T10" s="2119"/>
      <c r="U10" s="2119"/>
      <c r="V10" s="2126"/>
    </row>
    <row r="11" spans="1:22" s="2130" customFormat="1" ht="13.15" customHeight="1">
      <c r="A11" s="2160">
        <v>3</v>
      </c>
      <c r="B11" s="4483" t="s">
        <v>2255</v>
      </c>
      <c r="C11" s="4484"/>
      <c r="D11" s="3649">
        <f>D12+D14+D15+D16</f>
        <v>0</v>
      </c>
      <c r="E11" s="3651" t="e">
        <f>D11/D6</f>
        <v>#DIV/0!</v>
      </c>
      <c r="F11" s="2163"/>
      <c r="G11" s="2164"/>
      <c r="H11" s="2125"/>
      <c r="I11" s="2126"/>
      <c r="J11" s="4479"/>
      <c r="K11" s="4481"/>
      <c r="L11" s="2156" t="s">
        <v>2256</v>
      </c>
      <c r="M11" s="3904"/>
      <c r="N11" s="3903"/>
      <c r="O11" s="2169"/>
      <c r="P11" s="2169"/>
      <c r="Q11" s="3903">
        <v>365</v>
      </c>
      <c r="R11" s="3902">
        <f t="shared" si="0"/>
        <v>0</v>
      </c>
      <c r="S11" s="2119"/>
      <c r="T11" s="2119"/>
      <c r="U11" s="2119"/>
      <c r="V11" s="2126"/>
    </row>
    <row r="12" spans="1:22" s="2130" customFormat="1" ht="13.15" customHeight="1">
      <c r="A12" s="2166" t="s">
        <v>2257</v>
      </c>
      <c r="B12" s="4485" t="s">
        <v>2258</v>
      </c>
      <c r="C12" s="4486"/>
      <c r="D12" s="3652">
        <f>ROUND(D13*1.2%*(1-30%),0)</f>
        <v>0</v>
      </c>
      <c r="E12" s="3653">
        <v>1.2E-2</v>
      </c>
      <c r="F12" s="2163" t="s">
        <v>2259</v>
      </c>
      <c r="G12" s="2164"/>
      <c r="H12" s="2125"/>
      <c r="I12" s="2126"/>
      <c r="J12" s="4479"/>
      <c r="K12" s="4481"/>
      <c r="L12" s="2156" t="s">
        <v>2260</v>
      </c>
      <c r="M12" s="3904"/>
      <c r="N12" s="3903"/>
      <c r="O12" s="2169"/>
      <c r="P12" s="2169"/>
      <c r="Q12" s="3903">
        <v>365</v>
      </c>
      <c r="R12" s="3902">
        <f t="shared" si="0"/>
        <v>0</v>
      </c>
      <c r="S12" s="2119"/>
      <c r="T12" s="2119"/>
      <c r="U12" s="2119"/>
      <c r="V12" s="2126"/>
    </row>
    <row r="13" spans="1:22" s="2130" customFormat="1" ht="13.15" customHeight="1">
      <c r="A13" s="2166"/>
      <c r="B13" s="2167"/>
      <c r="C13" s="2168" t="s">
        <v>2261</v>
      </c>
      <c r="D13" s="3654"/>
      <c r="E13" s="2170"/>
      <c r="F13" s="2163"/>
      <c r="G13" s="2164"/>
      <c r="H13" s="2125"/>
      <c r="I13" s="2126"/>
      <c r="J13" s="4479"/>
      <c r="K13" s="4481"/>
      <c r="L13" s="2156" t="s">
        <v>2262</v>
      </c>
      <c r="M13" s="3904"/>
      <c r="N13" s="3903"/>
      <c r="O13" s="2169"/>
      <c r="P13" s="2169"/>
      <c r="Q13" s="3903">
        <v>365</v>
      </c>
      <c r="R13" s="3902">
        <f t="shared" si="0"/>
        <v>0</v>
      </c>
      <c r="S13" s="2119"/>
      <c r="T13" s="2119"/>
      <c r="U13" s="2119"/>
      <c r="V13" s="2126"/>
    </row>
    <row r="14" spans="1:22" s="2130" customFormat="1" ht="13.15" customHeight="1">
      <c r="A14" s="2166" t="s">
        <v>2263</v>
      </c>
      <c r="B14" s="4485" t="s">
        <v>2264</v>
      </c>
      <c r="C14" s="4486"/>
      <c r="D14" s="3652">
        <f>ROUND(E14*B5/10000,0)</f>
        <v>0</v>
      </c>
      <c r="E14" s="3655"/>
      <c r="F14" s="2163" t="s">
        <v>2265</v>
      </c>
      <c r="G14" s="2164"/>
      <c r="H14" s="2125"/>
      <c r="I14" s="2126"/>
      <c r="J14" s="4479"/>
      <c r="K14" s="4482"/>
      <c r="L14" s="2171" t="s">
        <v>2266</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2267</v>
      </c>
      <c r="B15" s="4487" t="s">
        <v>3815</v>
      </c>
      <c r="C15" s="4486"/>
      <c r="D15" s="3652">
        <f>IF(F15="酒店",E48*(1+E15),IF(F15="购物中心",E67*(1+E15),IF(F15="按比例计算-酒店",E46,E65)))</f>
        <v>0</v>
      </c>
      <c r="E15" s="3653">
        <f>'数据-取费表'!B44</f>
        <v>0.12000000000000001</v>
      </c>
      <c r="F15" s="3794"/>
      <c r="G15" s="3795"/>
      <c r="H15" s="2125"/>
      <c r="I15" s="2126"/>
      <c r="J15" s="4479">
        <v>2</v>
      </c>
      <c r="K15" s="4480" t="s">
        <v>2268</v>
      </c>
      <c r="L15" s="2156" t="s">
        <v>2269</v>
      </c>
      <c r="M15" s="2157" t="s">
        <v>2270</v>
      </c>
      <c r="N15" s="2157" t="s">
        <v>2271</v>
      </c>
      <c r="O15" s="2158" t="s">
        <v>2272</v>
      </c>
      <c r="P15" s="2158" t="s">
        <v>2237</v>
      </c>
      <c r="Q15" s="2136" t="s">
        <v>2273</v>
      </c>
      <c r="R15" s="2175" t="s">
        <v>2238</v>
      </c>
      <c r="S15" s="2119"/>
      <c r="T15" s="2119"/>
      <c r="U15" s="2119"/>
      <c r="V15" s="2126"/>
    </row>
    <row r="16" spans="1:22" s="2130" customFormat="1" ht="13.15" customHeight="1">
      <c r="A16" s="2166" t="s">
        <v>2274</v>
      </c>
      <c r="B16" s="4485" t="s">
        <v>2275</v>
      </c>
      <c r="C16" s="4486"/>
      <c r="D16" s="3656">
        <f>D6*E16</f>
        <v>0</v>
      </c>
      <c r="E16" s="3657"/>
      <c r="F16" s="2165" t="s">
        <v>2276</v>
      </c>
      <c r="G16" s="2147"/>
      <c r="H16" s="2125"/>
      <c r="I16" s="2126"/>
      <c r="J16" s="4479"/>
      <c r="K16" s="4481"/>
      <c r="L16" s="2156" t="s">
        <v>2277</v>
      </c>
      <c r="M16" s="3904"/>
      <c r="N16" s="3904"/>
      <c r="O16" s="2169"/>
      <c r="P16" s="3903">
        <v>365</v>
      </c>
      <c r="Q16" s="3903"/>
      <c r="R16" s="3902">
        <f>ROUND(M16*N16*O16*P16/10000,0)</f>
        <v>0</v>
      </c>
      <c r="S16" s="2119"/>
      <c r="T16" s="2119"/>
      <c r="U16" s="2119"/>
      <c r="V16" s="2126"/>
    </row>
    <row r="17" spans="1:22" s="2130" customFormat="1" ht="13.15" customHeight="1" thickBot="1">
      <c r="A17" s="2176">
        <v>4</v>
      </c>
      <c r="B17" s="4488" t="s">
        <v>2278</v>
      </c>
      <c r="C17" s="4489"/>
      <c r="D17" s="3658">
        <f>ROUND(D6*E17,0)</f>
        <v>0</v>
      </c>
      <c r="E17" s="3659"/>
      <c r="F17" s="3792" t="s">
        <v>3742</v>
      </c>
      <c r="G17" s="2147"/>
      <c r="H17" s="2125"/>
      <c r="I17" s="2126"/>
      <c r="J17" s="4479"/>
      <c r="K17" s="4481"/>
      <c r="L17" s="2156" t="s">
        <v>2279</v>
      </c>
      <c r="M17" s="3904"/>
      <c r="N17" s="3904"/>
      <c r="O17" s="2169"/>
      <c r="P17" s="3903">
        <v>365</v>
      </c>
      <c r="Q17" s="3903"/>
      <c r="R17" s="3902">
        <f>ROUND(M17*N17*O17*P17/10000,0)</f>
        <v>0</v>
      </c>
      <c r="S17" s="2119"/>
      <c r="T17" s="2119"/>
      <c r="U17" s="2119"/>
      <c r="V17" s="2126"/>
    </row>
    <row r="18" spans="1:22" s="2130" customFormat="1" ht="13.15" customHeight="1" thickBot="1">
      <c r="A18" s="2150" t="s">
        <v>2280</v>
      </c>
      <c r="B18" s="2151"/>
      <c r="C18" s="2151"/>
      <c r="D18" s="3660">
        <f>ROUND(D6*E18,0)</f>
        <v>0</v>
      </c>
      <c r="E18" s="3661"/>
      <c r="F18" s="2177" t="s">
        <v>2281</v>
      </c>
      <c r="G18" s="2147"/>
      <c r="H18" s="2125"/>
      <c r="I18" s="2126"/>
      <c r="J18" s="4479"/>
      <c r="K18" s="4481"/>
      <c r="L18" s="2156" t="s">
        <v>2282</v>
      </c>
      <c r="M18" s="3904"/>
      <c r="N18" s="3904"/>
      <c r="O18" s="2169"/>
      <c r="P18" s="3903">
        <v>365</v>
      </c>
      <c r="Q18" s="3903"/>
      <c r="R18" s="3902">
        <f>ROUND(M18*N18*O18*P18/10000,0)</f>
        <v>0</v>
      </c>
      <c r="S18" s="2119"/>
      <c r="T18" s="2119"/>
      <c r="U18" s="2119"/>
      <c r="V18" s="2126"/>
    </row>
    <row r="19" spans="1:22" s="2130" customFormat="1" ht="13.15" customHeight="1" thickBot="1">
      <c r="A19" s="2178" t="s">
        <v>2283</v>
      </c>
      <c r="B19" s="2145"/>
      <c r="C19" s="2145"/>
      <c r="D19" s="2145"/>
      <c r="E19" s="2145"/>
      <c r="F19" s="2146"/>
      <c r="G19" s="2164"/>
      <c r="H19" s="2125"/>
      <c r="I19" s="2126"/>
      <c r="J19" s="4479"/>
      <c r="K19" s="4482"/>
      <c r="L19" s="2171" t="s">
        <v>2266</v>
      </c>
      <c r="M19" s="2172"/>
      <c r="N19" s="2172">
        <f>SUM(N16:N18)</f>
        <v>0</v>
      </c>
      <c r="O19" s="2173"/>
      <c r="P19" s="2179" t="s">
        <v>2327</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79">
        <v>3</v>
      </c>
      <c r="K20" s="4480" t="s">
        <v>2284</v>
      </c>
      <c r="L20" s="2156" t="s">
        <v>2285</v>
      </c>
      <c r="M20" s="2157" t="s">
        <v>2286</v>
      </c>
      <c r="N20" s="2181" t="s">
        <v>2287</v>
      </c>
      <c r="O20" s="2158" t="s">
        <v>2288</v>
      </c>
      <c r="P20" s="2159" t="s">
        <v>2289</v>
      </c>
      <c r="Q20" s="2136" t="s">
        <v>2290</v>
      </c>
      <c r="R20" s="2175" t="s">
        <v>2291</v>
      </c>
      <c r="S20" s="2119"/>
      <c r="T20" s="2119"/>
      <c r="U20" s="2119"/>
      <c r="V20" s="2126"/>
    </row>
    <row r="21" spans="1:22" s="2130" customFormat="1" ht="13.15" customHeight="1">
      <c r="A21" s="2150"/>
      <c r="B21" s="2151"/>
      <c r="C21" s="2182" t="s">
        <v>2292</v>
      </c>
      <c r="D21" s="2183" t="s">
        <v>2293</v>
      </c>
      <c r="E21" s="2184" t="s">
        <v>2294</v>
      </c>
      <c r="F21" s="2180"/>
      <c r="G21" s="2164"/>
      <c r="H21" s="2125"/>
      <c r="I21" s="2126"/>
      <c r="J21" s="4479"/>
      <c r="K21" s="4481"/>
      <c r="L21" s="2156" t="s">
        <v>2295</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2296</v>
      </c>
      <c r="D22" s="2186" t="s">
        <v>2297</v>
      </c>
      <c r="E22" s="2187" t="s">
        <v>2298</v>
      </c>
      <c r="F22" s="2180"/>
      <c r="G22" s="2119"/>
      <c r="H22" s="2125"/>
      <c r="I22" s="2126"/>
      <c r="J22" s="4479"/>
      <c r="K22" s="4481"/>
      <c r="L22" s="2156" t="s">
        <v>2299</v>
      </c>
      <c r="M22" s="3904"/>
      <c r="N22" s="3904"/>
      <c r="O22" s="2169"/>
      <c r="P22" s="3903">
        <v>365</v>
      </c>
      <c r="Q22" s="3903"/>
      <c r="R22" s="3905">
        <f>ROUND(M22*N22*O22*P22/10000,0)</f>
        <v>0</v>
      </c>
      <c r="S22" s="2119"/>
      <c r="T22" s="2119"/>
      <c r="U22" s="2119"/>
      <c r="V22" s="2126"/>
    </row>
    <row r="23" spans="1:22" s="2130" customFormat="1" ht="13.15" customHeight="1">
      <c r="A23" s="2188">
        <v>1</v>
      </c>
      <c r="B23" s="2189" t="s">
        <v>2300</v>
      </c>
      <c r="C23" s="2194">
        <f>D6</f>
        <v>0</v>
      </c>
      <c r="D23" s="3676">
        <f>C23*(1+D24)</f>
        <v>0</v>
      </c>
      <c r="E23" s="3677">
        <f>D23*(1+E24)</f>
        <v>0</v>
      </c>
      <c r="F23" s="2190"/>
      <c r="G23" s="2191"/>
      <c r="H23" s="2125"/>
      <c r="I23" s="2126"/>
      <c r="J23" s="4479"/>
      <c r="K23" s="4481"/>
      <c r="L23" s="2156" t="s">
        <v>2301</v>
      </c>
      <c r="M23" s="3904"/>
      <c r="N23" s="3904"/>
      <c r="O23" s="2169"/>
      <c r="P23" s="3903">
        <v>365</v>
      </c>
      <c r="Q23" s="3903"/>
      <c r="R23" s="3905">
        <f>ROUND(M23*N23*O23*P23/10000,0)</f>
        <v>0</v>
      </c>
      <c r="S23" s="2119"/>
      <c r="T23" s="2119"/>
      <c r="U23" s="2119"/>
      <c r="V23" s="2126"/>
    </row>
    <row r="24" spans="1:22" s="2130" customFormat="1" ht="13.15" customHeight="1">
      <c r="A24" s="2192"/>
      <c r="B24" s="2193" t="s">
        <v>2302</v>
      </c>
      <c r="C24" s="2194"/>
      <c r="D24" s="2195"/>
      <c r="E24" s="2196"/>
      <c r="F24" s="2197"/>
      <c r="G24" s="2191"/>
      <c r="H24" s="2125"/>
      <c r="I24" s="2126"/>
      <c r="J24" s="4479"/>
      <c r="K24" s="4482"/>
      <c r="L24" s="2171" t="s">
        <v>2266</v>
      </c>
      <c r="M24" s="2172">
        <f>SUM(M21:M23)</f>
        <v>0</v>
      </c>
      <c r="N24" s="2172"/>
      <c r="O24" s="2173"/>
      <c r="P24" s="2179" t="s">
        <v>2327</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2303</v>
      </c>
      <c r="L25" s="2200"/>
      <c r="M25" s="2200"/>
      <c r="N25" s="2200"/>
      <c r="O25" s="2200"/>
      <c r="P25" s="2201"/>
      <c r="Q25" s="2202">
        <v>0</v>
      </c>
      <c r="R25" s="3906">
        <f>ROUND(R14*Q25,0)</f>
        <v>0</v>
      </c>
      <c r="S25" s="2119"/>
      <c r="T25" s="2119"/>
      <c r="U25" s="2119"/>
      <c r="V25" s="2203"/>
    </row>
    <row r="26" spans="1:22" s="2204" customFormat="1" ht="13.15" customHeight="1">
      <c r="A26" s="2188">
        <v>2</v>
      </c>
      <c r="B26" s="2189" t="s">
        <v>2304</v>
      </c>
      <c r="C26" s="2194">
        <f>D7</f>
        <v>0</v>
      </c>
      <c r="D26" s="3662">
        <f>D23*D27</f>
        <v>0</v>
      </c>
      <c r="E26" s="3663">
        <f>E23*E27</f>
        <v>0</v>
      </c>
      <c r="F26" s="2190"/>
      <c r="G26" s="2191"/>
      <c r="H26" s="2125"/>
      <c r="I26" s="2126"/>
      <c r="J26" s="4490">
        <v>5</v>
      </c>
      <c r="K26" s="2205" t="s">
        <v>2305</v>
      </c>
      <c r="L26" s="2206"/>
      <c r="M26" s="2207"/>
      <c r="N26" s="2208" t="s">
        <v>2306</v>
      </c>
      <c r="O26" s="2208" t="s">
        <v>2307</v>
      </c>
      <c r="P26" s="2209" t="s">
        <v>2308</v>
      </c>
      <c r="Q26" s="2209" t="s">
        <v>2309</v>
      </c>
      <c r="R26" s="2134" t="s">
        <v>2238</v>
      </c>
      <c r="S26" s="2164"/>
      <c r="T26" s="2164"/>
      <c r="U26" s="2164"/>
      <c r="V26" s="2203"/>
    </row>
    <row r="27" spans="1:22" s="2130" customFormat="1" ht="13.15" customHeight="1">
      <c r="A27" s="2192"/>
      <c r="B27" s="2193" t="s">
        <v>2310</v>
      </c>
      <c r="C27" s="2210" t="e">
        <f>E7</f>
        <v>#DIV/0!</v>
      </c>
      <c r="D27" s="2195"/>
      <c r="E27" s="2196"/>
      <c r="F27" s="2197"/>
      <c r="G27" s="2191"/>
      <c r="H27" s="2211"/>
      <c r="I27" s="2203"/>
      <c r="J27" s="4491"/>
      <c r="K27" s="2212"/>
      <c r="L27" s="2213"/>
      <c r="M27" s="2214"/>
      <c r="N27" s="3681"/>
      <c r="O27" s="3681"/>
      <c r="P27" s="3681"/>
      <c r="Q27" s="3681"/>
      <c r="R27" s="3906">
        <f>ROUND(O27*N27*P27*(1-Q27)/10000,0)</f>
        <v>0</v>
      </c>
      <c r="S27" s="2119"/>
      <c r="T27" s="2119"/>
      <c r="U27" s="2119"/>
      <c r="V27" s="2126"/>
    </row>
    <row r="28" spans="1:22" s="2204" customFormat="1" ht="13.15" customHeight="1" thickBot="1">
      <c r="A28" s="2192"/>
      <c r="B28" s="2193"/>
      <c r="C28" s="2210"/>
      <c r="D28" s="2195"/>
      <c r="E28" s="2196" t="s">
        <v>2311</v>
      </c>
      <c r="F28" s="2197"/>
      <c r="G28" s="2119"/>
      <c r="H28" s="2211"/>
      <c r="I28" s="2203"/>
      <c r="J28" s="2215">
        <v>6</v>
      </c>
      <c r="K28" s="2216" t="s">
        <v>2312</v>
      </c>
      <c r="L28" s="2217" t="s">
        <v>2313</v>
      </c>
      <c r="M28" s="3683"/>
      <c r="N28" s="2217" t="s">
        <v>2314</v>
      </c>
      <c r="O28" s="2219"/>
      <c r="P28" s="2217" t="s">
        <v>2315</v>
      </c>
      <c r="Q28" s="2220">
        <v>1.4999999999999999E-2</v>
      </c>
      <c r="R28" s="3682"/>
      <c r="S28" s="2119"/>
      <c r="T28" s="2119"/>
      <c r="U28" s="2119"/>
      <c r="V28" s="2203"/>
    </row>
    <row r="29" spans="1:22" s="2204" customFormat="1" ht="13.15" customHeight="1">
      <c r="A29" s="2188">
        <v>3</v>
      </c>
      <c r="B29" s="2189" t="s">
        <v>2316</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2310</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2317</v>
      </c>
      <c r="K31" s="2117"/>
      <c r="L31" s="2117"/>
      <c r="M31" s="2117"/>
      <c r="N31" s="2117"/>
      <c r="O31" s="2117"/>
      <c r="P31" s="2117"/>
      <c r="Q31" s="2117"/>
      <c r="R31" s="2118"/>
      <c r="S31" s="2119"/>
      <c r="T31" s="2119"/>
      <c r="U31" s="2119"/>
      <c r="V31" s="2203"/>
    </row>
    <row r="32" spans="1:22" s="2204" customFormat="1" ht="13.15" customHeight="1">
      <c r="A32" s="2188">
        <v>4</v>
      </c>
      <c r="B32" s="2189" t="s">
        <v>2318</v>
      </c>
      <c r="C32" s="2194">
        <f>C23-C26-C29</f>
        <v>0</v>
      </c>
      <c r="D32" s="3662">
        <f>D23-D26-D29</f>
        <v>0</v>
      </c>
      <c r="E32" s="3663">
        <f>E23-E26-E29</f>
        <v>0</v>
      </c>
      <c r="F32" s="2190"/>
      <c r="G32" s="2119"/>
      <c r="H32" s="2125"/>
      <c r="I32" s="2126"/>
      <c r="J32" s="4472" t="s">
        <v>2215</v>
      </c>
      <c r="K32" s="4473"/>
      <c r="L32" s="2127" t="s">
        <v>2216</v>
      </c>
      <c r="M32" s="2127" t="s">
        <v>2217</v>
      </c>
      <c r="N32" s="2127" t="s">
        <v>2218</v>
      </c>
      <c r="O32" s="2127" t="s">
        <v>2219</v>
      </c>
      <c r="P32" s="2127" t="s">
        <v>2220</v>
      </c>
      <c r="Q32" s="2128" t="s">
        <v>2221</v>
      </c>
      <c r="R32" s="2223" t="s">
        <v>2222</v>
      </c>
      <c r="S32" s="2119"/>
      <c r="T32" s="2119"/>
      <c r="U32" s="2119"/>
      <c r="V32" s="2203"/>
    </row>
    <row r="33" spans="1:23" s="2130" customFormat="1" ht="13.15" customHeight="1">
      <c r="A33" s="2188"/>
      <c r="B33" s="2189"/>
      <c r="C33" s="2194"/>
      <c r="D33" s="3664"/>
      <c r="E33" s="3665"/>
      <c r="F33" s="2190"/>
      <c r="G33" s="2119"/>
      <c r="H33" s="2211"/>
      <c r="I33" s="2203"/>
      <c r="J33" s="4474" t="s">
        <v>2225</v>
      </c>
      <c r="K33" s="4475"/>
      <c r="L33" s="3684"/>
      <c r="M33" s="3684"/>
      <c r="N33" s="3684"/>
      <c r="O33" s="3684"/>
      <c r="P33" s="3684"/>
      <c r="Q33" s="3685"/>
      <c r="R33" s="3686">
        <f>SUM(L33:Q33)</f>
        <v>0</v>
      </c>
      <c r="S33" s="2119"/>
      <c r="T33" s="2119"/>
      <c r="U33" s="2119"/>
      <c r="V33" s="2126"/>
    </row>
    <row r="34" spans="1:23" s="2130" customFormat="1" ht="13.15" customHeight="1">
      <c r="A34" s="2188">
        <v>5</v>
      </c>
      <c r="B34" s="2189" t="s">
        <v>2319</v>
      </c>
      <c r="C34" s="3666"/>
      <c r="D34" s="3667"/>
      <c r="E34" s="3668"/>
      <c r="F34" s="2190"/>
      <c r="G34" s="2119"/>
      <c r="H34" s="2211"/>
      <c r="I34" s="2203"/>
      <c r="J34" s="4474" t="s">
        <v>2227</v>
      </c>
      <c r="K34" s="4475"/>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2320</v>
      </c>
      <c r="C35" s="2222"/>
      <c r="D35" s="2195"/>
      <c r="E35" s="2196"/>
      <c r="F35" s="2190"/>
      <c r="G35" s="2224"/>
      <c r="H35" s="2125"/>
      <c r="I35" s="2203"/>
      <c r="J35" s="2142" t="s">
        <v>2229</v>
      </c>
      <c r="K35" s="2143"/>
      <c r="L35" s="2143"/>
      <c r="M35" s="2144"/>
      <c r="N35" s="2144"/>
      <c r="O35" s="2144"/>
      <c r="P35" s="2144"/>
      <c r="Q35" s="2144"/>
      <c r="R35" s="2225">
        <f>R40+R41+R43</f>
        <v>0</v>
      </c>
      <c r="S35" s="2119"/>
      <c r="T35" s="2119" t="s">
        <v>2230</v>
      </c>
      <c r="U35" s="2119"/>
      <c r="V35" s="2126"/>
    </row>
    <row r="36" spans="1:23" s="2130" customFormat="1" ht="13.15" customHeight="1" thickBot="1">
      <c r="A36" s="2188">
        <v>7</v>
      </c>
      <c r="B36" s="2226" t="s">
        <v>2321</v>
      </c>
      <c r="C36" s="3669"/>
      <c r="D36" s="3670"/>
      <c r="E36" s="3671"/>
      <c r="F36" s="2227">
        <f>C36+D36+E36</f>
        <v>0</v>
      </c>
      <c r="G36" s="2119"/>
      <c r="H36" s="2125"/>
      <c r="I36" s="2126"/>
      <c r="J36" s="4479">
        <v>1</v>
      </c>
      <c r="K36" s="4480" t="s">
        <v>2322</v>
      </c>
      <c r="L36" s="2148"/>
      <c r="M36" s="2149"/>
      <c r="N36" s="2149"/>
      <c r="O36" s="2149"/>
      <c r="P36" s="2149"/>
      <c r="Q36" s="2149"/>
      <c r="R36" s="2134" t="s">
        <v>2238</v>
      </c>
      <c r="S36" s="2119"/>
      <c r="T36" s="2119" t="s">
        <v>2239</v>
      </c>
      <c r="U36" s="2119"/>
      <c r="V36" s="2126"/>
    </row>
    <row r="37" spans="1:23" s="2130" customFormat="1" ht="13.15" customHeight="1">
      <c r="A37" s="2188"/>
      <c r="B37" s="2189"/>
      <c r="C37" s="2193"/>
      <c r="D37" s="2193"/>
      <c r="E37" s="2193"/>
      <c r="F37" s="2190"/>
      <c r="G37" s="2119"/>
      <c r="H37" s="2125"/>
      <c r="I37" s="2126"/>
      <c r="J37" s="4479"/>
      <c r="K37" s="4481"/>
      <c r="L37" s="3690"/>
      <c r="M37" s="3678"/>
      <c r="N37" s="2169"/>
      <c r="O37" s="2169"/>
      <c r="P37" s="2169"/>
      <c r="Q37" s="2169"/>
      <c r="R37" s="3679"/>
      <c r="S37" s="2119"/>
      <c r="T37" s="2119" t="s">
        <v>2242</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79"/>
      <c r="K38" s="4481"/>
      <c r="L38" s="3690"/>
      <c r="M38" s="3678"/>
      <c r="N38" s="2169"/>
      <c r="O38" s="2169"/>
      <c r="P38" s="2169"/>
      <c r="Q38" s="2169"/>
      <c r="R38" s="3679"/>
      <c r="S38" s="2119"/>
      <c r="T38" s="2119" t="s">
        <v>2249</v>
      </c>
      <c r="U38" s="2119"/>
      <c r="V38" s="2126"/>
    </row>
    <row r="39" spans="1:23" s="2130" customFormat="1" ht="13.15" customHeight="1">
      <c r="A39" s="2188">
        <v>9</v>
      </c>
      <c r="B39" s="2189" t="s">
        <v>2323</v>
      </c>
      <c r="C39" s="3652" t="e">
        <f>C38</f>
        <v>#DIV/0!</v>
      </c>
      <c r="D39" s="3652">
        <f>IF(D23=0,0,D38/(1+D34)^C36)</f>
        <v>0</v>
      </c>
      <c r="E39" s="3652">
        <f>IF(E23=0,0,E38/(1+E34)^(C36+D36))</f>
        <v>0</v>
      </c>
      <c r="F39" s="2190"/>
      <c r="G39" s="2126"/>
      <c r="H39" s="2125"/>
      <c r="I39" s="2126"/>
      <c r="J39" s="4479"/>
      <c r="K39" s="4481"/>
      <c r="L39" s="3690"/>
      <c r="M39" s="3678"/>
      <c r="N39" s="2169"/>
      <c r="O39" s="2169"/>
      <c r="P39" s="2169"/>
      <c r="Q39" s="2169"/>
      <c r="R39" s="3679"/>
      <c r="S39" s="2119"/>
      <c r="T39" s="2119"/>
      <c r="U39" s="2119"/>
      <c r="V39" s="2126"/>
    </row>
    <row r="40" spans="1:23" s="2130" customFormat="1" ht="13.15" customHeight="1">
      <c r="A40" s="2228">
        <v>10</v>
      </c>
      <c r="B40" s="2189" t="s">
        <v>2324</v>
      </c>
      <c r="C40" s="3672" t="e">
        <f>C39+D39+E39</f>
        <v>#DIV/0!</v>
      </c>
      <c r="D40" s="3673"/>
      <c r="E40" s="3673"/>
      <c r="F40" s="2229"/>
      <c r="G40" s="2119"/>
      <c r="H40" s="2125"/>
      <c r="I40" s="2126"/>
      <c r="J40" s="4479"/>
      <c r="K40" s="4482"/>
      <c r="L40" s="2171" t="s">
        <v>2266</v>
      </c>
      <c r="M40" s="2172"/>
      <c r="N40" s="2172"/>
      <c r="O40" s="2173"/>
      <c r="P40" s="2173"/>
      <c r="Q40" s="3691"/>
      <c r="R40" s="3907">
        <f>SUM(R37:R39)</f>
        <v>0</v>
      </c>
      <c r="S40" s="2119"/>
      <c r="T40" s="2119"/>
      <c r="U40" s="2119"/>
      <c r="V40" s="2126"/>
    </row>
    <row r="41" spans="1:23" s="2130" customFormat="1" ht="13.15" customHeight="1" thickBot="1">
      <c r="A41" s="2230">
        <v>11</v>
      </c>
      <c r="B41" s="2231" t="s">
        <v>2325</v>
      </c>
      <c r="C41" s="3674" t="e">
        <f>ROUND(C40*10000/B4,0)</f>
        <v>#DIV/0!</v>
      </c>
      <c r="D41" s="3675"/>
      <c r="E41" s="3675"/>
      <c r="F41" s="2232"/>
      <c r="G41" s="2125"/>
      <c r="H41" s="2125"/>
      <c r="I41" s="2126"/>
      <c r="J41" s="2198">
        <v>2</v>
      </c>
      <c r="K41" s="2199" t="s">
        <v>2303</v>
      </c>
      <c r="L41" s="2200"/>
      <c r="M41" s="2200"/>
      <c r="N41" s="2200"/>
      <c r="O41" s="2200"/>
      <c r="P41" s="2201"/>
      <c r="Q41" s="3678"/>
      <c r="R41" s="3906">
        <f>ROUND(R40*Q41,0)</f>
        <v>0</v>
      </c>
      <c r="S41" s="2119"/>
      <c r="T41" s="2119"/>
      <c r="U41" s="2164"/>
      <c r="V41" s="2126"/>
    </row>
    <row r="42" spans="1:23" s="2130" customFormat="1" ht="13.15" customHeight="1">
      <c r="G42" s="2125"/>
      <c r="H42" s="2125"/>
      <c r="I42" s="2126"/>
      <c r="J42" s="4490">
        <v>3</v>
      </c>
      <c r="K42" s="2205" t="s">
        <v>2305</v>
      </c>
      <c r="L42" s="2206"/>
      <c r="M42" s="2207"/>
      <c r="N42" s="2208" t="s">
        <v>2306</v>
      </c>
      <c r="O42" s="2208" t="s">
        <v>2307</v>
      </c>
      <c r="P42" s="2209" t="s">
        <v>2308</v>
      </c>
      <c r="Q42" s="2209" t="s">
        <v>2309</v>
      </c>
      <c r="R42" s="2134" t="s">
        <v>2238</v>
      </c>
      <c r="S42" s="2164"/>
      <c r="T42" s="2164"/>
      <c r="U42" s="2119"/>
      <c r="V42" s="2126"/>
    </row>
    <row r="43" spans="1:23" ht="13.15" customHeight="1">
      <c r="A43" s="2130"/>
      <c r="B43" s="2130"/>
      <c r="C43" s="2130"/>
      <c r="D43" s="2130"/>
      <c r="E43" s="2130"/>
      <c r="F43" s="2130"/>
      <c r="G43" s="2125"/>
      <c r="H43" s="2125"/>
      <c r="I43" s="2114"/>
      <c r="J43" s="4491"/>
      <c r="K43" s="2212"/>
      <c r="L43" s="2213"/>
      <c r="M43" s="2214"/>
      <c r="N43" s="3678"/>
      <c r="O43" s="3678"/>
      <c r="P43" s="3678"/>
      <c r="Q43" s="3678"/>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2312</v>
      </c>
      <c r="L44" s="2235" t="s">
        <v>2313</v>
      </c>
      <c r="M44" s="3683"/>
      <c r="N44" s="2235" t="s">
        <v>2314</v>
      </c>
      <c r="O44" s="2218"/>
      <c r="P44" s="2235" t="s">
        <v>2315</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3743</v>
      </c>
      <c r="D46" s="3802" t="s">
        <v>3816</v>
      </c>
      <c r="E46" s="4087"/>
      <c r="F46" s="3813" t="s">
        <v>3805</v>
      </c>
      <c r="G46" s="3814"/>
      <c r="H46" s="2130"/>
      <c r="I46" s="2234"/>
    </row>
    <row r="47" spans="1:23" ht="13.15" customHeight="1">
      <c r="A47" s="2130"/>
      <c r="B47" s="2130"/>
      <c r="C47" s="3803" t="s">
        <v>3744</v>
      </c>
      <c r="D47" s="3804" t="s">
        <v>3745</v>
      </c>
      <c r="E47" s="3815" t="s">
        <v>3746</v>
      </c>
      <c r="F47" s="3815" t="s">
        <v>3747</v>
      </c>
      <c r="G47" s="3816" t="s">
        <v>3748</v>
      </c>
      <c r="H47" s="2120"/>
      <c r="I47" s="2234"/>
    </row>
    <row r="48" spans="1:23" ht="13.15" customHeight="1">
      <c r="C48" s="3805">
        <v>1</v>
      </c>
      <c r="D48" s="3804" t="s">
        <v>3749</v>
      </c>
      <c r="E48" s="3826">
        <f>E49-E54</f>
        <v>0</v>
      </c>
      <c r="F48" s="3804"/>
      <c r="G48" s="3816"/>
      <c r="H48" s="2120"/>
      <c r="I48" s="2234"/>
    </row>
    <row r="49" spans="1:9" ht="13.15" customHeight="1">
      <c r="C49" s="3805">
        <v>2</v>
      </c>
      <c r="D49" s="3804" t="s">
        <v>3750</v>
      </c>
      <c r="E49" s="3826">
        <f>SUM(E50:E53)</f>
        <v>0</v>
      </c>
      <c r="F49" s="3804"/>
      <c r="G49" s="3816"/>
      <c r="H49" s="2120"/>
      <c r="I49" s="2234"/>
    </row>
    <row r="50" spans="1:9" ht="13.15" customHeight="1">
      <c r="C50" s="3806" t="s">
        <v>3766</v>
      </c>
      <c r="D50" s="3807" t="s">
        <v>3751</v>
      </c>
      <c r="E50" s="3827">
        <f>R14*G50/(1+G50)</f>
        <v>0</v>
      </c>
      <c r="F50" s="3817" t="s">
        <v>3767</v>
      </c>
      <c r="G50" s="3818">
        <v>0.06</v>
      </c>
      <c r="H50" s="2120"/>
      <c r="I50" s="2234"/>
    </row>
    <row r="51" spans="1:9" ht="13.15" customHeight="1">
      <c r="C51" s="3806" t="s">
        <v>3768</v>
      </c>
      <c r="D51" s="3807" t="s">
        <v>3752</v>
      </c>
      <c r="E51" s="3827">
        <f>R19*G51/(1+G51)</f>
        <v>0</v>
      </c>
      <c r="F51" s="3817" t="s">
        <v>3769</v>
      </c>
      <c r="G51" s="3818">
        <v>0.06</v>
      </c>
      <c r="H51" s="2120"/>
      <c r="I51" s="2234"/>
    </row>
    <row r="52" spans="1:9" ht="13.15" customHeight="1">
      <c r="C52" s="3806" t="s">
        <v>3770</v>
      </c>
      <c r="D52" s="3807" t="s">
        <v>3753</v>
      </c>
      <c r="E52" s="3827">
        <f>R24*G52/(1+R24)</f>
        <v>0</v>
      </c>
      <c r="F52" s="3817" t="s">
        <v>3754</v>
      </c>
      <c r="G52" s="3818">
        <v>0.09</v>
      </c>
      <c r="H52" s="2120"/>
      <c r="I52" s="2234"/>
    </row>
    <row r="53" spans="1:9" ht="13.15" customHeight="1">
      <c r="C53" s="3806" t="s">
        <v>3771</v>
      </c>
      <c r="D53" s="3807" t="s">
        <v>3755</v>
      </c>
      <c r="E53" s="3827">
        <f>R27*G53/(1+G53)</f>
        <v>0</v>
      </c>
      <c r="F53" s="3817" t="s">
        <v>3754</v>
      </c>
      <c r="G53" s="3818">
        <v>0.09</v>
      </c>
      <c r="H53" s="2120"/>
      <c r="I53" s="2234"/>
    </row>
    <row r="54" spans="1:9" ht="13.15" customHeight="1">
      <c r="A54" s="2120" t="s">
        <v>3800</v>
      </c>
      <c r="B54" s="2234"/>
      <c r="C54" s="3805">
        <v>3</v>
      </c>
      <c r="D54" s="3804" t="s">
        <v>3756</v>
      </c>
      <c r="E54" s="3826">
        <f>E55+E56+E60</f>
        <v>0</v>
      </c>
      <c r="F54" s="3804"/>
      <c r="G54" s="3816"/>
      <c r="H54" s="2120"/>
      <c r="I54" s="2234"/>
    </row>
    <row r="55" spans="1:9" ht="13.15" customHeight="1">
      <c r="A55" s="3797">
        <v>0.05</v>
      </c>
      <c r="B55" s="3798" t="s">
        <v>3804</v>
      </c>
      <c r="C55" s="3806" t="s">
        <v>3766</v>
      </c>
      <c r="D55" s="3807" t="s">
        <v>3757</v>
      </c>
      <c r="E55" s="3827">
        <f>D9*G55/(1+G55)</f>
        <v>0</v>
      </c>
      <c r="F55" s="3819" t="s">
        <v>3806</v>
      </c>
      <c r="G55" s="3818">
        <v>0.13</v>
      </c>
      <c r="H55" s="2120"/>
      <c r="I55" s="2234"/>
    </row>
    <row r="56" spans="1:9" ht="13.15" customHeight="1">
      <c r="A56" s="3797">
        <f>SUM(A57:A59)</f>
        <v>0.39</v>
      </c>
      <c r="B56" s="3798"/>
      <c r="C56" s="3806" t="s">
        <v>3768</v>
      </c>
      <c r="D56" s="3807" t="s">
        <v>3758</v>
      </c>
      <c r="E56" s="3827">
        <f>SUM(E57:E59)</f>
        <v>0</v>
      </c>
      <c r="F56" s="3817"/>
      <c r="G56" s="3820"/>
      <c r="H56" s="2120" t="s">
        <v>3813</v>
      </c>
      <c r="I56" s="2120" t="s">
        <v>3814</v>
      </c>
    </row>
    <row r="57" spans="1:9" ht="13.15" customHeight="1">
      <c r="A57" s="3797">
        <v>0.25</v>
      </c>
      <c r="B57" s="3798" t="s">
        <v>3801</v>
      </c>
      <c r="C57" s="3808" t="s">
        <v>3759</v>
      </c>
      <c r="D57" s="3809" t="s">
        <v>3760</v>
      </c>
      <c r="E57" s="3828">
        <v>0</v>
      </c>
      <c r="F57" s="3821"/>
      <c r="G57" s="3822" t="s">
        <v>3761</v>
      </c>
      <c r="H57" s="3793">
        <v>0.65</v>
      </c>
      <c r="I57" s="3799">
        <f>A57/SUM(A57:A59)</f>
        <v>0.64102564102564097</v>
      </c>
    </row>
    <row r="58" spans="1:9" ht="13.15" customHeight="1">
      <c r="A58" s="3797">
        <v>0.06</v>
      </c>
      <c r="B58" s="3798" t="s">
        <v>3802</v>
      </c>
      <c r="C58" s="3808" t="s">
        <v>3762</v>
      </c>
      <c r="D58" s="3810" t="s">
        <v>3808</v>
      </c>
      <c r="E58" s="3828">
        <f>D10*H58*G58/(1+G58)</f>
        <v>0</v>
      </c>
      <c r="F58" s="3821" t="s">
        <v>3772</v>
      </c>
      <c r="G58" s="3823">
        <v>0.09</v>
      </c>
      <c r="H58" s="3793">
        <v>0.15</v>
      </c>
      <c r="I58" s="3799">
        <f>A58/SUM(A57:A59)</f>
        <v>0.15384615384615383</v>
      </c>
    </row>
    <row r="59" spans="1:9" ht="13.15" customHeight="1">
      <c r="A59" s="3797">
        <v>0.08</v>
      </c>
      <c r="B59" s="3798" t="s">
        <v>3803</v>
      </c>
      <c r="C59" s="3808" t="s">
        <v>3763</v>
      </c>
      <c r="D59" s="3809" t="s">
        <v>3773</v>
      </c>
      <c r="E59" s="3828">
        <f>D10*H59*G59/(1+G59)</f>
        <v>0</v>
      </c>
      <c r="F59" s="3821" t="s">
        <v>3774</v>
      </c>
      <c r="G59" s="3823">
        <v>0.06</v>
      </c>
      <c r="H59" s="3793">
        <v>0.2</v>
      </c>
      <c r="I59" s="3799">
        <f>1-I57-I58</f>
        <v>0.2051282051282052</v>
      </c>
    </row>
    <row r="60" spans="1:9" ht="13.15" customHeight="1">
      <c r="A60" s="3797">
        <f>SUM(A61:A62)</f>
        <v>0.1</v>
      </c>
      <c r="B60" s="3798"/>
      <c r="C60" s="3806" t="s">
        <v>3770</v>
      </c>
      <c r="D60" s="3807" t="s">
        <v>3775</v>
      </c>
      <c r="E60" s="3827">
        <f>SUM(E61:E62)</f>
        <v>0</v>
      </c>
      <c r="F60" s="3817"/>
      <c r="G60" s="3820"/>
      <c r="I60" s="2234"/>
    </row>
    <row r="61" spans="1:9" ht="13.15" customHeight="1">
      <c r="A61" s="3797">
        <v>0.05</v>
      </c>
      <c r="B61" s="3798" t="s">
        <v>3804</v>
      </c>
      <c r="C61" s="3808" t="s">
        <v>3776</v>
      </c>
      <c r="D61" s="3809" t="s">
        <v>3777</v>
      </c>
      <c r="E61" s="3828">
        <f>D17*H61*G61/(1+G61)</f>
        <v>0</v>
      </c>
      <c r="F61" s="3821" t="s">
        <v>3774</v>
      </c>
      <c r="G61" s="3823">
        <v>0.06</v>
      </c>
      <c r="H61" s="3793">
        <v>0.5</v>
      </c>
      <c r="I61" s="2234"/>
    </row>
    <row r="62" spans="1:9" ht="13.15" customHeight="1" thickBot="1">
      <c r="A62" s="3797">
        <v>0.05</v>
      </c>
      <c r="B62" s="3798" t="s">
        <v>3805</v>
      </c>
      <c r="C62" s="3811" t="s">
        <v>3762</v>
      </c>
      <c r="D62" s="3812" t="s">
        <v>3778</v>
      </c>
      <c r="E62" s="3829">
        <f>D17*H62*G62/(1+G62)</f>
        <v>0</v>
      </c>
      <c r="F62" s="3824" t="s">
        <v>3779</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3780</v>
      </c>
      <c r="D65" s="3802" t="s">
        <v>3816</v>
      </c>
      <c r="E65" s="3835"/>
      <c r="F65" s="3813" t="s">
        <v>3817</v>
      </c>
      <c r="G65" s="3830"/>
      <c r="H65" s="2120"/>
      <c r="I65" s="2234"/>
    </row>
    <row r="66" spans="1:9" ht="12.75">
      <c r="C66" s="3803" t="s">
        <v>3781</v>
      </c>
      <c r="D66" s="3804" t="s">
        <v>3782</v>
      </c>
      <c r="E66" s="3815" t="s">
        <v>3783</v>
      </c>
      <c r="F66" s="3815" t="s">
        <v>3784</v>
      </c>
      <c r="G66" s="3816" t="s">
        <v>3785</v>
      </c>
      <c r="H66" s="2120"/>
      <c r="I66" s="2234"/>
    </row>
    <row r="67" spans="1:9" ht="12">
      <c r="C67" s="3805">
        <v>1</v>
      </c>
      <c r="D67" s="3804" t="s">
        <v>3786</v>
      </c>
      <c r="E67" s="3831">
        <f>E68-E73</f>
        <v>0</v>
      </c>
      <c r="F67" s="3804"/>
      <c r="G67" s="3816"/>
      <c r="H67" s="2120"/>
      <c r="I67" s="2234"/>
    </row>
    <row r="68" spans="1:9" ht="13.15" customHeight="1">
      <c r="C68" s="3832">
        <v>2</v>
      </c>
      <c r="D68" s="3804" t="s">
        <v>3787</v>
      </c>
      <c r="E68" s="3831">
        <f>SUM(E69:E70)</f>
        <v>0</v>
      </c>
      <c r="F68" s="3804"/>
      <c r="G68" s="3816"/>
      <c r="H68" s="2120"/>
      <c r="I68" s="2234"/>
    </row>
    <row r="69" spans="1:9" ht="13.15" customHeight="1">
      <c r="C69" s="3806" t="s">
        <v>3788</v>
      </c>
      <c r="D69" s="3807" t="s">
        <v>3789</v>
      </c>
      <c r="E69" s="3807"/>
      <c r="F69" s="3817" t="s">
        <v>3790</v>
      </c>
      <c r="G69" s="3818">
        <v>0.09</v>
      </c>
      <c r="H69" s="2120"/>
      <c r="I69" s="2234"/>
    </row>
    <row r="70" spans="1:9" ht="13.15" customHeight="1">
      <c r="C70" s="3806" t="s">
        <v>3768</v>
      </c>
      <c r="D70" s="3807" t="s">
        <v>3791</v>
      </c>
      <c r="E70" s="3807"/>
      <c r="F70" s="3817" t="s">
        <v>3792</v>
      </c>
      <c r="G70" s="3818">
        <v>0.06</v>
      </c>
      <c r="H70" s="2120"/>
      <c r="I70" s="2234"/>
    </row>
    <row r="71" spans="1:9" ht="13.15" customHeight="1">
      <c r="A71" s="2120" t="s">
        <v>3807</v>
      </c>
      <c r="C71" s="3832">
        <v>3</v>
      </c>
      <c r="D71" s="3804" t="s">
        <v>3793</v>
      </c>
      <c r="E71" s="3831">
        <f>E72+E77</f>
        <v>0</v>
      </c>
      <c r="F71" s="3804"/>
      <c r="G71" s="3816"/>
      <c r="H71" s="2120"/>
      <c r="I71" s="2234"/>
    </row>
    <row r="72" spans="1:9" ht="13.15" customHeight="1">
      <c r="A72" s="3797">
        <v>0.05</v>
      </c>
      <c r="B72" s="3800"/>
      <c r="C72" s="3806" t="s">
        <v>3788</v>
      </c>
      <c r="D72" s="3807" t="s">
        <v>3794</v>
      </c>
      <c r="E72" s="3807">
        <f>D9*G72/(1+G72)</f>
        <v>0</v>
      </c>
      <c r="F72" s="3819" t="s">
        <v>3806</v>
      </c>
      <c r="G72" s="3818">
        <v>0.13</v>
      </c>
      <c r="H72" s="2120"/>
      <c r="I72" s="2234"/>
    </row>
    <row r="73" spans="1:9" ht="13.15" customHeight="1">
      <c r="A73" s="3797">
        <f>SUM(A74:A76)</f>
        <v>0.2</v>
      </c>
      <c r="B73" s="3800"/>
      <c r="C73" s="3806" t="s">
        <v>3768</v>
      </c>
      <c r="D73" s="3807" t="s">
        <v>3795</v>
      </c>
      <c r="E73" s="3807">
        <f>SUM(E74:E76)</f>
        <v>0</v>
      </c>
      <c r="F73" s="3817"/>
      <c r="G73" s="3820"/>
      <c r="H73" s="2120" t="s">
        <v>3813</v>
      </c>
      <c r="I73" s="2120" t="s">
        <v>3814</v>
      </c>
    </row>
    <row r="74" spans="1:9" ht="13.15" customHeight="1">
      <c r="A74" s="3797">
        <v>0.05</v>
      </c>
      <c r="B74" s="3800" t="s">
        <v>3811</v>
      </c>
      <c r="C74" s="3833" t="s">
        <v>3796</v>
      </c>
      <c r="D74" s="3809" t="s">
        <v>3797</v>
      </c>
      <c r="E74" s="3809">
        <v>0</v>
      </c>
      <c r="F74" s="3821"/>
      <c r="G74" s="3822" t="s">
        <v>3798</v>
      </c>
      <c r="H74" s="3793">
        <v>0.25</v>
      </c>
      <c r="I74" s="3799">
        <f>A74/SUM(A74:A76)</f>
        <v>0.25</v>
      </c>
    </row>
    <row r="75" spans="1:9" ht="13.15" customHeight="1">
      <c r="A75" s="3797">
        <v>0.1</v>
      </c>
      <c r="B75" s="3800" t="s">
        <v>3809</v>
      </c>
      <c r="C75" s="3833" t="s">
        <v>3764</v>
      </c>
      <c r="D75" s="3810" t="s">
        <v>3808</v>
      </c>
      <c r="E75" s="3809">
        <f>D10*H75*G75/(1+G75)</f>
        <v>0</v>
      </c>
      <c r="F75" s="3821" t="s">
        <v>3799</v>
      </c>
      <c r="G75" s="3823">
        <v>0.09</v>
      </c>
      <c r="H75" s="3793">
        <v>0.5</v>
      </c>
      <c r="I75" s="3799">
        <f>A75/SUM(A74:A76)</f>
        <v>0.5</v>
      </c>
    </row>
    <row r="76" spans="1:9" ht="13.15" customHeight="1">
      <c r="A76" s="3797">
        <v>0.05</v>
      </c>
      <c r="B76" s="3800" t="s">
        <v>3812</v>
      </c>
      <c r="C76" s="3833" t="s">
        <v>3765</v>
      </c>
      <c r="D76" s="3809" t="s">
        <v>3773</v>
      </c>
      <c r="E76" s="3809">
        <f>D10*H76*G76/(1+G76)</f>
        <v>0</v>
      </c>
      <c r="F76" s="3821" t="s">
        <v>3774</v>
      </c>
      <c r="G76" s="3823">
        <v>0.06</v>
      </c>
      <c r="H76" s="3793">
        <v>0.25</v>
      </c>
      <c r="I76" s="3799">
        <f>1-I74-I75</f>
        <v>0.25</v>
      </c>
    </row>
    <row r="77" spans="1:9" ht="13.15" customHeight="1">
      <c r="A77" s="3797">
        <f>SUM(A78:A79)</f>
        <v>0.1</v>
      </c>
      <c r="B77" s="3800"/>
      <c r="C77" s="3806" t="s">
        <v>3770</v>
      </c>
      <c r="D77" s="3807" t="s">
        <v>3775</v>
      </c>
      <c r="E77" s="3807">
        <f>SUM(E78:E79)</f>
        <v>0</v>
      </c>
      <c r="F77" s="3817"/>
      <c r="G77" s="3820"/>
      <c r="I77" s="2234"/>
    </row>
    <row r="78" spans="1:9" ht="13.15" customHeight="1">
      <c r="A78" s="3797">
        <v>0.05</v>
      </c>
      <c r="B78" s="3800" t="s">
        <v>3802</v>
      </c>
      <c r="C78" s="3833" t="s">
        <v>3796</v>
      </c>
      <c r="D78" s="3809" t="s">
        <v>3777</v>
      </c>
      <c r="E78" s="3809">
        <f>D17*H78*G78/(1+G78)</f>
        <v>0</v>
      </c>
      <c r="F78" s="3821" t="s">
        <v>3774</v>
      </c>
      <c r="G78" s="3823">
        <v>0.06</v>
      </c>
      <c r="H78" s="3793">
        <v>0.5</v>
      </c>
      <c r="I78" s="2234"/>
    </row>
    <row r="79" spans="1:9" ht="13.15" customHeight="1" thickBot="1">
      <c r="A79" s="3797">
        <v>0.05</v>
      </c>
      <c r="B79" s="3800" t="s">
        <v>3810</v>
      </c>
      <c r="C79" s="3834" t="s">
        <v>3764</v>
      </c>
      <c r="D79" s="3812" t="s">
        <v>3778</v>
      </c>
      <c r="E79" s="3812">
        <f>D17*H79*G79/(1+G79)</f>
        <v>0</v>
      </c>
      <c r="F79" s="3824" t="s">
        <v>3779</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F00-000001000000}">
      <formula1>"按明细,按比例"</formula1>
    </dataValidation>
    <dataValidation type="list" allowBlank="1" showInputMessage="1" showErrorMessage="1" sqref="D2" xr:uid="{00000000-0002-0000-1F00-000002000000}">
      <formula1>"——,需考虑建筑物残值"</formula1>
    </dataValidation>
    <dataValidation type="list" allowBlank="1" showInputMessage="1" showErrorMessage="1" sqref="F15" xr:uid="{00000000-0002-0000-1F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C22" sqref="C22:Q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1572</v>
      </c>
      <c r="B1" s="1381"/>
      <c r="C1" s="1381"/>
      <c r="D1" s="1381"/>
      <c r="E1" s="1382"/>
      <c r="F1" s="2013"/>
      <c r="G1" s="1069"/>
      <c r="H1" s="1069"/>
      <c r="I1" s="1069"/>
      <c r="J1" s="1069"/>
      <c r="K1" s="1069"/>
      <c r="L1" s="1069"/>
      <c r="M1" s="1069"/>
      <c r="N1" s="1069"/>
      <c r="O1" s="1069"/>
      <c r="P1" s="1069"/>
      <c r="Q1" s="1069"/>
      <c r="R1" s="1069"/>
      <c r="S1" s="1069"/>
    </row>
    <row r="2" spans="1:22" ht="15.75">
      <c r="A2" s="1383" t="s">
        <v>1433</v>
      </c>
      <c r="B2" s="580">
        <f ca="1">SUMIF(B6:B13,"&lt;&gt;#ref!",B6:B13)</f>
        <v>8404</v>
      </c>
      <c r="C2" s="1384" t="s">
        <v>1565</v>
      </c>
      <c r="D2" s="1385" t="s">
        <v>1566</v>
      </c>
      <c r="E2" s="3001">
        <f>SUM(E6:E13)</f>
        <v>4951.4299999999994</v>
      </c>
      <c r="F2" s="2013"/>
      <c r="G2" s="1069"/>
      <c r="H2" s="1069"/>
      <c r="I2" s="1069"/>
      <c r="J2" s="1069"/>
      <c r="K2" s="1069"/>
      <c r="L2" s="1069"/>
      <c r="M2" s="1069"/>
      <c r="N2" s="1069"/>
      <c r="O2" s="1069"/>
      <c r="P2" s="1069"/>
      <c r="Q2" s="1069"/>
      <c r="R2" s="1069"/>
      <c r="S2" s="1069"/>
    </row>
    <row r="3" spans="1:22" ht="15.75">
      <c r="A3" s="1383" t="s">
        <v>673</v>
      </c>
      <c r="B3" s="3000">
        <f ca="1">ROUND(B2*10000/E2,0)</f>
        <v>16973</v>
      </c>
      <c r="C3" s="1384" t="s">
        <v>1573</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1567</v>
      </c>
      <c r="B5" s="4492" t="s">
        <v>1568</v>
      </c>
      <c r="C5" s="4493"/>
      <c r="D5" s="2014"/>
      <c r="E5" s="1386" t="s">
        <v>1569</v>
      </c>
      <c r="F5" s="51" t="s">
        <v>1570</v>
      </c>
      <c r="G5" s="1069"/>
      <c r="H5" s="1069"/>
      <c r="I5" s="1069"/>
      <c r="J5" s="1069"/>
      <c r="K5" s="1069"/>
      <c r="L5" s="1069"/>
      <c r="M5" s="1069"/>
      <c r="N5" s="1069"/>
      <c r="O5" s="1069"/>
      <c r="P5" s="1069"/>
      <c r="Q5" s="1069"/>
      <c r="R5" s="1069"/>
      <c r="S5" s="1069"/>
    </row>
    <row r="6" spans="1:22">
      <c r="A6" s="1927">
        <f>'数据-取费表'!AN6</f>
        <v>0</v>
      </c>
      <c r="B6" s="3848" t="e">
        <f ca="1">IF(F6="是",'数据-取费表'!AO6,0)</f>
        <v>#REF!</v>
      </c>
      <c r="C6" s="1384" t="s">
        <v>1565</v>
      </c>
      <c r="D6" s="2013"/>
      <c r="E6" s="3002">
        <f>IF(OR(A6=0,F6="否"),0,'数据-取费表'!K6+'数据-取费表'!S6)</f>
        <v>0</v>
      </c>
      <c r="F6" s="1387" t="s">
        <v>1571</v>
      </c>
      <c r="G6" s="1069"/>
      <c r="H6" s="1069"/>
      <c r="I6" s="1069"/>
      <c r="J6" s="1069"/>
      <c r="K6" s="1069"/>
      <c r="L6" s="1069"/>
      <c r="M6" s="1069"/>
      <c r="N6" s="1069"/>
      <c r="O6" s="1069"/>
      <c r="P6" s="1069"/>
      <c r="Q6" s="1069"/>
      <c r="R6" s="1069"/>
      <c r="S6" s="1069"/>
    </row>
    <row r="7" spans="1:22">
      <c r="A7" s="1927" t="str">
        <f>'数据-取费表'!AN7</f>
        <v>收益法</v>
      </c>
      <c r="B7" s="3848">
        <f ca="1">IF(F7="是",'数据-取费表'!AO7,0)</f>
        <v>8404</v>
      </c>
      <c r="C7" s="1384" t="s">
        <v>1565</v>
      </c>
      <c r="D7" s="2013"/>
      <c r="E7" s="3002">
        <f>IF(OR(A7=0,F7="否"),0,'数据-取费表'!K7+'数据-取费表'!S7)</f>
        <v>4951.4299999999994</v>
      </c>
      <c r="F7" s="1387" t="s">
        <v>1571</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1565</v>
      </c>
      <c r="D8" s="2013"/>
      <c r="E8" s="3002">
        <f>IF(OR(A8=0,F8="否"),0,'数据-取费表'!K8+'数据-取费表'!S8)</f>
        <v>0</v>
      </c>
      <c r="F8" s="1387" t="s">
        <v>1571</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1565</v>
      </c>
      <c r="D9" s="2013"/>
      <c r="E9" s="3002">
        <f>IF(OR(A9=0,F9="否"),0,'数据-取费表'!K9+'数据-取费表'!S9)</f>
        <v>0</v>
      </c>
      <c r="F9" s="1387" t="s">
        <v>1571</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1565</v>
      </c>
      <c r="D10" s="2013"/>
      <c r="E10" s="3002">
        <f>IF(OR(A10=0,F10="否"),0,'数据-取费表'!K10+'数据-取费表'!S10)</f>
        <v>0</v>
      </c>
      <c r="F10" s="1387" t="s">
        <v>1571</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1565</v>
      </c>
      <c r="D11" s="2013"/>
      <c r="E11" s="3002">
        <f>IF(OR(A11=0,F11="否"),0,'数据-取费表'!K11+'数据-取费表'!S11)</f>
        <v>0</v>
      </c>
      <c r="F11" s="1387" t="s">
        <v>1571</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1565</v>
      </c>
      <c r="D12" s="2013"/>
      <c r="E12" s="3002">
        <f>IF(OR(A12=0,F12="否"),0,'数据-取费表'!K12+'数据-取费表'!S12)</f>
        <v>0</v>
      </c>
      <c r="F12" s="1387" t="s">
        <v>1571</v>
      </c>
      <c r="G12" s="1069"/>
      <c r="H12" s="1069"/>
      <c r="I12" s="1069"/>
      <c r="J12" s="1069"/>
      <c r="K12" s="1069"/>
      <c r="L12" s="1069"/>
      <c r="M12" s="1069"/>
      <c r="N12" s="1069"/>
      <c r="O12" s="1069"/>
      <c r="P12" s="1069"/>
      <c r="Q12" s="1069"/>
      <c r="R12" s="1069"/>
      <c r="S12" s="1069"/>
    </row>
    <row r="13" spans="1:22" ht="15" thickBot="1">
      <c r="A13" s="1928">
        <f>'数据-取费表'!AN13</f>
        <v>0</v>
      </c>
      <c r="B13" s="3848" t="e">
        <f ca="1">IF(F13="是",'数据-取费表'!AO13,0)</f>
        <v>#REF!</v>
      </c>
      <c r="C13" s="1388" t="s">
        <v>1565</v>
      </c>
      <c r="D13" s="2015"/>
      <c r="E13" s="3002">
        <f>IF(OR(A13=0,F13="否"),0,'数据-取费表'!K13+'数据-取费表'!S13)</f>
        <v>0</v>
      </c>
      <c r="F13" s="1387" t="s">
        <v>1571</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507" activePane="bottomLeft" state="frozen"/>
      <selection activeCell="C22" sqref="C22:Q22"/>
      <selection pane="bottomLeft" activeCell="C22" sqref="C22:Q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97" t="s">
        <v>1997</v>
      </c>
      <c r="D1" s="4498"/>
      <c r="E1" s="4498"/>
      <c r="F1" s="4498"/>
      <c r="G1" s="4498"/>
      <c r="H1" s="4498"/>
      <c r="I1" s="4498"/>
      <c r="J1" s="4498"/>
      <c r="K1" s="4498"/>
      <c r="L1" s="4498"/>
      <c r="M1" s="4498"/>
      <c r="N1" s="4498"/>
      <c r="O1" s="4498"/>
      <c r="P1" s="4498"/>
      <c r="Q1" s="4498"/>
      <c r="R1" s="4498"/>
      <c r="S1" s="4499"/>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c r="D3" s="722"/>
      <c r="E3" s="722"/>
      <c r="F3" s="3909"/>
      <c r="G3" s="3909"/>
      <c r="H3" s="3909"/>
      <c r="I3" s="3909"/>
      <c r="J3" s="3909"/>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c r="D4" s="3913"/>
      <c r="E4" s="3913"/>
      <c r="F4" s="3914"/>
      <c r="G4" s="3914"/>
      <c r="H4" s="3914"/>
      <c r="I4" s="3914"/>
      <c r="J4" s="3914"/>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3"/>
      <c r="D18" s="3934"/>
      <c r="E18" s="3934"/>
      <c r="F18" s="3934"/>
      <c r="G18" s="3934"/>
      <c r="H18" s="3934"/>
      <c r="I18" s="3934"/>
      <c r="J18" s="3934"/>
      <c r="K18" s="3934"/>
      <c r="L18" s="3934"/>
      <c r="M18" s="3935"/>
      <c r="N18" s="3935"/>
      <c r="O18" s="3934"/>
      <c r="P18" s="3934"/>
      <c r="Q18" s="3934"/>
      <c r="R18" s="3934"/>
      <c r="S18" s="3936"/>
      <c r="T18" s="3936"/>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55" t="e">
        <f ca="1">IF(D20="——",S22,S22-F20)</f>
        <v>#REF!</v>
      </c>
      <c r="C20" s="60"/>
      <c r="D20" s="1618"/>
      <c r="E20" s="934"/>
      <c r="F20" s="3354"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55"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94" t="s">
        <v>25</v>
      </c>
      <c r="D22" s="4495"/>
      <c r="E22" s="4495"/>
      <c r="F22" s="4495"/>
      <c r="G22" s="4495"/>
      <c r="H22" s="4495"/>
      <c r="I22" s="4495"/>
      <c r="J22" s="4495"/>
      <c r="K22" s="4495"/>
      <c r="L22" s="4495"/>
      <c r="M22" s="4495"/>
      <c r="N22" s="4495"/>
      <c r="O22" s="4495"/>
      <c r="P22" s="4495"/>
      <c r="Q22" s="4496"/>
      <c r="R22" s="2768" t="e">
        <f>ROUND(S22*10000/B22,0)</f>
        <v>#DIV/0!</v>
      </c>
      <c r="S22" s="2768">
        <f>SUM(S24:S10000)</f>
        <v>0</v>
      </c>
    </row>
    <row r="23" spans="1:45" s="7" customFormat="1" ht="24">
      <c r="A23" s="6" t="s">
        <v>2013</v>
      </c>
      <c r="B23" s="3349"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2018</v>
      </c>
      <c r="B24" s="3350"/>
      <c r="C24" s="3038">
        <v>1</v>
      </c>
      <c r="D24" s="3352"/>
      <c r="E24" s="3038">
        <v>1</v>
      </c>
      <c r="F24" s="3352"/>
      <c r="G24" s="3038">
        <v>1</v>
      </c>
      <c r="H24" s="3352"/>
      <c r="I24" s="3038">
        <v>1</v>
      </c>
      <c r="J24" s="3352"/>
      <c r="K24" s="3038">
        <v>1</v>
      </c>
      <c r="L24" s="3352"/>
      <c r="M24" s="3038">
        <v>1</v>
      </c>
      <c r="N24" s="3352"/>
      <c r="O24" s="3038">
        <v>1</v>
      </c>
      <c r="P24" s="3352"/>
      <c r="Q24" s="3038">
        <v>1</v>
      </c>
      <c r="R24" s="3937"/>
      <c r="S24" s="393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2958" t="s">
        <v>1680</v>
      </c>
      <c r="C1" s="862" t="s">
        <v>1576</v>
      </c>
      <c r="D1" s="849"/>
      <c r="E1" s="2559"/>
      <c r="F1" s="1390"/>
      <c r="G1" s="859" t="s">
        <v>1681</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1433</v>
      </c>
      <c r="B2" s="3939">
        <f>IF(C2="含税",D2,ROUND(D2/(1+F3),0))</f>
        <v>0</v>
      </c>
      <c r="C2" s="2908"/>
      <c r="D2" s="3962" t="b">
        <f>IF(E1="项目模式",IF(E2="——",ROUND(C49*D3/10000,0),ROUND(C49*D3/10000,0)-F2),IF(E1="单套模式",IF(E2="——",ROUND(C49*D3/10000,4),ROUND(C49*D3/10000,4)-F2)))</f>
        <v>0</v>
      </c>
      <c r="E2" s="1392"/>
      <c r="F2" s="3963"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1435</v>
      </c>
      <c r="B3" s="3003">
        <f>IF(E2="——",C49,ROUND(B2*10000/D3,0))</f>
        <v>0</v>
      </c>
      <c r="C3" s="235" t="s">
        <v>1682</v>
      </c>
      <c r="D3" s="3003">
        <f>IF(D1="",'数据-汇总表'!E3,SUMIF('数据-汇总表'!$C19:$C33,D1,'数据-汇总表'!$E19:$E33))</f>
        <v>24968.190000000002</v>
      </c>
      <c r="E3" s="4083" t="s">
        <v>3497</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1683</v>
      </c>
      <c r="B4" s="237"/>
      <c r="C4" s="4389" t="s">
        <v>1684</v>
      </c>
      <c r="D4" s="4390"/>
      <c r="E4" s="4391" t="s">
        <v>1685</v>
      </c>
      <c r="F4" s="4392"/>
      <c r="G4" s="4389" t="s">
        <v>1686</v>
      </c>
      <c r="H4" s="4390"/>
      <c r="I4" s="4389" t="s">
        <v>1687</v>
      </c>
      <c r="J4" s="4390"/>
      <c r="K4" s="2987" t="s">
        <v>1688</v>
      </c>
      <c r="L4" s="2020"/>
      <c r="M4" s="2021"/>
      <c r="N4" s="2021"/>
      <c r="O4" s="2021"/>
      <c r="P4" s="4393" t="s">
        <v>1689</v>
      </c>
      <c r="Q4" s="4394"/>
      <c r="R4" s="4375" t="s">
        <v>1685</v>
      </c>
      <c r="S4" s="4376"/>
      <c r="T4" s="4375" t="s">
        <v>1686</v>
      </c>
      <c r="U4" s="4376"/>
      <c r="V4" s="4401" t="s">
        <v>1687</v>
      </c>
      <c r="W4" s="4401"/>
      <c r="X4" s="946"/>
      <c r="Y4" s="4404" t="s">
        <v>1689</v>
      </c>
      <c r="Z4" s="4405"/>
      <c r="AA4" s="4370" t="s">
        <v>1685</v>
      </c>
      <c r="AB4" s="4500" t="s">
        <v>1686</v>
      </c>
      <c r="AC4" s="4370" t="s">
        <v>1687</v>
      </c>
    </row>
    <row r="5" spans="1:29" ht="15">
      <c r="A5" s="239"/>
      <c r="B5" s="240"/>
      <c r="C5" s="4381" t="s">
        <v>1587</v>
      </c>
      <c r="D5" s="4382"/>
      <c r="E5" s="4379" t="s">
        <v>1588</v>
      </c>
      <c r="F5" s="4380"/>
      <c r="G5" s="4381" t="s">
        <v>1589</v>
      </c>
      <c r="H5" s="4382"/>
      <c r="I5" s="4381" t="s">
        <v>1590</v>
      </c>
      <c r="J5" s="4382"/>
      <c r="K5" s="2987"/>
      <c r="L5" s="2020"/>
      <c r="M5" s="2021"/>
      <c r="N5" s="2021"/>
      <c r="O5" s="2021"/>
      <c r="P5" s="4395"/>
      <c r="Q5" s="4396"/>
      <c r="R5" s="4377"/>
      <c r="S5" s="4378"/>
      <c r="T5" s="4377"/>
      <c r="U5" s="4378"/>
      <c r="V5" s="4401"/>
      <c r="W5" s="4401"/>
      <c r="X5" s="946"/>
      <c r="Y5" s="4406"/>
      <c r="Z5" s="4407"/>
      <c r="AA5" s="4371"/>
      <c r="AB5" s="4500"/>
      <c r="AC5" s="4371"/>
    </row>
    <row r="6" spans="1:29" ht="15.75" thickBot="1">
      <c r="A6" s="241"/>
      <c r="B6" s="242"/>
      <c r="C6" s="4383" t="s">
        <v>1591</v>
      </c>
      <c r="D6" s="4384"/>
      <c r="E6" s="4385" t="s">
        <v>1591</v>
      </c>
      <c r="F6" s="4386"/>
      <c r="G6" s="4383" t="s">
        <v>1591</v>
      </c>
      <c r="H6" s="4384"/>
      <c r="I6" s="4383" t="s">
        <v>1591</v>
      </c>
      <c r="J6" s="4384"/>
      <c r="K6" s="2987" t="s">
        <v>1592</v>
      </c>
      <c r="L6" s="2020"/>
      <c r="M6" s="2021"/>
      <c r="N6" s="2021"/>
      <c r="O6" s="2021"/>
      <c r="P6" s="4397"/>
      <c r="Q6" s="4398"/>
      <c r="R6" s="4377"/>
      <c r="S6" s="4378"/>
      <c r="T6" s="4399"/>
      <c r="U6" s="4400"/>
      <c r="V6" s="4401"/>
      <c r="W6" s="4401"/>
      <c r="X6" s="946"/>
      <c r="Y6" s="4408"/>
      <c r="Z6" s="4409"/>
      <c r="AA6" s="4372"/>
      <c r="AB6" s="4500"/>
      <c r="AC6" s="4372"/>
    </row>
    <row r="7" spans="1:29" s="46" customFormat="1" ht="15.75" thickBot="1">
      <c r="A7" s="243" t="s">
        <v>1593</v>
      </c>
      <c r="B7" s="244"/>
      <c r="C7" s="245">
        <f>'数据-取费表'!B2</f>
        <v>46043</v>
      </c>
      <c r="D7" s="3009">
        <v>100</v>
      </c>
      <c r="E7" s="2964"/>
      <c r="F7" s="3942">
        <f>SUMIF(58:58,YEAR(E7)&amp;"-"&amp;MONTH(E7),59:59)</f>
        <v>0</v>
      </c>
      <c r="G7" s="2964"/>
      <c r="H7" s="3954">
        <f>SUMIF(58:58,YEAR(G7)&amp;"-"&amp;MONTH(G7),59:59)</f>
        <v>0</v>
      </c>
      <c r="I7" s="2964"/>
      <c r="J7" s="3954">
        <f>SUMIF(58:58,YEAR(I7)&amp;"-"&amp;MONTH(I7),59:59)</f>
        <v>0</v>
      </c>
      <c r="K7" s="2980"/>
      <c r="L7" s="2022"/>
      <c r="M7" s="1973"/>
      <c r="N7" s="1973"/>
      <c r="O7" s="1973"/>
      <c r="P7" s="4402" t="s">
        <v>1594</v>
      </c>
      <c r="Q7" s="4410"/>
      <c r="R7" s="3854" t="s">
        <v>13</v>
      </c>
      <c r="S7" s="3327">
        <f t="shared" ref="S7:S15" si="0">F7</f>
        <v>0</v>
      </c>
      <c r="T7" s="3854" t="s">
        <v>13</v>
      </c>
      <c r="U7" s="3327">
        <f t="shared" ref="U7:U15" si="1">H7</f>
        <v>0</v>
      </c>
      <c r="V7" s="3854" t="s">
        <v>13</v>
      </c>
      <c r="W7" s="3327">
        <f t="shared" ref="W7:W15" si="2">J7</f>
        <v>0</v>
      </c>
      <c r="X7" s="493"/>
      <c r="Y7" s="4373" t="s">
        <v>1594</v>
      </c>
      <c r="Z7" s="4374"/>
      <c r="AA7" s="28" t="e">
        <f>D7/F7</f>
        <v>#DIV/0!</v>
      </c>
      <c r="AB7" s="28" t="e">
        <f>D7/H7</f>
        <v>#DIV/0!</v>
      </c>
      <c r="AC7" s="28" t="e">
        <f>D7/J7</f>
        <v>#DIV/0!</v>
      </c>
    </row>
    <row r="8" spans="1:29" s="46" customFormat="1" ht="15.75" thickBot="1">
      <c r="A8" s="243" t="s">
        <v>1595</v>
      </c>
      <c r="B8" s="244"/>
      <c r="C8" s="247"/>
      <c r="D8" s="3009">
        <v>100</v>
      </c>
      <c r="E8" s="2936"/>
      <c r="F8" s="3942">
        <f>SUMIF(61:61,E8,62:62)-SUMIF(61:61,C8,62:62)+100</f>
        <v>100</v>
      </c>
      <c r="G8" s="2936"/>
      <c r="H8" s="3954">
        <f>SUMIF(61:61,G8,62:62)-SUMIF(61:61,C8,62:62)+100</f>
        <v>100</v>
      </c>
      <c r="I8" s="2936"/>
      <c r="J8" s="3954">
        <f>SUMIF(61:61,I8,62:62)-SUMIF(61:61,C8,62:62)+100</f>
        <v>100</v>
      </c>
      <c r="K8" s="2980"/>
      <c r="L8" s="2022"/>
      <c r="M8" s="1973"/>
      <c r="N8" s="1973"/>
      <c r="O8" s="1973"/>
      <c r="P8" s="4402" t="s">
        <v>1597</v>
      </c>
      <c r="Q8" s="4403"/>
      <c r="R8" s="3854" t="s">
        <v>13</v>
      </c>
      <c r="S8" s="3327">
        <f t="shared" si="0"/>
        <v>100</v>
      </c>
      <c r="T8" s="3854" t="s">
        <v>13</v>
      </c>
      <c r="U8" s="3327">
        <f t="shared" si="1"/>
        <v>100</v>
      </c>
      <c r="V8" s="3854" t="s">
        <v>13</v>
      </c>
      <c r="W8" s="3327">
        <f t="shared" si="2"/>
        <v>100</v>
      </c>
      <c r="X8" s="493"/>
      <c r="Y8" s="4373" t="s">
        <v>1597</v>
      </c>
      <c r="Z8" s="4374"/>
      <c r="AA8" s="28">
        <f t="shared" ref="AA8:AA46" si="3">D8/F8</f>
        <v>1</v>
      </c>
      <c r="AB8" s="28">
        <f t="shared" ref="AB8:AB46" si="4">D8/H8</f>
        <v>1</v>
      </c>
      <c r="AC8" s="28">
        <f t="shared" ref="AC8:AC46" si="5">D8/J8</f>
        <v>1</v>
      </c>
    </row>
    <row r="9" spans="1:29" s="46" customFormat="1">
      <c r="A9" s="248" t="s">
        <v>1598</v>
      </c>
      <c r="B9" s="2916" t="s">
        <v>1599</v>
      </c>
      <c r="C9" s="2937"/>
      <c r="D9" s="3010">
        <v>100</v>
      </c>
      <c r="E9" s="2965"/>
      <c r="F9" s="3943">
        <f>SUMIF(63:63,E9,64:64)-SUMIF(63:63,C9,64:64)+100</f>
        <v>100</v>
      </c>
      <c r="G9" s="2965"/>
      <c r="H9" s="3955">
        <f>SUMIF(63:63,G9,64:64)-SUMIF(63:63,C9,64:64)+100</f>
        <v>100</v>
      </c>
      <c r="I9" s="2965"/>
      <c r="J9" s="3955">
        <f>SUMIF(63:63,I9,64:64)-SUMIF(63:63,C9,64:64)+100</f>
        <v>100</v>
      </c>
      <c r="K9" s="2980"/>
      <c r="L9" s="2022"/>
      <c r="M9" s="1973"/>
      <c r="N9" s="1973"/>
      <c r="O9" s="1973"/>
      <c r="P9" s="4438" t="s">
        <v>1600</v>
      </c>
      <c r="Q9" s="1742" t="str">
        <f t="shared" ref="Q9:Q15" si="6">B9</f>
        <v>用途</v>
      </c>
      <c r="R9" s="3854" t="s">
        <v>13</v>
      </c>
      <c r="S9" s="3327">
        <f t="shared" si="0"/>
        <v>100</v>
      </c>
      <c r="T9" s="3854" t="s">
        <v>13</v>
      </c>
      <c r="U9" s="3327">
        <f t="shared" si="1"/>
        <v>100</v>
      </c>
      <c r="V9" s="3854" t="s">
        <v>13</v>
      </c>
      <c r="W9" s="3327">
        <f t="shared" si="2"/>
        <v>100</v>
      </c>
      <c r="X9" s="493"/>
      <c r="Y9" s="4388"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4">
        <f>SUMIF(65:65,E10,66:66)-SUMIF(65:65,C10,66:66)+100</f>
        <v>100</v>
      </c>
      <c r="G10" s="2938"/>
      <c r="H10" s="3956">
        <f>SUMIF(65:65,G10,66:66)-SUMIF(65:65,C10,66:66)+100</f>
        <v>100</v>
      </c>
      <c r="I10" s="2938"/>
      <c r="J10" s="3956">
        <f>SUMIF(65:65,I10,66:66)-SUMIF(65:65,C10,66:66)+100</f>
        <v>100</v>
      </c>
      <c r="K10" s="2980"/>
      <c r="L10" s="2023"/>
      <c r="M10" s="2024"/>
      <c r="N10" s="2024"/>
      <c r="O10" s="2024"/>
      <c r="P10" s="4438"/>
      <c r="Q10" s="1742" t="str">
        <f t="shared" si="6"/>
        <v>土地使用年限（年）</v>
      </c>
      <c r="R10" s="3854" t="s">
        <v>13</v>
      </c>
      <c r="S10" s="3327">
        <f t="shared" si="0"/>
        <v>100</v>
      </c>
      <c r="T10" s="3854" t="s">
        <v>13</v>
      </c>
      <c r="U10" s="3327">
        <f t="shared" si="1"/>
        <v>100</v>
      </c>
      <c r="V10" s="3854" t="s">
        <v>13</v>
      </c>
      <c r="W10" s="3327">
        <f t="shared" si="2"/>
        <v>100</v>
      </c>
      <c r="X10" s="493"/>
      <c r="Y10" s="4388"/>
      <c r="Z10" s="28" t="str">
        <f t="shared" si="7"/>
        <v>土地使用年限（年）</v>
      </c>
      <c r="AA10" s="28">
        <f t="shared" si="3"/>
        <v>1</v>
      </c>
      <c r="AB10" s="28">
        <f t="shared" si="4"/>
        <v>1</v>
      </c>
      <c r="AC10" s="28">
        <f t="shared" si="5"/>
        <v>1</v>
      </c>
    </row>
    <row r="11" spans="1:29" ht="15">
      <c r="A11" s="255"/>
      <c r="B11" s="2913" t="s">
        <v>1603</v>
      </c>
      <c r="C11" s="2939"/>
      <c r="D11" s="3011">
        <v>100</v>
      </c>
      <c r="E11" s="2967"/>
      <c r="F11" s="3944" t="e">
        <f>LOOKUP(E11,68:68,69:69)-LOOKUP(C11,68:68,69:69)+100</f>
        <v>#N/A</v>
      </c>
      <c r="G11" s="2939"/>
      <c r="H11" s="3956" t="e">
        <f>LOOKUP(G11,68:68,69:69)-LOOKUP(C11,68:68,69:69)+100</f>
        <v>#N/A</v>
      </c>
      <c r="I11" s="2939"/>
      <c r="J11" s="3956" t="e">
        <f>LOOKUP(I11,68:68,69:69)-LOOKUP(C11,68:68,69:69)+100</f>
        <v>#N/A</v>
      </c>
      <c r="K11" s="2981"/>
      <c r="L11" s="2025"/>
      <c r="M11" s="2021"/>
      <c r="N11" s="2021"/>
      <c r="O11" s="2021"/>
      <c r="P11" s="4438"/>
      <c r="Q11" s="1742" t="str">
        <f t="shared" si="6"/>
        <v>容积率</v>
      </c>
      <c r="R11" s="3854" t="s">
        <v>13</v>
      </c>
      <c r="S11" s="3327" t="e">
        <f t="shared" si="0"/>
        <v>#N/A</v>
      </c>
      <c r="T11" s="3854" t="s">
        <v>13</v>
      </c>
      <c r="U11" s="3327" t="e">
        <f t="shared" si="1"/>
        <v>#N/A</v>
      </c>
      <c r="V11" s="3854" t="s">
        <v>13</v>
      </c>
      <c r="W11" s="3327" t="e">
        <f t="shared" si="2"/>
        <v>#N/A</v>
      </c>
      <c r="X11" s="493"/>
      <c r="Y11" s="4388"/>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38"/>
      <c r="Q12" s="1742">
        <f t="shared" si="6"/>
        <v>111</v>
      </c>
      <c r="R12" s="3854" t="s">
        <v>13</v>
      </c>
      <c r="S12" s="3327">
        <f t="shared" si="0"/>
        <v>100</v>
      </c>
      <c r="T12" s="3854" t="s">
        <v>13</v>
      </c>
      <c r="U12" s="3327">
        <f t="shared" si="1"/>
        <v>100</v>
      </c>
      <c r="V12" s="3854" t="s">
        <v>13</v>
      </c>
      <c r="W12" s="3327">
        <f t="shared" si="2"/>
        <v>100</v>
      </c>
      <c r="X12" s="493"/>
      <c r="Y12" s="4388"/>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38"/>
      <c r="Q13" s="1742">
        <f t="shared" si="6"/>
        <v>111</v>
      </c>
      <c r="R13" s="3854" t="s">
        <v>13</v>
      </c>
      <c r="S13" s="3327">
        <f t="shared" si="0"/>
        <v>100</v>
      </c>
      <c r="T13" s="3854" t="s">
        <v>13</v>
      </c>
      <c r="U13" s="3327">
        <f t="shared" si="1"/>
        <v>100</v>
      </c>
      <c r="V13" s="3854" t="s">
        <v>13</v>
      </c>
      <c r="W13" s="3327">
        <f t="shared" si="2"/>
        <v>100</v>
      </c>
      <c r="X13" s="493"/>
      <c r="Y13" s="4388"/>
      <c r="Z13" s="28">
        <f t="shared" si="7"/>
        <v>111</v>
      </c>
      <c r="AA13" s="28">
        <f t="shared" si="3"/>
        <v>1</v>
      </c>
      <c r="AB13" s="28">
        <f t="shared" si="4"/>
        <v>1</v>
      </c>
      <c r="AC13" s="28">
        <f t="shared" si="5"/>
        <v>1</v>
      </c>
    </row>
    <row r="14" spans="1:29" ht="15.75"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38"/>
      <c r="Q14" s="1742">
        <f t="shared" si="6"/>
        <v>111</v>
      </c>
      <c r="R14" s="3854" t="s">
        <v>13</v>
      </c>
      <c r="S14" s="3327">
        <f t="shared" si="0"/>
        <v>100</v>
      </c>
      <c r="T14" s="3854" t="s">
        <v>13</v>
      </c>
      <c r="U14" s="3327">
        <f t="shared" si="1"/>
        <v>100</v>
      </c>
      <c r="V14" s="3854" t="s">
        <v>13</v>
      </c>
      <c r="W14" s="3327">
        <f t="shared" si="2"/>
        <v>100</v>
      </c>
      <c r="X14" s="493"/>
      <c r="Y14" s="4388"/>
      <c r="Z14" s="28">
        <f t="shared" si="7"/>
        <v>111</v>
      </c>
      <c r="AA14" s="28">
        <f t="shared" si="3"/>
        <v>1</v>
      </c>
      <c r="AB14" s="28">
        <f t="shared" si="4"/>
        <v>1</v>
      </c>
      <c r="AC14" s="28">
        <f t="shared" si="5"/>
        <v>1</v>
      </c>
    </row>
    <row r="15" spans="1:29" ht="15">
      <c r="A15" s="263" t="s">
        <v>1604</v>
      </c>
      <c r="B15" s="2919" t="s">
        <v>1691</v>
      </c>
      <c r="C15" s="2943">
        <f>估价对象房地状况!C4</f>
        <v>0</v>
      </c>
      <c r="D15" s="3015">
        <v>100</v>
      </c>
      <c r="E15" s="2968"/>
      <c r="F15" s="3964">
        <f>SUMIF(76:76,E16,77:77)-SUMIF(76:76,C16,77:77)+100</f>
        <v>100</v>
      </c>
      <c r="G15" s="2974"/>
      <c r="H15" s="3946">
        <f>SUMIF(76:76,G16,77:77)-SUMIF(76:76,C16,77:77)+100</f>
        <v>100</v>
      </c>
      <c r="I15" s="2968"/>
      <c r="J15" s="3946">
        <f>SUMIF(76:76,I16,77:77)-SUMIF(76:76,C16,77:77)+100</f>
        <v>100</v>
      </c>
      <c r="K15" s="2983"/>
      <c r="L15" s="2026"/>
      <c r="M15" s="2021"/>
      <c r="N15" s="2021"/>
      <c r="O15" s="2021"/>
      <c r="P15" s="4443" t="s">
        <v>1605</v>
      </c>
      <c r="Q15" s="1544" t="str">
        <f t="shared" si="6"/>
        <v>商业繁华度</v>
      </c>
      <c r="R15" s="3960" t="s">
        <v>13</v>
      </c>
      <c r="S15" s="3328">
        <f t="shared" si="0"/>
        <v>100</v>
      </c>
      <c r="T15" s="3960" t="s">
        <v>13</v>
      </c>
      <c r="U15" s="3328">
        <f t="shared" si="1"/>
        <v>100</v>
      </c>
      <c r="V15" s="3960" t="s">
        <v>13</v>
      </c>
      <c r="W15" s="3328">
        <f t="shared" si="2"/>
        <v>100</v>
      </c>
      <c r="X15" s="946"/>
      <c r="Y15" s="4413" t="s">
        <v>1605</v>
      </c>
      <c r="Z15" s="944" t="str">
        <f t="shared" si="7"/>
        <v>商业繁华度</v>
      </c>
      <c r="AA15" s="944">
        <f t="shared" si="3"/>
        <v>1</v>
      </c>
      <c r="AB15" s="944">
        <f t="shared" si="4"/>
        <v>1</v>
      </c>
      <c r="AC15" s="944">
        <f t="shared" si="5"/>
        <v>1</v>
      </c>
    </row>
    <row r="16" spans="1:29" ht="15">
      <c r="A16" s="255"/>
      <c r="B16" s="2920"/>
      <c r="C16" s="2944"/>
      <c r="D16" s="3016"/>
      <c r="E16" s="2944"/>
      <c r="F16" s="3965"/>
      <c r="G16" s="2944"/>
      <c r="H16" s="3948"/>
      <c r="I16" s="2944"/>
      <c r="J16" s="3947"/>
      <c r="K16" s="2984"/>
      <c r="L16" s="2026"/>
      <c r="M16" s="2021"/>
      <c r="N16" s="2021"/>
      <c r="O16" s="2021"/>
      <c r="P16" s="4444"/>
      <c r="Q16" s="1544"/>
      <c r="R16" s="3960"/>
      <c r="S16" s="3328"/>
      <c r="T16" s="3960"/>
      <c r="U16" s="3328"/>
      <c r="V16" s="3960"/>
      <c r="W16" s="3328"/>
      <c r="X16" s="946"/>
      <c r="Y16" s="4414"/>
      <c r="Z16" s="944"/>
      <c r="AA16" s="944">
        <v>1</v>
      </c>
      <c r="AB16" s="944">
        <v>1</v>
      </c>
      <c r="AC16" s="944">
        <v>1</v>
      </c>
    </row>
    <row r="17" spans="1:29" ht="15">
      <c r="A17" s="255"/>
      <c r="B17" s="2921" t="s">
        <v>1242</v>
      </c>
      <c r="C17" s="2945">
        <f>估价对象房地状况!C6</f>
        <v>0</v>
      </c>
      <c r="D17" s="3017">
        <v>100</v>
      </c>
      <c r="E17" s="2969"/>
      <c r="F17" s="3966">
        <f>SUMIF(78:78,E18,79:79)-SUMIF(78:78,C18,79:79)+100</f>
        <v>100</v>
      </c>
      <c r="G17" s="2975"/>
      <c r="H17" s="3949">
        <f>SUMIF(78:78,G18,79:79)-SUMIF(78:78,C18,79:79)+100</f>
        <v>100</v>
      </c>
      <c r="I17" s="2969"/>
      <c r="J17" s="3949">
        <f>SUMIF(78:78,I18,79:79)-SUMIF(78:78,C18,79:79)+100</f>
        <v>100</v>
      </c>
      <c r="K17" s="2983"/>
      <c r="L17" s="2026"/>
      <c r="M17" s="2021"/>
      <c r="N17" s="2021"/>
      <c r="O17" s="2021"/>
      <c r="P17" s="4444"/>
      <c r="Q17" s="1544" t="str">
        <f>B17</f>
        <v>交通便捷度</v>
      </c>
      <c r="R17" s="3960" t="s">
        <v>13</v>
      </c>
      <c r="S17" s="3328">
        <f>F17</f>
        <v>100</v>
      </c>
      <c r="T17" s="3960" t="s">
        <v>13</v>
      </c>
      <c r="U17" s="3328">
        <f>H17</f>
        <v>100</v>
      </c>
      <c r="V17" s="3960" t="s">
        <v>13</v>
      </c>
      <c r="W17" s="3328">
        <f>J17</f>
        <v>100</v>
      </c>
      <c r="X17" s="946"/>
      <c r="Y17" s="4414"/>
      <c r="Z17" s="944" t="str">
        <f>Q17</f>
        <v>交通便捷度</v>
      </c>
      <c r="AA17" s="944">
        <f t="shared" si="3"/>
        <v>1</v>
      </c>
      <c r="AB17" s="944">
        <f t="shared" si="4"/>
        <v>1</v>
      </c>
      <c r="AC17" s="944">
        <f t="shared" si="5"/>
        <v>1</v>
      </c>
    </row>
    <row r="18" spans="1:29" ht="15">
      <c r="A18" s="255"/>
      <c r="B18" s="2922"/>
      <c r="C18" s="2946"/>
      <c r="D18" s="3017"/>
      <c r="E18" s="2970"/>
      <c r="F18" s="3966"/>
      <c r="G18" s="2976"/>
      <c r="H18" s="3947"/>
      <c r="I18" s="2970"/>
      <c r="J18" s="3947"/>
      <c r="K18" s="2984"/>
      <c r="L18" s="2026"/>
      <c r="M18" s="2021"/>
      <c r="N18" s="2021"/>
      <c r="O18" s="2021"/>
      <c r="P18" s="4444"/>
      <c r="Q18" s="1544"/>
      <c r="R18" s="3960"/>
      <c r="S18" s="3328"/>
      <c r="T18" s="3960"/>
      <c r="U18" s="3328"/>
      <c r="V18" s="3960"/>
      <c r="W18" s="3328"/>
      <c r="X18" s="946"/>
      <c r="Y18" s="4414"/>
      <c r="Z18" s="944"/>
      <c r="AA18" s="944">
        <v>1</v>
      </c>
      <c r="AB18" s="944">
        <v>1</v>
      </c>
      <c r="AC18" s="944">
        <v>1</v>
      </c>
    </row>
    <row r="19" spans="1:29" ht="15">
      <c r="A19" s="255"/>
      <c r="B19" s="2921" t="s">
        <v>1692</v>
      </c>
      <c r="C19" s="2945">
        <f>估价对象房地状况!C7</f>
        <v>0</v>
      </c>
      <c r="D19" s="3018">
        <v>100</v>
      </c>
      <c r="E19" s="2971"/>
      <c r="F19" s="3967">
        <f>SUMIF(80:80,E20,81:81)-SUMIF(80:80,C20,81:81)+100</f>
        <v>100</v>
      </c>
      <c r="G19" s="2977"/>
      <c r="H19" s="3948">
        <f>SUMIF(80:80,G20,81:81)-SUMIF(80:80,C20,81:81)+100</f>
        <v>100</v>
      </c>
      <c r="I19" s="2971"/>
      <c r="J19" s="3948">
        <f>SUMIF(80:80,I20,81:81)-SUMIF(80:80,C20,81:81)+100</f>
        <v>100</v>
      </c>
      <c r="K19" s="2983"/>
      <c r="L19" s="2026"/>
      <c r="M19" s="2021"/>
      <c r="N19" s="2021"/>
      <c r="O19" s="2021"/>
      <c r="P19" s="4444"/>
      <c r="Q19" s="1544" t="str">
        <f>B19</f>
        <v>公共配套设施</v>
      </c>
      <c r="R19" s="3960" t="s">
        <v>13</v>
      </c>
      <c r="S19" s="3328">
        <f>F19</f>
        <v>100</v>
      </c>
      <c r="T19" s="3960" t="s">
        <v>13</v>
      </c>
      <c r="U19" s="3328">
        <f>H19</f>
        <v>100</v>
      </c>
      <c r="V19" s="3960" t="s">
        <v>13</v>
      </c>
      <c r="W19" s="3328">
        <f>J19</f>
        <v>100</v>
      </c>
      <c r="X19" s="946"/>
      <c r="Y19" s="4414"/>
      <c r="Z19" s="944" t="str">
        <f>Q19</f>
        <v>公共配套设施</v>
      </c>
      <c r="AA19" s="944">
        <f t="shared" si="3"/>
        <v>1</v>
      </c>
      <c r="AB19" s="944">
        <f t="shared" si="4"/>
        <v>1</v>
      </c>
      <c r="AC19" s="944">
        <f t="shared" si="5"/>
        <v>1</v>
      </c>
    </row>
    <row r="20" spans="1:29" ht="15">
      <c r="A20" s="255"/>
      <c r="B20" s="2922"/>
      <c r="C20" s="2944"/>
      <c r="D20" s="3016"/>
      <c r="E20" s="2972"/>
      <c r="F20" s="3965"/>
      <c r="G20" s="2978"/>
      <c r="H20" s="3947"/>
      <c r="I20" s="2972"/>
      <c r="J20" s="3947"/>
      <c r="K20" s="2984"/>
      <c r="L20" s="2026"/>
      <c r="M20" s="2021"/>
      <c r="N20" s="2021"/>
      <c r="O20" s="2021"/>
      <c r="P20" s="4444"/>
      <c r="Q20" s="1544"/>
      <c r="R20" s="3960"/>
      <c r="S20" s="3328"/>
      <c r="T20" s="3960"/>
      <c r="U20" s="3328"/>
      <c r="V20" s="3960"/>
      <c r="W20" s="3328"/>
      <c r="X20" s="946"/>
      <c r="Y20" s="4414"/>
      <c r="Z20" s="944"/>
      <c r="AA20" s="944">
        <v>1</v>
      </c>
      <c r="AB20" s="944">
        <v>1</v>
      </c>
      <c r="AC20" s="944">
        <v>1</v>
      </c>
    </row>
    <row r="21" spans="1:29" ht="15">
      <c r="A21" s="255"/>
      <c r="B21" s="2923" t="s">
        <v>1693</v>
      </c>
      <c r="C21" s="2945">
        <f>估价对象房地状况!C8</f>
        <v>0</v>
      </c>
      <c r="D21" s="3018">
        <v>100</v>
      </c>
      <c r="E21" s="2971"/>
      <c r="F21" s="3967">
        <f>SUMIF(82:82,E22,83:83)-SUMIF(82:82,C22,83:83)+100</f>
        <v>100</v>
      </c>
      <c r="G21" s="2977"/>
      <c r="H21" s="3948">
        <f>SUMIF(82:82,G22,83:83)-SUMIF(82:82,C22,83:83)+100</f>
        <v>100</v>
      </c>
      <c r="I21" s="2971"/>
      <c r="J21" s="3948">
        <f>SUMIF(82:82,I22,83:83)-SUMIF(82:82,C22,83:83)+100</f>
        <v>100</v>
      </c>
      <c r="K21" s="2983"/>
      <c r="L21" s="2026"/>
      <c r="M21" s="2021"/>
      <c r="N21" s="2021"/>
      <c r="O21" s="2021"/>
      <c r="P21" s="4444"/>
      <c r="Q21" s="1544" t="str">
        <f>B21</f>
        <v>基础设施水平</v>
      </c>
      <c r="R21" s="3960" t="s">
        <v>13</v>
      </c>
      <c r="S21" s="3328">
        <f>F21</f>
        <v>100</v>
      </c>
      <c r="T21" s="3960" t="s">
        <v>13</v>
      </c>
      <c r="U21" s="3328">
        <f>H21</f>
        <v>100</v>
      </c>
      <c r="V21" s="3960" t="s">
        <v>13</v>
      </c>
      <c r="W21" s="3328">
        <f>J21</f>
        <v>100</v>
      </c>
      <c r="X21" s="946"/>
      <c r="Y21" s="4414"/>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5"/>
      <c r="G22" s="2944"/>
      <c r="H22" s="3947"/>
      <c r="I22" s="2944"/>
      <c r="J22" s="3947"/>
      <c r="K22" s="2985"/>
      <c r="L22" s="2026"/>
      <c r="M22" s="2021"/>
      <c r="N22" s="2021"/>
      <c r="O22" s="2021"/>
      <c r="P22" s="4444"/>
      <c r="Q22" s="1544"/>
      <c r="R22" s="3960"/>
      <c r="S22" s="3328"/>
      <c r="T22" s="3960"/>
      <c r="U22" s="3328"/>
      <c r="V22" s="3960"/>
      <c r="W22" s="3328"/>
      <c r="X22" s="946"/>
      <c r="Y22" s="4414"/>
      <c r="Z22" s="944"/>
      <c r="AA22" s="944">
        <v>1</v>
      </c>
      <c r="AB22" s="944">
        <v>1</v>
      </c>
      <c r="AC22" s="944">
        <v>1</v>
      </c>
    </row>
    <row r="23" spans="1:29" ht="15">
      <c r="A23" s="255"/>
      <c r="B23" s="2921" t="s">
        <v>1244</v>
      </c>
      <c r="C23" s="2959">
        <f>估价对象房地状况!C9</f>
        <v>0</v>
      </c>
      <c r="D23" s="3017">
        <v>100</v>
      </c>
      <c r="E23" s="2969"/>
      <c r="F23" s="3966">
        <f>SUMIF(84:84,E24,85:85)-SUMIF(84:84,C24,85:85)+100</f>
        <v>100</v>
      </c>
      <c r="G23" s="2975"/>
      <c r="H23" s="3948">
        <f>SUMIF(84:84,G24,85:85)-SUMIF(84:84,C24,85:85)+100</f>
        <v>100</v>
      </c>
      <c r="I23" s="2969"/>
      <c r="J23" s="3948">
        <f>SUMIF(84:84,I24,85:85)-SUMIF(84:84,C24,85:85)+100</f>
        <v>100</v>
      </c>
      <c r="K23" s="2983"/>
      <c r="L23" s="2026"/>
      <c r="M23" s="2021"/>
      <c r="N23" s="2021"/>
      <c r="O23" s="2021"/>
      <c r="P23" s="4444"/>
      <c r="Q23" s="1544" t="str">
        <f>B23</f>
        <v>自然及人文环境</v>
      </c>
      <c r="R23" s="3960" t="s">
        <v>13</v>
      </c>
      <c r="S23" s="3328">
        <f>F23</f>
        <v>100</v>
      </c>
      <c r="T23" s="3960" t="s">
        <v>13</v>
      </c>
      <c r="U23" s="3328">
        <f>H23</f>
        <v>100</v>
      </c>
      <c r="V23" s="3960" t="s">
        <v>13</v>
      </c>
      <c r="W23" s="3328">
        <f>J23</f>
        <v>100</v>
      </c>
      <c r="X23" s="946"/>
      <c r="Y23" s="4414"/>
      <c r="Z23" s="944" t="str">
        <f>Q23</f>
        <v>自然及人文环境</v>
      </c>
      <c r="AA23" s="944">
        <f t="shared" si="3"/>
        <v>1</v>
      </c>
      <c r="AB23" s="944">
        <f t="shared" si="4"/>
        <v>1</v>
      </c>
      <c r="AC23" s="944">
        <f t="shared" si="5"/>
        <v>1</v>
      </c>
    </row>
    <row r="24" spans="1:29" ht="15">
      <c r="A24" s="255"/>
      <c r="B24" s="2922"/>
      <c r="C24" s="2944"/>
      <c r="D24" s="3016"/>
      <c r="E24" s="2972"/>
      <c r="F24" s="3965"/>
      <c r="G24" s="2978"/>
      <c r="H24" s="3947"/>
      <c r="I24" s="2972"/>
      <c r="J24" s="3947"/>
      <c r="K24" s="2984"/>
      <c r="L24" s="2026"/>
      <c r="M24" s="2021"/>
      <c r="N24" s="2021"/>
      <c r="O24" s="2021"/>
      <c r="P24" s="4444"/>
      <c r="Q24" s="1544"/>
      <c r="R24" s="3960"/>
      <c r="S24" s="3328"/>
      <c r="T24" s="3960"/>
      <c r="U24" s="3328"/>
      <c r="V24" s="3960"/>
      <c r="W24" s="3328"/>
      <c r="X24" s="946"/>
      <c r="Y24" s="4414"/>
      <c r="Z24" s="944"/>
      <c r="AA24" s="944">
        <v>1</v>
      </c>
      <c r="AB24" s="944">
        <v>1</v>
      </c>
      <c r="AC24" s="944">
        <v>1</v>
      </c>
    </row>
    <row r="25" spans="1:29" ht="15">
      <c r="A25" s="255"/>
      <c r="B25" s="2913" t="s">
        <v>1694</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444"/>
      <c r="Q25" s="1544" t="str">
        <f t="shared" ref="Q25:Q46" si="11">B25</f>
        <v>临街状况</v>
      </c>
      <c r="R25" s="3960" t="s">
        <v>13</v>
      </c>
      <c r="S25" s="3328">
        <f>F25</f>
        <v>100</v>
      </c>
      <c r="T25" s="3960" t="s">
        <v>13</v>
      </c>
      <c r="U25" s="3328">
        <f>H25</f>
        <v>100</v>
      </c>
      <c r="V25" s="3960" t="s">
        <v>13</v>
      </c>
      <c r="W25" s="3328">
        <f>J25</f>
        <v>100</v>
      </c>
      <c r="X25" s="946"/>
      <c r="Y25" s="4414"/>
      <c r="Z25" s="944" t="str">
        <f>Q25</f>
        <v>临街状况</v>
      </c>
      <c r="AA25" s="944">
        <f t="shared" si="3"/>
        <v>1</v>
      </c>
      <c r="AB25" s="944">
        <f t="shared" si="4"/>
        <v>1</v>
      </c>
      <c r="AC25" s="944">
        <f t="shared" si="5"/>
        <v>1</v>
      </c>
    </row>
    <row r="26" spans="1:29" ht="15">
      <c r="A26" s="255"/>
      <c r="B26" s="2924" t="s">
        <v>1695</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444"/>
      <c r="Q26" s="1544" t="str">
        <f t="shared" si="11"/>
        <v>平面位置/可视性</v>
      </c>
      <c r="R26" s="3960" t="s">
        <v>13</v>
      </c>
      <c r="S26" s="3328">
        <f>F26</f>
        <v>100</v>
      </c>
      <c r="T26" s="3960" t="s">
        <v>13</v>
      </c>
      <c r="U26" s="3328">
        <f>H26</f>
        <v>100</v>
      </c>
      <c r="V26" s="3960" t="s">
        <v>13</v>
      </c>
      <c r="W26" s="3328">
        <f>J26</f>
        <v>100</v>
      </c>
      <c r="X26" s="946"/>
      <c r="Y26" s="4414"/>
      <c r="Z26" s="944" t="str">
        <f>Q26</f>
        <v>平面位置/可视性</v>
      </c>
      <c r="AA26" s="944">
        <f t="shared" si="3"/>
        <v>1</v>
      </c>
      <c r="AB26" s="944">
        <f t="shared" si="4"/>
        <v>1</v>
      </c>
      <c r="AC26" s="944">
        <f t="shared" si="5"/>
        <v>1</v>
      </c>
    </row>
    <row r="27" spans="1:29" s="46" customFormat="1" ht="15">
      <c r="A27" s="258"/>
      <c r="B27" s="2921" t="s">
        <v>1696</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444"/>
      <c r="Q27" s="1742" t="str">
        <f t="shared" si="11"/>
        <v>人流量</v>
      </c>
      <c r="R27" s="3854" t="s">
        <v>13</v>
      </c>
      <c r="S27" s="3327">
        <f>F27</f>
        <v>100</v>
      </c>
      <c r="T27" s="3854" t="s">
        <v>13</v>
      </c>
      <c r="U27" s="3327">
        <f>H27</f>
        <v>100</v>
      </c>
      <c r="V27" s="3854" t="s">
        <v>13</v>
      </c>
      <c r="W27" s="3327">
        <f>J27</f>
        <v>100</v>
      </c>
      <c r="X27" s="493"/>
      <c r="Y27" s="4414"/>
      <c r="Z27" s="28" t="str">
        <f>Q27</f>
        <v>人流量</v>
      </c>
      <c r="AA27" s="944">
        <f>D27/F27</f>
        <v>1</v>
      </c>
      <c r="AB27" s="944">
        <f>D27/H27</f>
        <v>1</v>
      </c>
      <c r="AC27" s="944">
        <f>D27/J27</f>
        <v>1</v>
      </c>
    </row>
    <row r="28" spans="1:29" ht="15">
      <c r="A28" s="255"/>
      <c r="B28" s="2913" t="s">
        <v>1697</v>
      </c>
      <c r="C28" s="2960"/>
      <c r="D28" s="3013">
        <v>100</v>
      </c>
      <c r="E28" s="2960"/>
      <c r="F28" s="3953">
        <f>SUMIF(92:92,E28,93:93)-SUMIF(92:92,C28,93:93)+100</f>
        <v>100</v>
      </c>
      <c r="G28" s="2960"/>
      <c r="H28" s="3950">
        <f>SUMIF(92:92,G28,93:93)-SUMIF(92:92,C28,93:93)+100</f>
        <v>100</v>
      </c>
      <c r="I28" s="2960"/>
      <c r="J28" s="3950">
        <f>SUMIF(92:92,I28,93:93)-SUMIF(92:92,C28,93:93)+100</f>
        <v>100</v>
      </c>
      <c r="K28" s="2982"/>
      <c r="L28" s="2026"/>
      <c r="M28" s="2021"/>
      <c r="N28" s="2021"/>
      <c r="O28" s="2021"/>
      <c r="P28" s="4444"/>
      <c r="Q28" s="1544" t="str">
        <f t="shared" si="11"/>
        <v>楼层</v>
      </c>
      <c r="R28" s="3960" t="s">
        <v>13</v>
      </c>
      <c r="S28" s="3328">
        <f t="shared" ref="S28:S46" si="12">F28</f>
        <v>100</v>
      </c>
      <c r="T28" s="3960" t="s">
        <v>13</v>
      </c>
      <c r="U28" s="3328">
        <f t="shared" ref="U28:U46" si="13">H28</f>
        <v>100</v>
      </c>
      <c r="V28" s="3960" t="s">
        <v>13</v>
      </c>
      <c r="W28" s="3328">
        <f t="shared" ref="W28:W46" si="14">J28</f>
        <v>100</v>
      </c>
      <c r="X28" s="946"/>
      <c r="Y28" s="4414"/>
      <c r="Z28" s="944" t="str">
        <f t="shared" ref="Z28:Z46" si="15">Q28</f>
        <v>楼层</v>
      </c>
      <c r="AA28" s="944">
        <f t="shared" si="3"/>
        <v>1</v>
      </c>
      <c r="AB28" s="944">
        <f t="shared" si="4"/>
        <v>1</v>
      </c>
      <c r="AC28" s="944">
        <f t="shared" si="5"/>
        <v>1</v>
      </c>
    </row>
    <row r="29" spans="1:29" ht="1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444"/>
      <c r="Q29" s="1544">
        <f t="shared" si="11"/>
        <v>111</v>
      </c>
      <c r="R29" s="3960" t="s">
        <v>13</v>
      </c>
      <c r="S29" s="3328">
        <f t="shared" si="12"/>
        <v>100</v>
      </c>
      <c r="T29" s="3960" t="s">
        <v>13</v>
      </c>
      <c r="U29" s="3328">
        <f t="shared" si="13"/>
        <v>100</v>
      </c>
      <c r="V29" s="3960" t="s">
        <v>13</v>
      </c>
      <c r="W29" s="3328">
        <f t="shared" si="14"/>
        <v>100</v>
      </c>
      <c r="X29" s="946"/>
      <c r="Y29" s="4414"/>
      <c r="Z29" s="944">
        <f t="shared" si="15"/>
        <v>111</v>
      </c>
      <c r="AA29" s="944">
        <f t="shared" si="3"/>
        <v>1</v>
      </c>
      <c r="AB29" s="944">
        <f t="shared" si="4"/>
        <v>1</v>
      </c>
      <c r="AC29" s="944">
        <f t="shared" si="5"/>
        <v>1</v>
      </c>
    </row>
    <row r="30" spans="1:29" ht="1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444"/>
      <c r="Q30" s="1544">
        <f t="shared" si="11"/>
        <v>111</v>
      </c>
      <c r="R30" s="3960" t="s">
        <v>13</v>
      </c>
      <c r="S30" s="3328">
        <f t="shared" si="12"/>
        <v>100</v>
      </c>
      <c r="T30" s="3960" t="s">
        <v>13</v>
      </c>
      <c r="U30" s="3328">
        <f t="shared" si="13"/>
        <v>100</v>
      </c>
      <c r="V30" s="3960" t="s">
        <v>13</v>
      </c>
      <c r="W30" s="3328">
        <f t="shared" si="14"/>
        <v>100</v>
      </c>
      <c r="X30" s="946"/>
      <c r="Y30" s="4414"/>
      <c r="Z30" s="944">
        <f t="shared" si="15"/>
        <v>111</v>
      </c>
      <c r="AA30" s="944">
        <f t="shared" si="3"/>
        <v>1</v>
      </c>
      <c r="AB30" s="944">
        <f t="shared" si="4"/>
        <v>1</v>
      </c>
      <c r="AC30" s="944">
        <f t="shared" si="5"/>
        <v>1</v>
      </c>
    </row>
    <row r="31" spans="1:29" ht="15.75"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444"/>
      <c r="Q31" s="1544">
        <f t="shared" si="11"/>
        <v>111</v>
      </c>
      <c r="R31" s="3960" t="s">
        <v>13</v>
      </c>
      <c r="S31" s="3328">
        <f t="shared" si="12"/>
        <v>100</v>
      </c>
      <c r="T31" s="3960" t="s">
        <v>13</v>
      </c>
      <c r="U31" s="3328">
        <f t="shared" si="13"/>
        <v>100</v>
      </c>
      <c r="V31" s="3960" t="s">
        <v>13</v>
      </c>
      <c r="W31" s="3328">
        <f t="shared" si="14"/>
        <v>100</v>
      </c>
      <c r="X31" s="946"/>
      <c r="Y31" s="4414"/>
      <c r="Z31" s="944">
        <f t="shared" si="15"/>
        <v>111</v>
      </c>
      <c r="AA31" s="944">
        <f t="shared" si="3"/>
        <v>1</v>
      </c>
      <c r="AB31" s="944">
        <f t="shared" si="4"/>
        <v>1</v>
      </c>
      <c r="AC31" s="944">
        <f t="shared" si="5"/>
        <v>1</v>
      </c>
    </row>
    <row r="32" spans="1:29" ht="15">
      <c r="A32" s="263" t="s">
        <v>1608</v>
      </c>
      <c r="B32" s="2916" t="s">
        <v>1698</v>
      </c>
      <c r="C32" s="2948"/>
      <c r="D32" s="3020">
        <v>100</v>
      </c>
      <c r="E32" s="2948"/>
      <c r="F32" s="3953">
        <f>SUMIF(100:100,E32,101:101)-SUMIF(100:100,C32,101:101)+100</f>
        <v>100</v>
      </c>
      <c r="G32" s="2948"/>
      <c r="H32" s="3950">
        <f>SUMIF(100:100,G32,101:101)-SUMIF(100:100,C32,101:101)+100</f>
        <v>100</v>
      </c>
      <c r="I32" s="2948"/>
      <c r="J32" s="3957">
        <f>SUMIF(100:100,I32,101:101)-SUMIF(100:100,C32,101:101)+100</f>
        <v>100</v>
      </c>
      <c r="K32" s="2981"/>
      <c r="L32" s="2026"/>
      <c r="M32" s="2021"/>
      <c r="N32" s="2021"/>
      <c r="O32" s="2021"/>
      <c r="P32" s="4439" t="s">
        <v>1610</v>
      </c>
      <c r="Q32" s="1544" t="str">
        <f t="shared" si="11"/>
        <v>商业类型</v>
      </c>
      <c r="R32" s="3960" t="s">
        <v>13</v>
      </c>
      <c r="S32" s="3328">
        <f t="shared" si="12"/>
        <v>100</v>
      </c>
      <c r="T32" s="3960" t="s">
        <v>13</v>
      </c>
      <c r="U32" s="3328">
        <f t="shared" si="13"/>
        <v>100</v>
      </c>
      <c r="V32" s="3960" t="s">
        <v>13</v>
      </c>
      <c r="W32" s="3328">
        <f t="shared" si="14"/>
        <v>100</v>
      </c>
      <c r="X32" s="946"/>
      <c r="Y32" s="4417" t="s">
        <v>1610</v>
      </c>
      <c r="Z32" s="944" t="str">
        <f t="shared" si="15"/>
        <v>商业类型</v>
      </c>
      <c r="AA32" s="944">
        <f t="shared" si="3"/>
        <v>1</v>
      </c>
      <c r="AB32" s="944">
        <f t="shared" si="4"/>
        <v>1</v>
      </c>
      <c r="AC32" s="944">
        <f t="shared" si="5"/>
        <v>1</v>
      </c>
    </row>
    <row r="33" spans="1:29" s="280" customFormat="1" ht="15">
      <c r="A33" s="278"/>
      <c r="B33" s="2913" t="s">
        <v>1611</v>
      </c>
      <c r="C33" s="2949"/>
      <c r="D33" s="3011">
        <v>100</v>
      </c>
      <c r="E33" s="2967"/>
      <c r="F33" s="3944" t="e">
        <f>LOOKUP(E33,103:103,104:104)-LOOKUP(C33,103:103,104:104)+100</f>
        <v>#N/A</v>
      </c>
      <c r="G33" s="2939"/>
      <c r="H33" s="3956" t="e">
        <f>LOOKUP(G33,103:103,104:104)-LOOKUP(C33,103:103,104:104)+100</f>
        <v>#N/A</v>
      </c>
      <c r="I33" s="2939"/>
      <c r="J33" s="3956" t="e">
        <f>LOOKUP(I33,103:103,104:104)-LOOKUP(C33,103:103,104:104)+100</f>
        <v>#N/A</v>
      </c>
      <c r="K33" s="2982"/>
      <c r="L33" s="2025"/>
      <c r="M33" s="2027"/>
      <c r="N33" s="2027"/>
      <c r="O33" s="2027"/>
      <c r="P33" s="4440"/>
      <c r="Q33" s="392" t="str">
        <f t="shared" si="11"/>
        <v>项目建筑规模</v>
      </c>
      <c r="R33" s="3961" t="s">
        <v>13</v>
      </c>
      <c r="S33" s="3329" t="e">
        <f t="shared" si="12"/>
        <v>#N/A</v>
      </c>
      <c r="T33" s="3961" t="s">
        <v>13</v>
      </c>
      <c r="U33" s="3329" t="e">
        <f t="shared" si="13"/>
        <v>#N/A</v>
      </c>
      <c r="V33" s="3961" t="s">
        <v>13</v>
      </c>
      <c r="W33" s="3329" t="e">
        <f t="shared" si="14"/>
        <v>#N/A</v>
      </c>
      <c r="X33" s="494"/>
      <c r="Y33" s="4417"/>
      <c r="Z33" s="495" t="str">
        <f t="shared" si="15"/>
        <v>项目建筑规模</v>
      </c>
      <c r="AA33" s="944" t="e">
        <f t="shared" si="3"/>
        <v>#N/A</v>
      </c>
      <c r="AB33" s="944" t="e">
        <f t="shared" si="4"/>
        <v>#N/A</v>
      </c>
      <c r="AC33" s="944" t="e">
        <f t="shared" si="5"/>
        <v>#N/A</v>
      </c>
    </row>
    <row r="34" spans="1:29" ht="15">
      <c r="A34" s="281"/>
      <c r="B34" s="2913" t="s">
        <v>1612</v>
      </c>
      <c r="C34" s="2947"/>
      <c r="D34" s="3013">
        <v>100</v>
      </c>
      <c r="E34" s="2947"/>
      <c r="F34" s="3953">
        <f>SUMIF(105:105,E34,106:106)-SUMIF(105:105,C34,106:106)+100</f>
        <v>100</v>
      </c>
      <c r="G34" s="2947"/>
      <c r="H34" s="3950">
        <f>SUMIF(105:105,G34,106:106)-SUMIF(105:105,C34,106:106)+100</f>
        <v>100</v>
      </c>
      <c r="I34" s="2947"/>
      <c r="J34" s="3950">
        <f>SUMIF(105:105,I34,106:106)-SUMIF(105:105,C34,106:106)+100</f>
        <v>100</v>
      </c>
      <c r="K34" s="2981"/>
      <c r="L34" s="2026"/>
      <c r="M34" s="2021"/>
      <c r="N34" s="2021"/>
      <c r="O34" s="2021"/>
      <c r="P34" s="4440"/>
      <c r="Q34" s="1544" t="str">
        <f t="shared" si="11"/>
        <v>建筑结构</v>
      </c>
      <c r="R34" s="3960" t="s">
        <v>13</v>
      </c>
      <c r="S34" s="3328">
        <f t="shared" si="12"/>
        <v>100</v>
      </c>
      <c r="T34" s="3960" t="s">
        <v>13</v>
      </c>
      <c r="U34" s="3328">
        <f t="shared" si="13"/>
        <v>100</v>
      </c>
      <c r="V34" s="3960" t="s">
        <v>13</v>
      </c>
      <c r="W34" s="3328">
        <f t="shared" si="14"/>
        <v>100</v>
      </c>
      <c r="X34" s="946"/>
      <c r="Y34" s="4417"/>
      <c r="Z34" s="944" t="str">
        <f t="shared" si="15"/>
        <v>建筑结构</v>
      </c>
      <c r="AA34" s="944">
        <f t="shared" si="3"/>
        <v>1</v>
      </c>
      <c r="AB34" s="944">
        <f t="shared" si="4"/>
        <v>1</v>
      </c>
      <c r="AC34" s="944">
        <f t="shared" si="5"/>
        <v>1</v>
      </c>
    </row>
    <row r="35" spans="1:29" ht="15">
      <c r="A35" s="281"/>
      <c r="B35" s="2913" t="s">
        <v>1699</v>
      </c>
      <c r="C35" s="2950"/>
      <c r="D35" s="3013">
        <v>100</v>
      </c>
      <c r="E35" s="2950"/>
      <c r="F35" s="3953">
        <f>SUMIF(107:107,E35,108:108)-SUMIF(107:107,C35,108:108)+100</f>
        <v>100</v>
      </c>
      <c r="G35" s="2950"/>
      <c r="H35" s="3950">
        <f>SUMIF(107:107,G35,108:108)-SUMIF(107:107,C35,108:108)+100</f>
        <v>100</v>
      </c>
      <c r="I35" s="2950"/>
      <c r="J35" s="3950">
        <f>SUMIF(107:107,I35,108:108)-SUMIF(107:107,C35,108:108)+100</f>
        <v>100</v>
      </c>
      <c r="K35" s="2981"/>
      <c r="L35" s="2026"/>
      <c r="M35" s="2021"/>
      <c r="N35" s="2021"/>
      <c r="O35" s="2021"/>
      <c r="P35" s="4440"/>
      <c r="Q35" s="1544" t="str">
        <f t="shared" si="11"/>
        <v>公共部分装修</v>
      </c>
      <c r="R35" s="3960" t="s">
        <v>13</v>
      </c>
      <c r="S35" s="3328">
        <f t="shared" si="12"/>
        <v>100</v>
      </c>
      <c r="T35" s="3960" t="s">
        <v>13</v>
      </c>
      <c r="U35" s="3328">
        <f t="shared" si="13"/>
        <v>100</v>
      </c>
      <c r="V35" s="3960" t="s">
        <v>13</v>
      </c>
      <c r="W35" s="3328">
        <f t="shared" si="14"/>
        <v>100</v>
      </c>
      <c r="X35" s="946"/>
      <c r="Y35" s="4417"/>
      <c r="Z35" s="944" t="str">
        <f t="shared" si="15"/>
        <v>公共部分装修</v>
      </c>
      <c r="AA35" s="944">
        <f t="shared" si="3"/>
        <v>1</v>
      </c>
      <c r="AB35" s="944">
        <f t="shared" si="4"/>
        <v>1</v>
      </c>
      <c r="AC35" s="944">
        <f t="shared" si="5"/>
        <v>1</v>
      </c>
    </row>
    <row r="36" spans="1:29" ht="15">
      <c r="A36" s="281"/>
      <c r="B36" s="2913" t="s">
        <v>1700</v>
      </c>
      <c r="C36" s="2951"/>
      <c r="D36" s="3013">
        <v>100</v>
      </c>
      <c r="E36" s="2951"/>
      <c r="F36" s="3953" t="e">
        <f>LOOKUP(E36,110:110,111:111)-LOOKUP(C36,110:110,111:111)+100</f>
        <v>#N/A</v>
      </c>
      <c r="G36" s="2951"/>
      <c r="H36" s="3953" t="e">
        <f>LOOKUP(G36,110:110,111:111)-LOOKUP(C36,110:110,111:111)+100</f>
        <v>#N/A</v>
      </c>
      <c r="I36" s="2951"/>
      <c r="J36" s="3950" t="e">
        <f>LOOKUP(I36,110:110,111:111)-LOOKUP(C36,110:110,111:111)+100</f>
        <v>#N/A</v>
      </c>
      <c r="K36" s="2981"/>
      <c r="L36" s="2026"/>
      <c r="M36" s="2021"/>
      <c r="N36" s="2021"/>
      <c r="O36" s="2021"/>
      <c r="P36" s="4440"/>
      <c r="Q36" s="1544" t="str">
        <f t="shared" si="11"/>
        <v>成新度</v>
      </c>
      <c r="R36" s="3960" t="s">
        <v>13</v>
      </c>
      <c r="S36" s="3328" t="e">
        <f t="shared" si="12"/>
        <v>#N/A</v>
      </c>
      <c r="T36" s="3960" t="s">
        <v>13</v>
      </c>
      <c r="U36" s="3328" t="e">
        <f t="shared" si="13"/>
        <v>#N/A</v>
      </c>
      <c r="V36" s="3960" t="s">
        <v>13</v>
      </c>
      <c r="W36" s="3328" t="e">
        <f t="shared" si="14"/>
        <v>#N/A</v>
      </c>
      <c r="X36" s="946"/>
      <c r="Y36" s="4417"/>
      <c r="Z36" s="944" t="str">
        <f t="shared" si="15"/>
        <v>成新度</v>
      </c>
      <c r="AA36" s="944" t="e">
        <f t="shared" si="3"/>
        <v>#N/A</v>
      </c>
      <c r="AB36" s="944" t="e">
        <f t="shared" si="4"/>
        <v>#N/A</v>
      </c>
      <c r="AC36" s="944" t="e">
        <f t="shared" si="5"/>
        <v>#N/A</v>
      </c>
    </row>
    <row r="37" spans="1:29" s="46" customFormat="1" ht="15">
      <c r="A37" s="282"/>
      <c r="B37" s="2913" t="s">
        <v>1701</v>
      </c>
      <c r="C37" s="2950"/>
      <c r="D37" s="3011">
        <v>100</v>
      </c>
      <c r="E37" s="2950"/>
      <c r="F37" s="3953">
        <f>SUMIF(112:112,E37,113:113)-SUMIF(112:112,C37,113:113)+100</f>
        <v>100</v>
      </c>
      <c r="G37" s="2950"/>
      <c r="H37" s="3950">
        <f>SUMIF(112:112,G37,113:113)-SUMIF(112:112,C37,113:113)+100</f>
        <v>100</v>
      </c>
      <c r="I37" s="2950"/>
      <c r="J37" s="3950">
        <f>SUMIF(112:112,I37,113:113)-SUMIF(112:112,C37,113:113)+100</f>
        <v>100</v>
      </c>
      <c r="K37" s="2981"/>
      <c r="L37" s="2022"/>
      <c r="M37" s="1973"/>
      <c r="N37" s="1973"/>
      <c r="O37" s="1973"/>
      <c r="P37" s="4440"/>
      <c r="Q37" s="1742" t="str">
        <f t="shared" si="11"/>
        <v>市政基础设施</v>
      </c>
      <c r="R37" s="3854" t="s">
        <v>13</v>
      </c>
      <c r="S37" s="3327">
        <f t="shared" si="12"/>
        <v>100</v>
      </c>
      <c r="T37" s="3854" t="s">
        <v>13</v>
      </c>
      <c r="U37" s="3327">
        <f t="shared" si="13"/>
        <v>100</v>
      </c>
      <c r="V37" s="3854" t="s">
        <v>13</v>
      </c>
      <c r="W37" s="3327">
        <f t="shared" si="14"/>
        <v>100</v>
      </c>
      <c r="X37" s="493"/>
      <c r="Y37" s="4417"/>
      <c r="Z37" s="28" t="str">
        <f t="shared" si="15"/>
        <v>市政基础设施</v>
      </c>
      <c r="AA37" s="28">
        <f t="shared" si="3"/>
        <v>1</v>
      </c>
      <c r="AB37" s="28">
        <f t="shared" si="4"/>
        <v>1</v>
      </c>
      <c r="AC37" s="28">
        <f t="shared" si="5"/>
        <v>1</v>
      </c>
    </row>
    <row r="38" spans="1:29" ht="15">
      <c r="A38" s="281"/>
      <c r="B38" s="2913" t="s">
        <v>1702</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440" t="s">
        <v>1610</v>
      </c>
      <c r="Q38" s="1544" t="str">
        <f t="shared" si="11"/>
        <v>业态</v>
      </c>
      <c r="R38" s="3960" t="s">
        <v>13</v>
      </c>
      <c r="S38" s="3328">
        <f t="shared" si="12"/>
        <v>100</v>
      </c>
      <c r="T38" s="3960" t="s">
        <v>13</v>
      </c>
      <c r="U38" s="3328">
        <f t="shared" si="13"/>
        <v>100</v>
      </c>
      <c r="V38" s="3960" t="s">
        <v>13</v>
      </c>
      <c r="W38" s="3328">
        <f t="shared" si="14"/>
        <v>100</v>
      </c>
      <c r="X38" s="946"/>
      <c r="Y38" s="4417" t="s">
        <v>1610</v>
      </c>
      <c r="Z38" s="944" t="str">
        <f t="shared" si="15"/>
        <v>业态</v>
      </c>
      <c r="AA38" s="944">
        <f t="shared" si="3"/>
        <v>1</v>
      </c>
      <c r="AB38" s="944">
        <f t="shared" si="4"/>
        <v>1</v>
      </c>
      <c r="AC38" s="944">
        <f t="shared" si="5"/>
        <v>1</v>
      </c>
    </row>
    <row r="39" spans="1:29" ht="15">
      <c r="A39" s="281"/>
      <c r="B39" s="2913" t="s">
        <v>1703</v>
      </c>
      <c r="C39" s="2950"/>
      <c r="D39" s="3013">
        <v>100</v>
      </c>
      <c r="E39" s="2950"/>
      <c r="F39" s="3953">
        <f>SUMIF(116:116,E39,117:117)-SUMIF(116:116,C39,117:117)+100</f>
        <v>100</v>
      </c>
      <c r="G39" s="2950"/>
      <c r="H39" s="3950">
        <f>SUMIF(116:116,G39,117:117)-SUMIF(116:116,C39,117:117)+100</f>
        <v>100</v>
      </c>
      <c r="I39" s="2950"/>
      <c r="J39" s="3950">
        <f>SUMIF(116:116,I39,117:117)-SUMIF(116:116,C39,117:117)+100</f>
        <v>100</v>
      </c>
      <c r="K39" s="2981"/>
      <c r="L39" s="2026"/>
      <c r="M39" s="2021"/>
      <c r="N39" s="2021"/>
      <c r="O39" s="2021"/>
      <c r="P39" s="4440"/>
      <c r="Q39" s="1544" t="str">
        <f t="shared" si="11"/>
        <v>层高</v>
      </c>
      <c r="R39" s="3960" t="s">
        <v>13</v>
      </c>
      <c r="S39" s="3328">
        <f t="shared" si="12"/>
        <v>100</v>
      </c>
      <c r="T39" s="3960" t="s">
        <v>13</v>
      </c>
      <c r="U39" s="3328">
        <f t="shared" si="13"/>
        <v>100</v>
      </c>
      <c r="V39" s="3960" t="s">
        <v>13</v>
      </c>
      <c r="W39" s="3328">
        <f t="shared" si="14"/>
        <v>100</v>
      </c>
      <c r="X39" s="946"/>
      <c r="Y39" s="4417"/>
      <c r="Z39" s="944" t="str">
        <f t="shared" si="15"/>
        <v>层高</v>
      </c>
      <c r="AA39" s="944">
        <f t="shared" si="3"/>
        <v>1</v>
      </c>
      <c r="AB39" s="944">
        <f t="shared" si="4"/>
        <v>1</v>
      </c>
      <c r="AC39" s="944">
        <f t="shared" si="5"/>
        <v>1</v>
      </c>
    </row>
    <row r="40" spans="1:29" ht="15">
      <c r="A40" s="281"/>
      <c r="B40" s="2913" t="s">
        <v>1704</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440"/>
      <c r="Q40" s="1544" t="str">
        <f t="shared" si="11"/>
        <v>单套建筑面积</v>
      </c>
      <c r="R40" s="3960" t="s">
        <v>13</v>
      </c>
      <c r="S40" s="3328">
        <f t="shared" si="12"/>
        <v>100</v>
      </c>
      <c r="T40" s="3960" t="s">
        <v>13</v>
      </c>
      <c r="U40" s="3328">
        <f t="shared" si="13"/>
        <v>100</v>
      </c>
      <c r="V40" s="3960" t="s">
        <v>13</v>
      </c>
      <c r="W40" s="3328">
        <f t="shared" si="14"/>
        <v>100</v>
      </c>
      <c r="X40" s="946"/>
      <c r="Y40" s="4417"/>
      <c r="Z40" s="944" t="str">
        <f t="shared" si="15"/>
        <v>单套建筑面积</v>
      </c>
      <c r="AA40" s="944">
        <f t="shared" si="3"/>
        <v>1</v>
      </c>
      <c r="AB40" s="944">
        <f t="shared" si="4"/>
        <v>1</v>
      </c>
      <c r="AC40" s="944">
        <f t="shared" si="5"/>
        <v>1</v>
      </c>
    </row>
    <row r="41" spans="1:29" s="280" customFormat="1" ht="15">
      <c r="A41" s="278"/>
      <c r="B41" s="2963" t="s">
        <v>1705</v>
      </c>
      <c r="C41" s="2960"/>
      <c r="D41" s="3013">
        <v>100</v>
      </c>
      <c r="E41" s="2960"/>
      <c r="F41" s="3953">
        <f>SUMIF(120:120,E41,121:121)-SUMIF(120:120,C41,121:121)+100</f>
        <v>100</v>
      </c>
      <c r="G41" s="2960"/>
      <c r="H41" s="3950">
        <f>SUMIF(120:120,G41,121:121)-SUMIF(120:120,C41,121:121)+100</f>
        <v>100</v>
      </c>
      <c r="I41" s="2960"/>
      <c r="J41" s="3950">
        <f>SUMIF(120:120,I41,121:121)-SUMIF(120:120,C41,121:121)+100</f>
        <v>100</v>
      </c>
      <c r="K41" s="2981"/>
      <c r="L41" s="2025"/>
      <c r="M41" s="2027"/>
      <c r="N41" s="2027"/>
      <c r="O41" s="2027"/>
      <c r="P41" s="4440"/>
      <c r="Q41" s="392" t="str">
        <f t="shared" si="11"/>
        <v>进深比</v>
      </c>
      <c r="R41" s="3961" t="s">
        <v>13</v>
      </c>
      <c r="S41" s="3329">
        <f t="shared" si="12"/>
        <v>100</v>
      </c>
      <c r="T41" s="3961" t="s">
        <v>13</v>
      </c>
      <c r="U41" s="3329">
        <f t="shared" si="13"/>
        <v>100</v>
      </c>
      <c r="V41" s="3961" t="s">
        <v>13</v>
      </c>
      <c r="W41" s="3329">
        <f t="shared" si="14"/>
        <v>100</v>
      </c>
      <c r="X41" s="494"/>
      <c r="Y41" s="4417"/>
      <c r="Z41" s="495" t="str">
        <f t="shared" si="15"/>
        <v>进深比</v>
      </c>
      <c r="AA41" s="944">
        <f t="shared" si="3"/>
        <v>1</v>
      </c>
      <c r="AB41" s="944">
        <f t="shared" si="4"/>
        <v>1</v>
      </c>
      <c r="AC41" s="944">
        <f t="shared" si="5"/>
        <v>1</v>
      </c>
    </row>
    <row r="42" spans="1:29" ht="15">
      <c r="A42" s="281"/>
      <c r="B42" s="2913" t="s">
        <v>1706</v>
      </c>
      <c r="C42" s="2950"/>
      <c r="D42" s="3013">
        <v>100</v>
      </c>
      <c r="E42" s="2950"/>
      <c r="F42" s="3953">
        <f>SUMIF(122:122,E42,123:123)-SUMIF(122:122,C42,123:123)+100</f>
        <v>100</v>
      </c>
      <c r="G42" s="2950"/>
      <c r="H42" s="3950">
        <f>SUMIF(122:122,G42,123:123)-SUMIF(122:122,C42,123:123)+100</f>
        <v>100</v>
      </c>
      <c r="I42" s="2950"/>
      <c r="J42" s="3950">
        <f>SUMIF(122:122,I42,123:123)-SUMIF(122:122,C42,123:123)+100</f>
        <v>100</v>
      </c>
      <c r="K42" s="2981"/>
      <c r="L42" s="2026"/>
      <c r="M42" s="2021"/>
      <c r="N42" s="2021"/>
      <c r="O42" s="2021"/>
      <c r="P42" s="4440"/>
      <c r="Q42" s="1544" t="str">
        <f t="shared" si="11"/>
        <v>内部装修</v>
      </c>
      <c r="R42" s="3960" t="s">
        <v>13</v>
      </c>
      <c r="S42" s="3328">
        <f t="shared" si="12"/>
        <v>100</v>
      </c>
      <c r="T42" s="3960" t="s">
        <v>13</v>
      </c>
      <c r="U42" s="3328">
        <f t="shared" si="13"/>
        <v>100</v>
      </c>
      <c r="V42" s="3960" t="s">
        <v>13</v>
      </c>
      <c r="W42" s="3328">
        <f t="shared" si="14"/>
        <v>100</v>
      </c>
      <c r="X42" s="946"/>
      <c r="Y42" s="4417"/>
      <c r="Z42" s="944" t="str">
        <f t="shared" si="15"/>
        <v>内部装修</v>
      </c>
      <c r="AA42" s="944">
        <f t="shared" si="3"/>
        <v>1</v>
      </c>
      <c r="AB42" s="944">
        <f t="shared" si="4"/>
        <v>1</v>
      </c>
      <c r="AC42" s="944">
        <f t="shared" si="5"/>
        <v>1</v>
      </c>
    </row>
    <row r="43" spans="1:29" ht="15">
      <c r="A43" s="281"/>
      <c r="B43" s="2913" t="s">
        <v>1621</v>
      </c>
      <c r="C43" s="2950"/>
      <c r="D43" s="3013">
        <v>100</v>
      </c>
      <c r="E43" s="2950"/>
      <c r="F43" s="3953">
        <f>SUMIF(124:124,E43,125:125)-SUMIF(124:124,C43,125:125)+100</f>
        <v>100</v>
      </c>
      <c r="G43" s="2950"/>
      <c r="H43" s="3950">
        <f>SUMIF(124:124,G43,125:125)-SUMIF(124:124,C43,125:125)+100</f>
        <v>100</v>
      </c>
      <c r="I43" s="2950"/>
      <c r="J43" s="3950">
        <f>SUMIF(124:124,I43,125:125)-SUMIF(124:124,C43,125:125)+100</f>
        <v>100</v>
      </c>
      <c r="K43" s="2981"/>
      <c r="L43" s="2026"/>
      <c r="M43" s="2021"/>
      <c r="N43" s="2021"/>
      <c r="O43" s="2021"/>
      <c r="P43" s="4440"/>
      <c r="Q43" s="1544" t="str">
        <f t="shared" si="11"/>
        <v>内部装修维护情况</v>
      </c>
      <c r="R43" s="3960" t="s">
        <v>13</v>
      </c>
      <c r="S43" s="3328">
        <f t="shared" si="12"/>
        <v>100</v>
      </c>
      <c r="T43" s="3960" t="s">
        <v>13</v>
      </c>
      <c r="U43" s="3328">
        <f t="shared" si="13"/>
        <v>100</v>
      </c>
      <c r="V43" s="3960" t="s">
        <v>13</v>
      </c>
      <c r="W43" s="3328">
        <f t="shared" si="14"/>
        <v>100</v>
      </c>
      <c r="X43" s="946"/>
      <c r="Y43" s="4417"/>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440"/>
      <c r="Q44" s="1742">
        <f t="shared" si="11"/>
        <v>111</v>
      </c>
      <c r="R44" s="3854" t="s">
        <v>13</v>
      </c>
      <c r="S44" s="3327">
        <f t="shared" si="12"/>
        <v>100</v>
      </c>
      <c r="T44" s="3854" t="s">
        <v>13</v>
      </c>
      <c r="U44" s="3327">
        <f t="shared" si="13"/>
        <v>100</v>
      </c>
      <c r="V44" s="3854" t="s">
        <v>13</v>
      </c>
      <c r="W44" s="3327">
        <f t="shared" si="14"/>
        <v>100</v>
      </c>
      <c r="X44" s="493"/>
      <c r="Y44" s="4417"/>
      <c r="Z44" s="28">
        <f t="shared" si="15"/>
        <v>111</v>
      </c>
      <c r="AA44" s="28">
        <f t="shared" si="3"/>
        <v>1</v>
      </c>
      <c r="AB44" s="28">
        <f t="shared" si="4"/>
        <v>1</v>
      </c>
      <c r="AC44" s="28">
        <f t="shared" si="5"/>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440"/>
      <c r="Q45" s="1544">
        <f t="shared" si="11"/>
        <v>111</v>
      </c>
      <c r="R45" s="3960" t="s">
        <v>13</v>
      </c>
      <c r="S45" s="3328">
        <f t="shared" si="12"/>
        <v>100</v>
      </c>
      <c r="T45" s="3960" t="s">
        <v>13</v>
      </c>
      <c r="U45" s="3328">
        <f t="shared" si="13"/>
        <v>100</v>
      </c>
      <c r="V45" s="3960" t="s">
        <v>13</v>
      </c>
      <c r="W45" s="3328">
        <f t="shared" si="14"/>
        <v>100</v>
      </c>
      <c r="X45" s="946"/>
      <c r="Y45" s="4417"/>
      <c r="Z45" s="944">
        <f t="shared" si="15"/>
        <v>111</v>
      </c>
      <c r="AA45" s="944">
        <f t="shared" si="3"/>
        <v>1</v>
      </c>
      <c r="AB45" s="944">
        <f t="shared" si="4"/>
        <v>1</v>
      </c>
      <c r="AC45" s="944">
        <f t="shared" si="5"/>
        <v>1</v>
      </c>
    </row>
    <row r="46" spans="1:29" ht="15.75"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441"/>
      <c r="Q46" s="1544">
        <f t="shared" si="11"/>
        <v>111</v>
      </c>
      <c r="R46" s="3960" t="s">
        <v>13</v>
      </c>
      <c r="S46" s="3328">
        <f t="shared" si="12"/>
        <v>100</v>
      </c>
      <c r="T46" s="3960" t="s">
        <v>13</v>
      </c>
      <c r="U46" s="3328">
        <f t="shared" si="13"/>
        <v>100</v>
      </c>
      <c r="V46" s="3960" t="s">
        <v>13</v>
      </c>
      <c r="W46" s="3328">
        <f t="shared" si="14"/>
        <v>100</v>
      </c>
      <c r="X46" s="946"/>
      <c r="Y46" s="4442"/>
      <c r="Z46" s="944">
        <f t="shared" si="15"/>
        <v>111</v>
      </c>
      <c r="AA46" s="944">
        <f t="shared" si="3"/>
        <v>1</v>
      </c>
      <c r="AB46" s="944">
        <f t="shared" si="4"/>
        <v>1</v>
      </c>
      <c r="AC46" s="944">
        <f t="shared" si="5"/>
        <v>1</v>
      </c>
    </row>
    <row r="47" spans="1:29" ht="15">
      <c r="A47" s="287" t="s">
        <v>1622</v>
      </c>
      <c r="B47" s="288"/>
      <c r="C47" s="798" t="s">
        <v>0</v>
      </c>
      <c r="D47" s="289"/>
      <c r="E47" s="3386"/>
      <c r="F47" s="3324"/>
      <c r="G47" s="3387"/>
      <c r="H47" s="3325"/>
      <c r="I47" s="3386"/>
      <c r="J47" s="3325"/>
      <c r="K47" s="2986"/>
      <c r="L47" s="2028"/>
      <c r="M47" s="2021"/>
      <c r="N47" s="2021"/>
      <c r="O47" s="2021"/>
      <c r="P47" s="4387" t="str">
        <f>A47</f>
        <v>成交单价（元/平方米）</v>
      </c>
      <c r="Q47" s="4387"/>
      <c r="R47" s="4418">
        <f>E47</f>
        <v>0</v>
      </c>
      <c r="S47" s="4418"/>
      <c r="T47" s="4418">
        <f>G47</f>
        <v>0</v>
      </c>
      <c r="U47" s="4418"/>
      <c r="V47" s="4418">
        <f>I47</f>
        <v>0</v>
      </c>
      <c r="W47" s="4418"/>
      <c r="X47" s="266"/>
      <c r="Y47" s="496"/>
      <c r="Z47" s="266"/>
      <c r="AA47" s="266"/>
      <c r="AB47" s="266"/>
      <c r="AC47" s="266"/>
    </row>
    <row r="48" spans="1:29" ht="15.75" thickBot="1">
      <c r="A48" s="290" t="s">
        <v>1707</v>
      </c>
      <c r="B48" s="291"/>
      <c r="C48" s="3958" t="e">
        <f>R49</f>
        <v>#DIV/0!</v>
      </c>
      <c r="D48" s="4082" t="s">
        <v>2048</v>
      </c>
      <c r="E48" s="3969" t="e">
        <f>R48</f>
        <v>#DIV/0!</v>
      </c>
      <c r="F48" s="2925"/>
      <c r="G48" s="3958" t="e">
        <f>T48</f>
        <v>#DIV/0!</v>
      </c>
      <c r="H48" s="2925"/>
      <c r="I48" s="3969" t="e">
        <f>V48</f>
        <v>#DIV/0!</v>
      </c>
      <c r="J48" s="2925"/>
      <c r="K48" s="2979">
        <f>F48+H48+J48</f>
        <v>0</v>
      </c>
      <c r="L48" s="2028"/>
      <c r="M48" s="2021"/>
      <c r="N48" s="2021"/>
      <c r="O48" s="2021"/>
      <c r="P48" s="4387" t="str">
        <f>A48</f>
        <v>比较价值（元/平方米）</v>
      </c>
      <c r="Q48" s="4387"/>
      <c r="R48" s="4418" t="e">
        <f>IF(F1="售价",ROUND(PRODUCT(R47,AA7:AA46),0),ROUND(PRODUCT(R47,AA7:AA46),1))</f>
        <v>#DIV/0!</v>
      </c>
      <c r="S48" s="4418"/>
      <c r="T48" s="4418" t="e">
        <f>IF(F1="售价",ROUND(PRODUCT(T47,AB7:AB46),0),ROUND(PRODUCT(T47,AB7:AB46),1))</f>
        <v>#DIV/0!</v>
      </c>
      <c r="U48" s="4418"/>
      <c r="V48" s="4418" t="e">
        <f>IF(F1="售价",ROUND(PRODUCT(V47,AC7:AC46),0),ROUND(PRODUCT(V47,AC7:AC46),1))</f>
        <v>#DIV/0!</v>
      </c>
      <c r="W48" s="4418"/>
      <c r="X48" s="266"/>
      <c r="Y48" s="266"/>
      <c r="Z48" s="266"/>
      <c r="AA48" s="266"/>
      <c r="AB48" s="266"/>
      <c r="AC48" s="266"/>
    </row>
    <row r="49" spans="1:29" ht="15.75" thickBot="1">
      <c r="A49" s="292" t="s">
        <v>1708</v>
      </c>
      <c r="B49" s="293"/>
      <c r="C49" s="3970" t="e">
        <f>R49</f>
        <v>#DIV/0!</v>
      </c>
      <c r="D49" s="242"/>
      <c r="E49" s="242"/>
      <c r="F49" s="242"/>
      <c r="G49" s="242"/>
      <c r="H49" s="242"/>
      <c r="I49" s="242"/>
      <c r="J49" s="242"/>
      <c r="K49" s="497"/>
      <c r="L49" s="2028"/>
      <c r="M49" s="2021"/>
      <c r="N49" s="2021"/>
      <c r="O49" s="2021"/>
      <c r="P49" s="4419" t="str">
        <f>A49</f>
        <v>估价对象XX用房的比较价值（楼面单价，元/平方米）</v>
      </c>
      <c r="Q49" s="4420"/>
      <c r="R49" s="4421" t="e">
        <f>IF(F1="售价",ROUND(IF(D48="简单平均",AVERAGE(R48:V48),R48*F48+T48*H48+V48*J48),0),ROUND(IF(D48="简单平均",AVERAGE(R48:V48),R48*F48+T48*H48+V48*J48),1))</f>
        <v>#DIV/0!</v>
      </c>
      <c r="S49" s="4421"/>
      <c r="T49" s="4421"/>
      <c r="U49" s="4421"/>
      <c r="V49" s="4421"/>
      <c r="W49" s="4421"/>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1712</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1593</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1630</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1595</v>
      </c>
      <c r="B61" s="308"/>
      <c r="C61" s="320" t="s">
        <v>1690</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1633</v>
      </c>
      <c r="B63" s="323" t="s">
        <v>1599</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1602</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1603</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1604</v>
      </c>
      <c r="B76" s="323" t="s">
        <v>1634</v>
      </c>
      <c r="C76" s="365" t="s">
        <v>1635</v>
      </c>
      <c r="D76" s="365" t="s">
        <v>1636</v>
      </c>
      <c r="E76" s="365" t="s">
        <v>1637</v>
      </c>
      <c r="F76" s="365" t="s">
        <v>1638</v>
      </c>
      <c r="G76" s="365" t="s">
        <v>1639</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1640</v>
      </c>
      <c r="C78" s="369" t="s">
        <v>1635</v>
      </c>
      <c r="D78" s="369" t="s">
        <v>1636</v>
      </c>
      <c r="E78" s="369" t="s">
        <v>1637</v>
      </c>
      <c r="F78" s="369" t="s">
        <v>1638</v>
      </c>
      <c r="G78" s="369" t="s">
        <v>1639</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1641</v>
      </c>
      <c r="C80" s="369" t="s">
        <v>1635</v>
      </c>
      <c r="D80" s="369" t="s">
        <v>1636</v>
      </c>
      <c r="E80" s="369" t="s">
        <v>1637</v>
      </c>
      <c r="F80" s="369" t="s">
        <v>1638</v>
      </c>
      <c r="G80" s="369" t="s">
        <v>1639</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1693</v>
      </c>
      <c r="C82" s="436" t="s">
        <v>1713</v>
      </c>
      <c r="D82" s="436" t="s">
        <v>1714</v>
      </c>
      <c r="E82" s="436" t="s">
        <v>1715</v>
      </c>
      <c r="F82" s="436" t="s">
        <v>1716</v>
      </c>
      <c r="G82" s="436" t="s">
        <v>1717</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1647</v>
      </c>
      <c r="C84" s="369" t="s">
        <v>1635</v>
      </c>
      <c r="D84" s="369" t="s">
        <v>1636</v>
      </c>
      <c r="E84" s="369" t="s">
        <v>1637</v>
      </c>
      <c r="F84" s="369" t="s">
        <v>1638</v>
      </c>
      <c r="G84" s="369" t="s">
        <v>1639</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1718</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1608</v>
      </c>
      <c r="B100" s="323" t="s">
        <v>1719</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1651</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1652</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1654</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1656</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1720</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1721</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1722</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1723</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1658</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1659</v>
      </c>
      <c r="C124" s="369" t="s">
        <v>1635</v>
      </c>
      <c r="D124" s="369" t="s">
        <v>1636</v>
      </c>
      <c r="E124" s="369" t="s">
        <v>1637</v>
      </c>
      <c r="F124" s="369" t="s">
        <v>1638</v>
      </c>
      <c r="G124" s="369" t="s">
        <v>1639</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E2" xr:uid="{00000000-0002-0000-2200-000015000000}">
      <formula1>"需扣减承租人权益,——"</formula1>
    </dataValidation>
    <dataValidation type="list" allowBlank="1" showInputMessage="1" showErrorMessage="1" sqref="H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 type="list" allowBlank="1" showInputMessage="1" showErrorMessage="1" sqref="C2" xr:uid="{00000000-0002-0000-22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1724</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IF(C2="含税",D2,ROUND(D2/(1+F3),0))</f>
        <v>0</v>
      </c>
      <c r="C2" s="2908"/>
      <c r="D2" s="230" t="b">
        <f>IF(E1="项目模式",IF(E2="——",ROUND(C50*D3/10000,0),ROUND(C50*D3/10000,0)-F2),IF(E1="单套模式",IF(E2="——",ROUND(C50*D3/10000,4),ROUND(C50*D3/10000,4)-F2)))</f>
        <v>0</v>
      </c>
      <c r="E2" s="1392"/>
      <c r="F2" s="3971"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f>IF(E2="——",C50,ROUND(B2*10000/D3,0))</f>
        <v>0</v>
      </c>
      <c r="C3" s="235" t="s">
        <v>1682</v>
      </c>
      <c r="D3" s="3003">
        <f>IF(D1="",'数据-汇总表'!E3,SUMIF('数据-汇总表'!$C19:$C33,D1,'数据-汇总表'!$E19:$E33))</f>
        <v>24968.190000000002</v>
      </c>
      <c r="E3" s="4083" t="s">
        <v>3497</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1683</v>
      </c>
      <c r="B4" s="237"/>
      <c r="C4" s="4422" t="s">
        <v>1684</v>
      </c>
      <c r="D4" s="4515"/>
      <c r="E4" s="4516" t="s">
        <v>1685</v>
      </c>
      <c r="F4" s="4517"/>
      <c r="G4" s="4422" t="s">
        <v>1686</v>
      </c>
      <c r="H4" s="4515"/>
      <c r="I4" s="4422" t="s">
        <v>1687</v>
      </c>
      <c r="J4" s="4515"/>
      <c r="K4" s="397" t="s">
        <v>1688</v>
      </c>
      <c r="L4" s="2020"/>
      <c r="M4" s="2021"/>
      <c r="N4" s="2021"/>
      <c r="O4" s="2021"/>
      <c r="P4" s="4518" t="s">
        <v>1689</v>
      </c>
      <c r="Q4" s="4519"/>
      <c r="R4" s="4502" t="s">
        <v>1685</v>
      </c>
      <c r="S4" s="4503"/>
      <c r="T4" s="4502" t="s">
        <v>1686</v>
      </c>
      <c r="U4" s="4503"/>
      <c r="V4" s="4522" t="s">
        <v>1687</v>
      </c>
      <c r="W4" s="4522"/>
      <c r="X4" s="1450"/>
      <c r="Y4" s="4524" t="s">
        <v>1689</v>
      </c>
      <c r="Z4" s="4525"/>
      <c r="AA4" s="4501" t="s">
        <v>1685</v>
      </c>
      <c r="AB4" s="4501" t="s">
        <v>1686</v>
      </c>
      <c r="AC4" s="4512" t="s">
        <v>1687</v>
      </c>
    </row>
    <row r="5" spans="1:29" ht="15">
      <c r="A5" s="239"/>
      <c r="B5" s="240"/>
      <c r="C5" s="4506" t="s">
        <v>1587</v>
      </c>
      <c r="D5" s="4507"/>
      <c r="E5" s="4504" t="s">
        <v>1588</v>
      </c>
      <c r="F5" s="4505"/>
      <c r="G5" s="4506" t="s">
        <v>1589</v>
      </c>
      <c r="H5" s="4507"/>
      <c r="I5" s="4506" t="s">
        <v>1590</v>
      </c>
      <c r="J5" s="4507"/>
      <c r="K5" s="397"/>
      <c r="L5" s="2020"/>
      <c r="M5" s="2021"/>
      <c r="N5" s="2021"/>
      <c r="O5" s="2021"/>
      <c r="P5" s="4520"/>
      <c r="Q5" s="4396"/>
      <c r="R5" s="4377"/>
      <c r="S5" s="4378"/>
      <c r="T5" s="4377"/>
      <c r="U5" s="4378"/>
      <c r="V5" s="4401"/>
      <c r="W5" s="4401"/>
      <c r="X5" s="946"/>
      <c r="Y5" s="4406"/>
      <c r="Z5" s="4407"/>
      <c r="AA5" s="4371"/>
      <c r="AB5" s="4371"/>
      <c r="AC5" s="4513"/>
    </row>
    <row r="6" spans="1:29" ht="15.75" thickBot="1">
      <c r="A6" s="241"/>
      <c r="B6" s="242"/>
      <c r="C6" s="4508" t="s">
        <v>1591</v>
      </c>
      <c r="D6" s="4509"/>
      <c r="E6" s="4510" t="s">
        <v>1591</v>
      </c>
      <c r="F6" s="4511"/>
      <c r="G6" s="4508" t="s">
        <v>1591</v>
      </c>
      <c r="H6" s="4509"/>
      <c r="I6" s="4508" t="s">
        <v>1591</v>
      </c>
      <c r="J6" s="4509"/>
      <c r="K6" s="397" t="s">
        <v>1592</v>
      </c>
      <c r="L6" s="2020"/>
      <c r="M6" s="2021"/>
      <c r="N6" s="2021"/>
      <c r="O6" s="2021"/>
      <c r="P6" s="4521"/>
      <c r="Q6" s="4398"/>
      <c r="R6" s="4377"/>
      <c r="S6" s="4378"/>
      <c r="T6" s="4399"/>
      <c r="U6" s="4400"/>
      <c r="V6" s="4401"/>
      <c r="W6" s="4401"/>
      <c r="X6" s="946"/>
      <c r="Y6" s="4408"/>
      <c r="Z6" s="4409"/>
      <c r="AA6" s="4372"/>
      <c r="AB6" s="4372"/>
      <c r="AC6" s="4514"/>
    </row>
    <row r="7" spans="1:29" s="46" customFormat="1" ht="15.75" thickBot="1">
      <c r="A7" s="243" t="s">
        <v>1593</v>
      </c>
      <c r="B7" s="244"/>
      <c r="C7" s="245">
        <f>'数据-取费表'!B2</f>
        <v>46043</v>
      </c>
      <c r="D7" s="3022">
        <v>100</v>
      </c>
      <c r="E7" s="246"/>
      <c r="F7" s="3972">
        <f>SUMIF(59:59,YEAR(E7)&amp;"-"&amp;MONTH(E7),60:60)</f>
        <v>0</v>
      </c>
      <c r="G7" s="246"/>
      <c r="H7" s="3978">
        <f>SUMIF(59:59,YEAR(G7)&amp;"-"&amp;MONTH(G7),60:60)</f>
        <v>0</v>
      </c>
      <c r="I7" s="246"/>
      <c r="J7" s="3978">
        <f>SUMIF(59:59,YEAR(I7)&amp;"-"&amp;MONTH(I7),60:60)</f>
        <v>0</v>
      </c>
      <c r="K7" s="22"/>
      <c r="L7" s="2022"/>
      <c r="M7" s="1973"/>
      <c r="N7" s="1973"/>
      <c r="O7" s="1973"/>
      <c r="P7" s="4523" t="s">
        <v>1594</v>
      </c>
      <c r="Q7" s="4410"/>
      <c r="R7" s="3854" t="s">
        <v>13</v>
      </c>
      <c r="S7" s="3327">
        <f t="shared" ref="S7:S15" si="0">F7</f>
        <v>0</v>
      </c>
      <c r="T7" s="3854" t="s">
        <v>13</v>
      </c>
      <c r="U7" s="3327">
        <f t="shared" ref="U7:U15" si="1">H7</f>
        <v>0</v>
      </c>
      <c r="V7" s="3854" t="s">
        <v>13</v>
      </c>
      <c r="W7" s="3327">
        <f t="shared" ref="W7:W15" si="2">J7</f>
        <v>0</v>
      </c>
      <c r="X7" s="493"/>
      <c r="Y7" s="4373" t="s">
        <v>1594</v>
      </c>
      <c r="Z7" s="4374"/>
      <c r="AA7" s="28" t="e">
        <f>D7/F7</f>
        <v>#DIV/0!</v>
      </c>
      <c r="AB7" s="28" t="e">
        <f>D7/H7</f>
        <v>#DIV/0!</v>
      </c>
      <c r="AC7" s="573" t="e">
        <f>D7/J7</f>
        <v>#DIV/0!</v>
      </c>
    </row>
    <row r="8" spans="1:29" s="46" customFormat="1" ht="15.75" thickBot="1">
      <c r="A8" s="243" t="s">
        <v>1595</v>
      </c>
      <c r="B8" s="244"/>
      <c r="C8" s="247"/>
      <c r="D8" s="3022">
        <v>100</v>
      </c>
      <c r="E8" s="247"/>
      <c r="F8" s="3972">
        <f>SUMIF(62:62,E8,63:63)-SUMIF(62:62,C8,63:63)+100</f>
        <v>100</v>
      </c>
      <c r="G8" s="247"/>
      <c r="H8" s="3978">
        <f>SUMIF(62:62,G8,63:63)-SUMIF(62:62,C8,63:63)+100</f>
        <v>100</v>
      </c>
      <c r="I8" s="247"/>
      <c r="J8" s="3978">
        <f>SUMIF(62:62,I8,63:63)-SUMIF(62:62,C8,63:63)+100</f>
        <v>100</v>
      </c>
      <c r="K8" s="22"/>
      <c r="L8" s="2022"/>
      <c r="M8" s="1973"/>
      <c r="N8" s="1973"/>
      <c r="O8" s="1973"/>
      <c r="P8" s="4523" t="s">
        <v>1597</v>
      </c>
      <c r="Q8" s="4403"/>
      <c r="R8" s="3854" t="s">
        <v>13</v>
      </c>
      <c r="S8" s="3327">
        <f t="shared" si="0"/>
        <v>100</v>
      </c>
      <c r="T8" s="3854" t="s">
        <v>13</v>
      </c>
      <c r="U8" s="3327">
        <f t="shared" si="1"/>
        <v>100</v>
      </c>
      <c r="V8" s="3854" t="s">
        <v>13</v>
      </c>
      <c r="W8" s="3327">
        <f t="shared" si="2"/>
        <v>100</v>
      </c>
      <c r="X8" s="493"/>
      <c r="Y8" s="4373" t="s">
        <v>1597</v>
      </c>
      <c r="Z8" s="4374"/>
      <c r="AA8" s="28">
        <f t="shared" ref="AA8:AA47" si="3">D8/F8</f>
        <v>1</v>
      </c>
      <c r="AB8" s="28">
        <f t="shared" ref="AB8:AB47" si="4">D8/H8</f>
        <v>1</v>
      </c>
      <c r="AC8" s="573">
        <f t="shared" ref="AC8:AC47" si="5">D8/J8</f>
        <v>1</v>
      </c>
    </row>
    <row r="9" spans="1:29" s="46" customFormat="1">
      <c r="A9" s="248" t="s">
        <v>1598</v>
      </c>
      <c r="B9" s="34" t="s">
        <v>1599</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38" t="s">
        <v>1600</v>
      </c>
      <c r="Q9" s="1742" t="str">
        <f t="shared" ref="Q9:Q15" si="6">B9</f>
        <v>用途</v>
      </c>
      <c r="R9" s="3854" t="s">
        <v>13</v>
      </c>
      <c r="S9" s="3327">
        <f t="shared" si="0"/>
        <v>100</v>
      </c>
      <c r="T9" s="3854" t="s">
        <v>13</v>
      </c>
      <c r="U9" s="3327">
        <f t="shared" si="1"/>
        <v>100</v>
      </c>
      <c r="V9" s="3854" t="s">
        <v>13</v>
      </c>
      <c r="W9" s="3327">
        <f t="shared" si="2"/>
        <v>100</v>
      </c>
      <c r="X9" s="493"/>
      <c r="Y9" s="4388" t="s">
        <v>1601</v>
      </c>
      <c r="Z9" s="28" t="str">
        <f t="shared" ref="Z9:Z15" si="7">Q9</f>
        <v>用途</v>
      </c>
      <c r="AA9" s="28">
        <f t="shared" si="3"/>
        <v>1</v>
      </c>
      <c r="AB9" s="28">
        <f t="shared" si="4"/>
        <v>1</v>
      </c>
      <c r="AC9" s="573">
        <f t="shared" si="5"/>
        <v>1</v>
      </c>
    </row>
    <row r="10" spans="1:29" s="254" customFormat="1" ht="27">
      <c r="A10" s="252"/>
      <c r="B10" s="253" t="s">
        <v>1602</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38"/>
      <c r="Q10" s="1742" t="str">
        <f t="shared" si="6"/>
        <v>土地使用年限（年）</v>
      </c>
      <c r="R10" s="3854" t="s">
        <v>13</v>
      </c>
      <c r="S10" s="3327">
        <f t="shared" si="0"/>
        <v>100</v>
      </c>
      <c r="T10" s="3854" t="s">
        <v>13</v>
      </c>
      <c r="U10" s="3327">
        <f t="shared" si="1"/>
        <v>100</v>
      </c>
      <c r="V10" s="3854" t="s">
        <v>13</v>
      </c>
      <c r="W10" s="3327">
        <f t="shared" si="2"/>
        <v>100</v>
      </c>
      <c r="X10" s="493"/>
      <c r="Y10" s="4388"/>
      <c r="Z10" s="28" t="str">
        <f t="shared" si="7"/>
        <v>土地使用年限（年）</v>
      </c>
      <c r="AA10" s="28">
        <f t="shared" si="3"/>
        <v>1</v>
      </c>
      <c r="AB10" s="28">
        <f t="shared" si="4"/>
        <v>1</v>
      </c>
      <c r="AC10" s="573">
        <f t="shared" si="5"/>
        <v>1</v>
      </c>
    </row>
    <row r="11" spans="1:29" ht="15">
      <c r="A11" s="255"/>
      <c r="B11" s="253" t="s">
        <v>1603</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38"/>
      <c r="Q11" s="1742" t="str">
        <f t="shared" si="6"/>
        <v>容积率</v>
      </c>
      <c r="R11" s="3854" t="s">
        <v>13</v>
      </c>
      <c r="S11" s="3327">
        <f t="shared" si="0"/>
        <v>100</v>
      </c>
      <c r="T11" s="3854" t="s">
        <v>13</v>
      </c>
      <c r="U11" s="3327">
        <f t="shared" si="1"/>
        <v>100</v>
      </c>
      <c r="V11" s="3854" t="s">
        <v>13</v>
      </c>
      <c r="W11" s="3327">
        <f t="shared" si="2"/>
        <v>100</v>
      </c>
      <c r="X11" s="493"/>
      <c r="Y11" s="4388"/>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38"/>
      <c r="Q12" s="1742">
        <f t="shared" si="6"/>
        <v>111</v>
      </c>
      <c r="R12" s="3854" t="s">
        <v>13</v>
      </c>
      <c r="S12" s="3327">
        <f t="shared" si="0"/>
        <v>100</v>
      </c>
      <c r="T12" s="3854" t="s">
        <v>13</v>
      </c>
      <c r="U12" s="3327">
        <f t="shared" si="1"/>
        <v>100</v>
      </c>
      <c r="V12" s="3854" t="s">
        <v>13</v>
      </c>
      <c r="W12" s="3327">
        <f t="shared" si="2"/>
        <v>100</v>
      </c>
      <c r="X12" s="493"/>
      <c r="Y12" s="4388"/>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38"/>
      <c r="Q13" s="1742">
        <f t="shared" si="6"/>
        <v>111</v>
      </c>
      <c r="R13" s="3854" t="s">
        <v>13</v>
      </c>
      <c r="S13" s="3327">
        <f t="shared" si="0"/>
        <v>100</v>
      </c>
      <c r="T13" s="3854" t="s">
        <v>13</v>
      </c>
      <c r="U13" s="3327">
        <f t="shared" si="1"/>
        <v>100</v>
      </c>
      <c r="V13" s="3854" t="s">
        <v>13</v>
      </c>
      <c r="W13" s="3327">
        <f t="shared" si="2"/>
        <v>100</v>
      </c>
      <c r="X13" s="493"/>
      <c r="Y13" s="4388"/>
      <c r="Z13" s="28">
        <f t="shared" si="7"/>
        <v>111</v>
      </c>
      <c r="AA13" s="28">
        <f t="shared" si="3"/>
        <v>1</v>
      </c>
      <c r="AB13" s="28">
        <f t="shared" si="4"/>
        <v>1</v>
      </c>
      <c r="AC13" s="573">
        <f t="shared" si="5"/>
        <v>1</v>
      </c>
    </row>
    <row r="14" spans="1:29" ht="15.75"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38"/>
      <c r="Q14" s="1742">
        <f t="shared" si="6"/>
        <v>111</v>
      </c>
      <c r="R14" s="3854" t="s">
        <v>13</v>
      </c>
      <c r="S14" s="3327">
        <f t="shared" si="0"/>
        <v>100</v>
      </c>
      <c r="T14" s="3854" t="s">
        <v>13</v>
      </c>
      <c r="U14" s="3327">
        <f t="shared" si="1"/>
        <v>100</v>
      </c>
      <c r="V14" s="3854" t="s">
        <v>13</v>
      </c>
      <c r="W14" s="3327">
        <f t="shared" si="2"/>
        <v>100</v>
      </c>
      <c r="X14" s="493"/>
      <c r="Y14" s="4388"/>
      <c r="Z14" s="28">
        <f t="shared" si="7"/>
        <v>111</v>
      </c>
      <c r="AA14" s="28">
        <f t="shared" si="3"/>
        <v>1</v>
      </c>
      <c r="AB14" s="28">
        <f t="shared" si="4"/>
        <v>1</v>
      </c>
      <c r="AC14" s="573">
        <f t="shared" si="5"/>
        <v>1</v>
      </c>
    </row>
    <row r="15" spans="1:29" ht="15">
      <c r="A15" s="263" t="s">
        <v>1604</v>
      </c>
      <c r="B15" s="411" t="s">
        <v>1725</v>
      </c>
      <c r="C15" s="1452">
        <f>估价对象房地状况!C5</f>
        <v>0</v>
      </c>
      <c r="D15" s="3028">
        <v>100</v>
      </c>
      <c r="E15" s="265"/>
      <c r="F15" s="3974">
        <f>SUMIF(77:77,E16,78:78)-SUMIF(77:77,C16,78:78)+100</f>
        <v>100</v>
      </c>
      <c r="G15" s="264"/>
      <c r="H15" s="3974">
        <f>SUMIF(77:77,G16,78:78)-SUMIF(77:77,C16,78:78)+100</f>
        <v>100</v>
      </c>
      <c r="I15" s="264"/>
      <c r="J15" s="3974">
        <f>SUMIF(77:77,I16,78:78)-SUMIF(77:77,C16,78:78)+100</f>
        <v>100</v>
      </c>
      <c r="K15" s="400"/>
      <c r="L15" s="2026"/>
      <c r="M15" s="2021"/>
      <c r="N15" s="2021"/>
      <c r="O15" s="2021"/>
      <c r="P15" s="4443" t="s">
        <v>1605</v>
      </c>
      <c r="Q15" s="1544" t="str">
        <f t="shared" si="6"/>
        <v>办公集聚程度</v>
      </c>
      <c r="R15" s="3960" t="s">
        <v>13</v>
      </c>
      <c r="S15" s="3328">
        <f t="shared" si="0"/>
        <v>100</v>
      </c>
      <c r="T15" s="3960" t="s">
        <v>13</v>
      </c>
      <c r="U15" s="3328">
        <f t="shared" si="1"/>
        <v>100</v>
      </c>
      <c r="V15" s="3960" t="s">
        <v>13</v>
      </c>
      <c r="W15" s="3328">
        <f t="shared" si="2"/>
        <v>100</v>
      </c>
      <c r="X15" s="946"/>
      <c r="Y15" s="4413" t="s">
        <v>1605</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44"/>
      <c r="Q16" s="1544"/>
      <c r="R16" s="3960"/>
      <c r="S16" s="3328"/>
      <c r="T16" s="3960"/>
      <c r="U16" s="3328"/>
      <c r="V16" s="3960"/>
      <c r="W16" s="3328"/>
      <c r="X16" s="946"/>
      <c r="Y16" s="4414"/>
      <c r="Z16" s="944"/>
      <c r="AA16" s="944">
        <v>1</v>
      </c>
      <c r="AB16" s="944">
        <v>1</v>
      </c>
      <c r="AC16" s="1453">
        <v>1</v>
      </c>
    </row>
    <row r="17" spans="1:29" ht="15">
      <c r="A17" s="255"/>
      <c r="B17" s="413" t="s">
        <v>1242</v>
      </c>
      <c r="C17" s="1454">
        <f>估价对象房地状况!C6</f>
        <v>0</v>
      </c>
      <c r="D17" s="3030">
        <v>100</v>
      </c>
      <c r="E17" s="272"/>
      <c r="F17" s="269">
        <f>SUMIF(79:79,E18,80:80)-SUMIF(79:79,C18,80:80)+100</f>
        <v>100</v>
      </c>
      <c r="G17" s="271"/>
      <c r="H17" s="3975">
        <f>SUMIF(79:79,G18,80:80)-SUMIF(79:79,C18,80:80)+100</f>
        <v>100</v>
      </c>
      <c r="I17" s="271"/>
      <c r="J17" s="3975">
        <f>SUMIF(79:79,I18,80:80)-SUMIF(79:79,C18,80:80)+100</f>
        <v>100</v>
      </c>
      <c r="K17" s="400"/>
      <c r="L17" s="2026"/>
      <c r="M17" s="2021"/>
      <c r="N17" s="2021"/>
      <c r="O17" s="2021"/>
      <c r="P17" s="4444"/>
      <c r="Q17" s="1544" t="str">
        <f>B17</f>
        <v>交通便捷度</v>
      </c>
      <c r="R17" s="3960" t="s">
        <v>13</v>
      </c>
      <c r="S17" s="3328">
        <f>F17</f>
        <v>100</v>
      </c>
      <c r="T17" s="3960" t="s">
        <v>13</v>
      </c>
      <c r="U17" s="3328">
        <f>H17</f>
        <v>100</v>
      </c>
      <c r="V17" s="3960" t="s">
        <v>13</v>
      </c>
      <c r="W17" s="3328">
        <f>J17</f>
        <v>100</v>
      </c>
      <c r="X17" s="946"/>
      <c r="Y17" s="4414"/>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44"/>
      <c r="Q18" s="1544"/>
      <c r="R18" s="3960"/>
      <c r="S18" s="3328"/>
      <c r="T18" s="3960"/>
      <c r="U18" s="3328"/>
      <c r="V18" s="3960"/>
      <c r="W18" s="3328"/>
      <c r="X18" s="946"/>
      <c r="Y18" s="4414"/>
      <c r="Z18" s="944"/>
      <c r="AA18" s="944">
        <v>1</v>
      </c>
      <c r="AB18" s="944">
        <v>1</v>
      </c>
      <c r="AC18" s="1453">
        <v>1</v>
      </c>
    </row>
    <row r="19" spans="1:29" ht="15">
      <c r="A19" s="255"/>
      <c r="B19" s="413" t="s">
        <v>1726</v>
      </c>
      <c r="C19" s="1454">
        <f>估价对象房地状况!C7</f>
        <v>0</v>
      </c>
      <c r="D19" s="3031">
        <v>100</v>
      </c>
      <c r="E19" s="275"/>
      <c r="F19" s="3975">
        <f>SUMIF(81:81,E20,82:82)-SUMIF(81:81,C20,82:82)+100</f>
        <v>100</v>
      </c>
      <c r="G19" s="274"/>
      <c r="H19" s="269">
        <f>SUMIF(81:81,G20,82:82)-SUMIF(81:81,C20,82:82)+100</f>
        <v>100</v>
      </c>
      <c r="I19" s="274"/>
      <c r="J19" s="269">
        <f>SUMIF(81:81,I20,82:82)-SUMIF(81:81,C20,82:82)+100</f>
        <v>100</v>
      </c>
      <c r="K19" s="400"/>
      <c r="L19" s="2026"/>
      <c r="M19" s="2021"/>
      <c r="N19" s="2021"/>
      <c r="O19" s="2021"/>
      <c r="P19" s="4444"/>
      <c r="Q19" s="1544" t="str">
        <f>B19</f>
        <v>公共配套设施</v>
      </c>
      <c r="R19" s="3960" t="s">
        <v>13</v>
      </c>
      <c r="S19" s="3328">
        <f>F19</f>
        <v>100</v>
      </c>
      <c r="T19" s="3960" t="s">
        <v>13</v>
      </c>
      <c r="U19" s="3328">
        <f>H19</f>
        <v>100</v>
      </c>
      <c r="V19" s="3960" t="s">
        <v>13</v>
      </c>
      <c r="W19" s="3328">
        <f>J19</f>
        <v>100</v>
      </c>
      <c r="X19" s="946"/>
      <c r="Y19" s="4414"/>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44"/>
      <c r="Q20" s="1544"/>
      <c r="R20" s="3960"/>
      <c r="S20" s="3328"/>
      <c r="T20" s="3960"/>
      <c r="U20" s="3328"/>
      <c r="V20" s="3960"/>
      <c r="W20" s="3328"/>
      <c r="X20" s="946"/>
      <c r="Y20" s="4414"/>
      <c r="Z20" s="944"/>
      <c r="AA20" s="944">
        <v>1</v>
      </c>
      <c r="AB20" s="944">
        <v>1</v>
      </c>
      <c r="AC20" s="1453">
        <v>1</v>
      </c>
    </row>
    <row r="21" spans="1:29" ht="15">
      <c r="A21" s="255"/>
      <c r="B21" s="415" t="s">
        <v>1727</v>
      </c>
      <c r="C21" s="1454">
        <f>估价对象房地状况!C8</f>
        <v>0</v>
      </c>
      <c r="D21" s="3030">
        <v>100</v>
      </c>
      <c r="E21" s="275"/>
      <c r="F21" s="3975">
        <f>SUMIF(83:83,E22,84:84)-SUMIF(83:83,C22,84:84)+100</f>
        <v>100</v>
      </c>
      <c r="G21" s="274"/>
      <c r="H21" s="269">
        <f>SUMIF(83:83,G22,84:84)-SUMIF(83:83,C22,84:84)+100</f>
        <v>100</v>
      </c>
      <c r="I21" s="274"/>
      <c r="J21" s="269">
        <f>SUMIF(83:83,I22,84:84)-SUMIF(83:83,C22,84:84)+100</f>
        <v>100</v>
      </c>
      <c r="K21" s="400"/>
      <c r="L21" s="2026"/>
      <c r="M21" s="2021"/>
      <c r="N21" s="2021"/>
      <c r="O21" s="2021"/>
      <c r="P21" s="4444"/>
      <c r="Q21" s="1544" t="str">
        <f>B21</f>
        <v>基础设施水平</v>
      </c>
      <c r="R21" s="3960" t="s">
        <v>13</v>
      </c>
      <c r="S21" s="3328">
        <f>F21</f>
        <v>100</v>
      </c>
      <c r="T21" s="3960" t="s">
        <v>13</v>
      </c>
      <c r="U21" s="3328">
        <f>H21</f>
        <v>100</v>
      </c>
      <c r="V21" s="3960" t="s">
        <v>13</v>
      </c>
      <c r="W21" s="3328">
        <f>J21</f>
        <v>100</v>
      </c>
      <c r="X21" s="946"/>
      <c r="Y21" s="4414"/>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44"/>
      <c r="Q22" s="1544"/>
      <c r="R22" s="3960"/>
      <c r="S22" s="3328"/>
      <c r="T22" s="3960"/>
      <c r="U22" s="3328"/>
      <c r="V22" s="3960"/>
      <c r="W22" s="3328"/>
      <c r="X22" s="946"/>
      <c r="Y22" s="4414"/>
      <c r="Z22" s="944"/>
      <c r="AA22" s="944">
        <v>1</v>
      </c>
      <c r="AB22" s="944">
        <v>1</v>
      </c>
      <c r="AC22" s="1453">
        <v>1</v>
      </c>
    </row>
    <row r="23" spans="1:29" ht="15">
      <c r="A23" s="255"/>
      <c r="B23" s="413" t="s">
        <v>1728</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4"/>
      <c r="Q23" s="1544" t="str">
        <f>B23</f>
        <v>环境质量</v>
      </c>
      <c r="R23" s="3960" t="s">
        <v>13</v>
      </c>
      <c r="S23" s="3328">
        <f>F23</f>
        <v>100</v>
      </c>
      <c r="T23" s="3960" t="s">
        <v>13</v>
      </c>
      <c r="U23" s="3328">
        <f>H23</f>
        <v>100</v>
      </c>
      <c r="V23" s="3960" t="s">
        <v>13</v>
      </c>
      <c r="W23" s="3328">
        <f>J23</f>
        <v>100</v>
      </c>
      <c r="X23" s="946"/>
      <c r="Y23" s="4414"/>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44"/>
      <c r="Q24" s="1544"/>
      <c r="R24" s="3960"/>
      <c r="S24" s="3328"/>
      <c r="T24" s="3960"/>
      <c r="U24" s="3328"/>
      <c r="V24" s="3960"/>
      <c r="W24" s="3328"/>
      <c r="X24" s="946"/>
      <c r="Y24" s="4414"/>
      <c r="Z24" s="944"/>
      <c r="AA24" s="944">
        <v>1</v>
      </c>
      <c r="AB24" s="944">
        <v>1</v>
      </c>
      <c r="AC24" s="1453">
        <v>1</v>
      </c>
    </row>
    <row r="25" spans="1:29" ht="27">
      <c r="A25" s="239"/>
      <c r="B25" s="413" t="s">
        <v>1729</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444"/>
      <c r="Q25" s="1544" t="str">
        <f>B25</f>
        <v>毗邻道路的类型与等级</v>
      </c>
      <c r="R25" s="3960" t="s">
        <v>13</v>
      </c>
      <c r="S25" s="3328">
        <f>F25</f>
        <v>100</v>
      </c>
      <c r="T25" s="3960" t="s">
        <v>13</v>
      </c>
      <c r="U25" s="3328">
        <f>H25</f>
        <v>100</v>
      </c>
      <c r="V25" s="3960" t="s">
        <v>13</v>
      </c>
      <c r="W25" s="3328">
        <f>J25</f>
        <v>100</v>
      </c>
      <c r="X25" s="946"/>
      <c r="Y25" s="4414"/>
      <c r="Z25" s="944" t="str">
        <f>Q25</f>
        <v>毗邻道路的类型与等级</v>
      </c>
      <c r="AA25" s="944">
        <f t="shared" si="3"/>
        <v>1</v>
      </c>
      <c r="AB25" s="944">
        <f t="shared" si="4"/>
        <v>1</v>
      </c>
      <c r="AC25" s="1453">
        <f t="shared" si="5"/>
        <v>1</v>
      </c>
    </row>
    <row r="26" spans="1:29" ht="15">
      <c r="A26" s="239"/>
      <c r="B26" s="414"/>
      <c r="C26" s="416"/>
      <c r="D26" s="3026"/>
      <c r="E26" s="402"/>
      <c r="F26" s="3976"/>
      <c r="G26" s="416"/>
      <c r="H26" s="3976"/>
      <c r="I26" s="402"/>
      <c r="J26" s="3976"/>
      <c r="K26" s="401"/>
      <c r="L26" s="2026"/>
      <c r="M26" s="2021"/>
      <c r="N26" s="2021"/>
      <c r="O26" s="2021"/>
      <c r="P26" s="4444"/>
      <c r="Q26" s="1544"/>
      <c r="R26" s="3960"/>
      <c r="S26" s="3328"/>
      <c r="T26" s="3960"/>
      <c r="U26" s="3328"/>
      <c r="V26" s="3960"/>
      <c r="W26" s="3328"/>
      <c r="X26" s="946"/>
      <c r="Y26" s="4414"/>
      <c r="Z26" s="944"/>
      <c r="AA26" s="944">
        <v>1</v>
      </c>
      <c r="AB26" s="944">
        <v>1</v>
      </c>
      <c r="AC26" s="1453">
        <v>1</v>
      </c>
    </row>
    <row r="27" spans="1:29" ht="15">
      <c r="A27" s="255"/>
      <c r="B27" s="414" t="s">
        <v>1697</v>
      </c>
      <c r="C27" s="416"/>
      <c r="D27" s="3026">
        <v>100</v>
      </c>
      <c r="E27" s="402"/>
      <c r="F27" s="3976">
        <f>SUMIF(89:89,E27,90:90)-SUMIF(89:89,C27,90:90)+100</f>
        <v>100</v>
      </c>
      <c r="G27" s="416"/>
      <c r="H27" s="3976">
        <f>SUMIF(89:89,G27,90:90)-SUMIF(89:89,C27,90:90)+100</f>
        <v>100</v>
      </c>
      <c r="I27" s="402"/>
      <c r="J27" s="3976">
        <f>SUMIF(89:89,I27,90:90)-SUMIF(89:89,C27,90:90)+100</f>
        <v>100</v>
      </c>
      <c r="K27" s="398"/>
      <c r="L27" s="2026"/>
      <c r="M27" s="2021"/>
      <c r="N27" s="2021"/>
      <c r="O27" s="2021"/>
      <c r="P27" s="4444"/>
      <c r="Q27" s="1544" t="str">
        <f t="shared" ref="Q27:Q47" si="11">B27</f>
        <v>楼层</v>
      </c>
      <c r="R27" s="3960" t="s">
        <v>13</v>
      </c>
      <c r="S27" s="3328">
        <f>F27</f>
        <v>100</v>
      </c>
      <c r="T27" s="3960" t="s">
        <v>13</v>
      </c>
      <c r="U27" s="3328">
        <f>H27</f>
        <v>100</v>
      </c>
      <c r="V27" s="3960" t="s">
        <v>13</v>
      </c>
      <c r="W27" s="3328">
        <f>J27</f>
        <v>100</v>
      </c>
      <c r="X27" s="946"/>
      <c r="Y27" s="4414"/>
      <c r="Z27" s="944" t="str">
        <f>Q27</f>
        <v>楼层</v>
      </c>
      <c r="AA27" s="944">
        <f t="shared" si="3"/>
        <v>1</v>
      </c>
      <c r="AB27" s="944">
        <f t="shared" si="4"/>
        <v>1</v>
      </c>
      <c r="AC27" s="1453">
        <f t="shared" si="5"/>
        <v>1</v>
      </c>
    </row>
    <row r="28" spans="1:29" s="46" customFormat="1" ht="15">
      <c r="A28" s="258"/>
      <c r="B28" s="413" t="s">
        <v>1730</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44"/>
      <c r="Q28" s="1742" t="str">
        <f t="shared" si="11"/>
        <v>朝向</v>
      </c>
      <c r="R28" s="3854" t="s">
        <v>13</v>
      </c>
      <c r="S28" s="3327">
        <f>F28</f>
        <v>100</v>
      </c>
      <c r="T28" s="3854" t="s">
        <v>13</v>
      </c>
      <c r="U28" s="3327">
        <f>H28</f>
        <v>100</v>
      </c>
      <c r="V28" s="3854" t="s">
        <v>13</v>
      </c>
      <c r="W28" s="3327">
        <f>J28</f>
        <v>100</v>
      </c>
      <c r="X28" s="493"/>
      <c r="Y28" s="4414"/>
      <c r="Z28" s="28" t="str">
        <f>Q28</f>
        <v>朝向</v>
      </c>
      <c r="AA28" s="944">
        <f>D28/F28</f>
        <v>1</v>
      </c>
      <c r="AB28" s="944">
        <f>D28/H28</f>
        <v>1</v>
      </c>
      <c r="AC28" s="1453">
        <f>D28/J28</f>
        <v>1</v>
      </c>
    </row>
    <row r="29" spans="1:29" ht="1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444"/>
      <c r="Q29" s="1544">
        <f t="shared" si="11"/>
        <v>111</v>
      </c>
      <c r="R29" s="3960" t="s">
        <v>13</v>
      </c>
      <c r="S29" s="3328">
        <f t="shared" ref="S29:S47" si="12">F29</f>
        <v>100</v>
      </c>
      <c r="T29" s="3960" t="s">
        <v>13</v>
      </c>
      <c r="U29" s="3328">
        <f t="shared" ref="U29:U47" si="13">H29</f>
        <v>100</v>
      </c>
      <c r="V29" s="3960" t="s">
        <v>13</v>
      </c>
      <c r="W29" s="3328">
        <f t="shared" ref="W29:W47" si="14">J29</f>
        <v>100</v>
      </c>
      <c r="X29" s="946"/>
      <c r="Y29" s="4414"/>
      <c r="Z29" s="944">
        <f t="shared" ref="Z29:Z47" si="15">Q29</f>
        <v>111</v>
      </c>
      <c r="AA29" s="944">
        <f t="shared" si="3"/>
        <v>1</v>
      </c>
      <c r="AB29" s="944">
        <f t="shared" si="4"/>
        <v>1</v>
      </c>
      <c r="AC29" s="1453">
        <f t="shared" si="5"/>
        <v>1</v>
      </c>
    </row>
    <row r="30" spans="1:29" ht="1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444"/>
      <c r="Q30" s="1544">
        <f t="shared" si="11"/>
        <v>111</v>
      </c>
      <c r="R30" s="3960" t="s">
        <v>13</v>
      </c>
      <c r="S30" s="3328">
        <f t="shared" si="12"/>
        <v>100</v>
      </c>
      <c r="T30" s="3960" t="s">
        <v>13</v>
      </c>
      <c r="U30" s="3328">
        <f t="shared" si="13"/>
        <v>100</v>
      </c>
      <c r="V30" s="3960" t="s">
        <v>13</v>
      </c>
      <c r="W30" s="3328">
        <f t="shared" si="14"/>
        <v>100</v>
      </c>
      <c r="X30" s="946"/>
      <c r="Y30" s="4414"/>
      <c r="Z30" s="944">
        <f t="shared" si="15"/>
        <v>111</v>
      </c>
      <c r="AA30" s="944">
        <f t="shared" si="3"/>
        <v>1</v>
      </c>
      <c r="AB30" s="944">
        <f t="shared" si="4"/>
        <v>1</v>
      </c>
      <c r="AC30" s="1453">
        <f t="shared" si="5"/>
        <v>1</v>
      </c>
    </row>
    <row r="31" spans="1:29" ht="1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444"/>
      <c r="Q31" s="1544">
        <f t="shared" si="11"/>
        <v>111</v>
      </c>
      <c r="R31" s="3960" t="s">
        <v>13</v>
      </c>
      <c r="S31" s="3328">
        <f t="shared" si="12"/>
        <v>100</v>
      </c>
      <c r="T31" s="3960" t="s">
        <v>13</v>
      </c>
      <c r="U31" s="3328">
        <f t="shared" si="13"/>
        <v>100</v>
      </c>
      <c r="V31" s="3960" t="s">
        <v>13</v>
      </c>
      <c r="W31" s="3328">
        <f t="shared" si="14"/>
        <v>100</v>
      </c>
      <c r="X31" s="946"/>
      <c r="Y31" s="4414"/>
      <c r="Z31" s="944">
        <f t="shared" si="15"/>
        <v>111</v>
      </c>
      <c r="AA31" s="944">
        <f t="shared" si="3"/>
        <v>1</v>
      </c>
      <c r="AB31" s="944">
        <f t="shared" si="4"/>
        <v>1</v>
      </c>
      <c r="AC31" s="1453">
        <f t="shared" si="5"/>
        <v>1</v>
      </c>
    </row>
    <row r="32" spans="1:29" ht="15.75"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444"/>
      <c r="Q32" s="1544">
        <f t="shared" si="11"/>
        <v>111</v>
      </c>
      <c r="R32" s="3960" t="s">
        <v>13</v>
      </c>
      <c r="S32" s="3328">
        <f t="shared" si="12"/>
        <v>100</v>
      </c>
      <c r="T32" s="3960" t="s">
        <v>13</v>
      </c>
      <c r="U32" s="3328">
        <f t="shared" si="13"/>
        <v>100</v>
      </c>
      <c r="V32" s="3960" t="s">
        <v>13</v>
      </c>
      <c r="W32" s="3328">
        <f t="shared" si="14"/>
        <v>100</v>
      </c>
      <c r="X32" s="946"/>
      <c r="Y32" s="4414"/>
      <c r="Z32" s="944">
        <f t="shared" si="15"/>
        <v>111</v>
      </c>
      <c r="AA32" s="944">
        <f t="shared" si="3"/>
        <v>1</v>
      </c>
      <c r="AB32" s="944">
        <f t="shared" si="4"/>
        <v>1</v>
      </c>
      <c r="AC32" s="1453">
        <f t="shared" si="5"/>
        <v>1</v>
      </c>
    </row>
    <row r="33" spans="1:29" ht="15">
      <c r="A33" s="263" t="s">
        <v>1608</v>
      </c>
      <c r="B33" s="34" t="s">
        <v>1731</v>
      </c>
      <c r="C33" s="1457"/>
      <c r="D33" s="3033">
        <v>100</v>
      </c>
      <c r="E33" s="1457"/>
      <c r="F33" s="945">
        <f>SUMIF(101:101,E33,102:102)-SUMIF(101:101,C33,102:102)+100</f>
        <v>100</v>
      </c>
      <c r="G33" s="1457"/>
      <c r="H33" s="3976">
        <f>SUMIF(101:101,G33,102:102)-SUMIF(101:101,C33,102:102)+100</f>
        <v>100</v>
      </c>
      <c r="I33" s="1457"/>
      <c r="J33" s="3979">
        <f>SUMIF(101:101,I33,102:102)-SUMIF(101:101,C33,102:102)+100</f>
        <v>100</v>
      </c>
      <c r="K33" s="398"/>
      <c r="L33" s="2026"/>
      <c r="M33" s="2021"/>
      <c r="N33" s="2021"/>
      <c r="O33" s="2021"/>
      <c r="P33" s="4439" t="s">
        <v>1610</v>
      </c>
      <c r="Q33" s="1544" t="str">
        <f t="shared" si="11"/>
        <v>建筑类型</v>
      </c>
      <c r="R33" s="3960" t="s">
        <v>13</v>
      </c>
      <c r="S33" s="3328">
        <f t="shared" si="12"/>
        <v>100</v>
      </c>
      <c r="T33" s="3960" t="s">
        <v>13</v>
      </c>
      <c r="U33" s="3328">
        <f t="shared" si="13"/>
        <v>100</v>
      </c>
      <c r="V33" s="3960" t="s">
        <v>13</v>
      </c>
      <c r="W33" s="3328">
        <f t="shared" si="14"/>
        <v>100</v>
      </c>
      <c r="X33" s="946"/>
      <c r="Y33" s="4417" t="s">
        <v>1610</v>
      </c>
      <c r="Z33" s="944" t="str">
        <f t="shared" si="15"/>
        <v>建筑类型</v>
      </c>
      <c r="AA33" s="944">
        <f t="shared" si="3"/>
        <v>1</v>
      </c>
      <c r="AB33" s="944">
        <f t="shared" si="4"/>
        <v>1</v>
      </c>
      <c r="AC33" s="1453">
        <f t="shared" si="5"/>
        <v>1</v>
      </c>
    </row>
    <row r="34" spans="1:29" s="280" customFormat="1" ht="15">
      <c r="A34" s="278"/>
      <c r="B34" s="253" t="s">
        <v>1611</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40"/>
      <c r="Q34" s="392" t="str">
        <f t="shared" si="11"/>
        <v>项目建筑规模</v>
      </c>
      <c r="R34" s="3961" t="s">
        <v>13</v>
      </c>
      <c r="S34" s="3329" t="e">
        <f t="shared" si="12"/>
        <v>#N/A</v>
      </c>
      <c r="T34" s="3961" t="s">
        <v>13</v>
      </c>
      <c r="U34" s="3329" t="e">
        <f t="shared" si="13"/>
        <v>#N/A</v>
      </c>
      <c r="V34" s="3961" t="s">
        <v>13</v>
      </c>
      <c r="W34" s="3329" t="e">
        <f t="shared" si="14"/>
        <v>#N/A</v>
      </c>
      <c r="X34" s="494"/>
      <c r="Y34" s="4417"/>
      <c r="Z34" s="495" t="str">
        <f t="shared" si="15"/>
        <v>项目建筑规模</v>
      </c>
      <c r="AA34" s="944" t="e">
        <f t="shared" si="3"/>
        <v>#N/A</v>
      </c>
      <c r="AB34" s="944" t="e">
        <f t="shared" si="4"/>
        <v>#N/A</v>
      </c>
      <c r="AC34" s="1453" t="e">
        <f t="shared" si="5"/>
        <v>#N/A</v>
      </c>
    </row>
    <row r="35" spans="1:29" ht="15">
      <c r="A35" s="281"/>
      <c r="B35" s="253" t="s">
        <v>1612</v>
      </c>
      <c r="C35" s="276"/>
      <c r="D35" s="3026">
        <v>100</v>
      </c>
      <c r="E35" s="276"/>
      <c r="F35" s="945">
        <f>SUMIF(106:106,E35,107:107)-SUMIF(106:106,C35,107:107)+100</f>
        <v>100</v>
      </c>
      <c r="G35" s="276"/>
      <c r="H35" s="3976">
        <f>SUMIF(106:106,G35,107:107)-SUMIF(106:106,C35,107:107)+100</f>
        <v>100</v>
      </c>
      <c r="I35" s="276"/>
      <c r="J35" s="3976">
        <f>SUMIF(106:106,I35,107:107)-SUMIF(106:106,C35,107:107)+100</f>
        <v>100</v>
      </c>
      <c r="K35" s="398"/>
      <c r="L35" s="2026"/>
      <c r="M35" s="2021"/>
      <c r="N35" s="2021"/>
      <c r="O35" s="2021"/>
      <c r="P35" s="4440"/>
      <c r="Q35" s="1544" t="str">
        <f t="shared" si="11"/>
        <v>建筑结构</v>
      </c>
      <c r="R35" s="3960" t="s">
        <v>13</v>
      </c>
      <c r="S35" s="3328">
        <f t="shared" si="12"/>
        <v>100</v>
      </c>
      <c r="T35" s="3960" t="s">
        <v>13</v>
      </c>
      <c r="U35" s="3328">
        <f t="shared" si="13"/>
        <v>100</v>
      </c>
      <c r="V35" s="3960" t="s">
        <v>13</v>
      </c>
      <c r="W35" s="3328">
        <f t="shared" si="14"/>
        <v>100</v>
      </c>
      <c r="X35" s="946"/>
      <c r="Y35" s="4417"/>
      <c r="Z35" s="944" t="str">
        <f t="shared" si="15"/>
        <v>建筑结构</v>
      </c>
      <c r="AA35" s="944">
        <f t="shared" si="3"/>
        <v>1</v>
      </c>
      <c r="AB35" s="944">
        <f t="shared" si="4"/>
        <v>1</v>
      </c>
      <c r="AC35" s="1453">
        <f t="shared" si="5"/>
        <v>1</v>
      </c>
    </row>
    <row r="36" spans="1:29" ht="15">
      <c r="A36" s="281"/>
      <c r="B36" s="253" t="s">
        <v>1699</v>
      </c>
      <c r="C36" s="276"/>
      <c r="D36" s="3026">
        <v>100</v>
      </c>
      <c r="E36" s="276"/>
      <c r="F36" s="945">
        <f>SUMIF(108:108,E36,109:109)-SUMIF(108:108,C36,109:109)+100</f>
        <v>100</v>
      </c>
      <c r="G36" s="276"/>
      <c r="H36" s="3976">
        <f>SUMIF(108:108,G36,109:109)-SUMIF(108:108,C36,109:109)+100</f>
        <v>100</v>
      </c>
      <c r="I36" s="276"/>
      <c r="J36" s="3976">
        <f>SUMIF(108:108,I36,109:109)-SUMIF(108:108,C36,109:109)+100</f>
        <v>100</v>
      </c>
      <c r="K36" s="398"/>
      <c r="L36" s="2026"/>
      <c r="M36" s="2021"/>
      <c r="N36" s="2021"/>
      <c r="O36" s="2021"/>
      <c r="P36" s="4440"/>
      <c r="Q36" s="1544" t="str">
        <f t="shared" si="11"/>
        <v>公共部分装修</v>
      </c>
      <c r="R36" s="3960" t="s">
        <v>13</v>
      </c>
      <c r="S36" s="3328">
        <f t="shared" si="12"/>
        <v>100</v>
      </c>
      <c r="T36" s="3960" t="s">
        <v>13</v>
      </c>
      <c r="U36" s="3328">
        <f t="shared" si="13"/>
        <v>100</v>
      </c>
      <c r="V36" s="3960" t="s">
        <v>13</v>
      </c>
      <c r="W36" s="3328">
        <f t="shared" si="14"/>
        <v>100</v>
      </c>
      <c r="X36" s="946"/>
      <c r="Y36" s="4417"/>
      <c r="Z36" s="944" t="str">
        <f t="shared" si="15"/>
        <v>公共部分装修</v>
      </c>
      <c r="AA36" s="944">
        <f t="shared" si="3"/>
        <v>1</v>
      </c>
      <c r="AB36" s="944">
        <f t="shared" si="4"/>
        <v>1</v>
      </c>
      <c r="AC36" s="1453">
        <f t="shared" si="5"/>
        <v>1</v>
      </c>
    </row>
    <row r="37" spans="1:29" ht="15">
      <c r="A37" s="281"/>
      <c r="B37" s="253" t="s">
        <v>1700</v>
      </c>
      <c r="C37" s="283"/>
      <c r="D37" s="3026">
        <v>100</v>
      </c>
      <c r="E37" s="283"/>
      <c r="F37" s="945" t="e">
        <f>LOOKUP(E37,111:111,112:112)-LOOKUP(C37,111:111,112:112)+100</f>
        <v>#N/A</v>
      </c>
      <c r="G37" s="283"/>
      <c r="H37" s="945" t="e">
        <f>LOOKUP(G37,111:111,112:112)-LOOKUP(C37,111:111,112:112)+100</f>
        <v>#N/A</v>
      </c>
      <c r="I37" s="283"/>
      <c r="J37" s="3976" t="e">
        <f>LOOKUP(I37,111:111,112:112)-LOOKUP(C37,111:111,112:112)+100</f>
        <v>#N/A</v>
      </c>
      <c r="K37" s="398"/>
      <c r="L37" s="2026"/>
      <c r="M37" s="2021"/>
      <c r="N37" s="2021"/>
      <c r="O37" s="2021"/>
      <c r="P37" s="4440"/>
      <c r="Q37" s="1544" t="str">
        <f t="shared" si="11"/>
        <v>成新度</v>
      </c>
      <c r="R37" s="3960" t="s">
        <v>13</v>
      </c>
      <c r="S37" s="3328" t="e">
        <f t="shared" si="12"/>
        <v>#N/A</v>
      </c>
      <c r="T37" s="3960" t="s">
        <v>13</v>
      </c>
      <c r="U37" s="3328" t="e">
        <f t="shared" si="13"/>
        <v>#N/A</v>
      </c>
      <c r="V37" s="3960" t="s">
        <v>13</v>
      </c>
      <c r="W37" s="3328" t="e">
        <f t="shared" si="14"/>
        <v>#N/A</v>
      </c>
      <c r="X37" s="946"/>
      <c r="Y37" s="4417"/>
      <c r="Z37" s="944" t="str">
        <f t="shared" si="15"/>
        <v>成新度</v>
      </c>
      <c r="AA37" s="944" t="e">
        <f t="shared" si="3"/>
        <v>#N/A</v>
      </c>
      <c r="AB37" s="944" t="e">
        <f t="shared" si="4"/>
        <v>#N/A</v>
      </c>
      <c r="AC37" s="1453" t="e">
        <f t="shared" si="5"/>
        <v>#N/A</v>
      </c>
    </row>
    <row r="38" spans="1:29" s="46" customFormat="1" ht="15">
      <c r="A38" s="282"/>
      <c r="B38" s="253" t="s">
        <v>1732</v>
      </c>
      <c r="C38" s="276"/>
      <c r="D38" s="3024">
        <v>100</v>
      </c>
      <c r="E38" s="276"/>
      <c r="F38" s="945">
        <f>SUMIF(113:113,E38,114:114)-SUMIF(113:113,C38,114:114)+100</f>
        <v>100</v>
      </c>
      <c r="G38" s="276"/>
      <c r="H38" s="3976">
        <f>SUMIF(113:113,G38,114:114)-SUMIF(113:113,C38,114:114)+100</f>
        <v>100</v>
      </c>
      <c r="I38" s="276"/>
      <c r="J38" s="3976">
        <f>SUMIF(113:113,I38,114:114)-SUMIF(113:113,C38,114:114)+100</f>
        <v>100</v>
      </c>
      <c r="K38" s="398"/>
      <c r="L38" s="2022"/>
      <c r="M38" s="1973"/>
      <c r="N38" s="1973"/>
      <c r="O38" s="1973"/>
      <c r="P38" s="4440"/>
      <c r="Q38" s="1742" t="str">
        <f t="shared" si="11"/>
        <v>写字楼等级</v>
      </c>
      <c r="R38" s="3854" t="s">
        <v>13</v>
      </c>
      <c r="S38" s="3327">
        <f t="shared" si="12"/>
        <v>100</v>
      </c>
      <c r="T38" s="3854" t="s">
        <v>13</v>
      </c>
      <c r="U38" s="3327">
        <f t="shared" si="13"/>
        <v>100</v>
      </c>
      <c r="V38" s="3854" t="s">
        <v>13</v>
      </c>
      <c r="W38" s="3327">
        <f t="shared" si="14"/>
        <v>100</v>
      </c>
      <c r="X38" s="493"/>
      <c r="Y38" s="4417"/>
      <c r="Z38" s="28" t="str">
        <f t="shared" si="15"/>
        <v>写字楼等级</v>
      </c>
      <c r="AA38" s="28">
        <f t="shared" si="3"/>
        <v>1</v>
      </c>
      <c r="AB38" s="28">
        <f t="shared" si="4"/>
        <v>1</v>
      </c>
      <c r="AC38" s="573">
        <f t="shared" si="5"/>
        <v>1</v>
      </c>
    </row>
    <row r="39" spans="1:29" ht="15">
      <c r="A39" s="281"/>
      <c r="B39" s="253" t="s">
        <v>1733</v>
      </c>
      <c r="C39" s="276"/>
      <c r="D39" s="3026">
        <v>100</v>
      </c>
      <c r="E39" s="276"/>
      <c r="F39" s="945">
        <f>SUMIF(115:115,E39,116:116)-SUMIF(115:115,C39,116:116)+100</f>
        <v>100</v>
      </c>
      <c r="G39" s="276"/>
      <c r="H39" s="3976">
        <f>SUMIF(115:115,G39,116:116)-SUMIF(115:115,C39,116:116)+100</f>
        <v>100</v>
      </c>
      <c r="I39" s="276"/>
      <c r="J39" s="3976">
        <f>SUMIF(115:115,I39,116:116)-SUMIF(115:115,C39,116:116)+100</f>
        <v>100</v>
      </c>
      <c r="K39" s="398"/>
      <c r="L39" s="2026"/>
      <c r="M39" s="2021"/>
      <c r="N39" s="2021"/>
      <c r="O39" s="2021"/>
      <c r="P39" s="4440" t="s">
        <v>1610</v>
      </c>
      <c r="Q39" s="1544" t="str">
        <f t="shared" si="11"/>
        <v>物业管理</v>
      </c>
      <c r="R39" s="3960" t="s">
        <v>13</v>
      </c>
      <c r="S39" s="3328">
        <f t="shared" si="12"/>
        <v>100</v>
      </c>
      <c r="T39" s="3960" t="s">
        <v>13</v>
      </c>
      <c r="U39" s="3328">
        <f t="shared" si="13"/>
        <v>100</v>
      </c>
      <c r="V39" s="3960" t="s">
        <v>13</v>
      </c>
      <c r="W39" s="3328">
        <f t="shared" si="14"/>
        <v>100</v>
      </c>
      <c r="X39" s="946"/>
      <c r="Y39" s="4417" t="s">
        <v>1610</v>
      </c>
      <c r="Z39" s="944" t="str">
        <f t="shared" si="15"/>
        <v>物业管理</v>
      </c>
      <c r="AA39" s="944">
        <f t="shared" si="3"/>
        <v>1</v>
      </c>
      <c r="AB39" s="944">
        <f t="shared" si="4"/>
        <v>1</v>
      </c>
      <c r="AC39" s="1453">
        <f t="shared" si="5"/>
        <v>1</v>
      </c>
    </row>
    <row r="40" spans="1:29" ht="15">
      <c r="A40" s="281"/>
      <c r="B40" s="253" t="s">
        <v>1701</v>
      </c>
      <c r="C40" s="276"/>
      <c r="D40" s="3026">
        <v>100</v>
      </c>
      <c r="E40" s="276"/>
      <c r="F40" s="945">
        <f>SUMIF(117:117,E40,118:118)-SUMIF(117:117,C40,118:118)+100</f>
        <v>100</v>
      </c>
      <c r="G40" s="276"/>
      <c r="H40" s="3976">
        <f>SUMIF(117:117,G40,118:118)-SUMIF(117:117,C40,118:118)+100</f>
        <v>100</v>
      </c>
      <c r="I40" s="276"/>
      <c r="J40" s="3976">
        <f>SUMIF(117:117,I40,118:118)-SUMIF(117:117,C40,118:118)+100</f>
        <v>100</v>
      </c>
      <c r="K40" s="398"/>
      <c r="L40" s="2026"/>
      <c r="M40" s="2021"/>
      <c r="N40" s="2021"/>
      <c r="O40" s="2021"/>
      <c r="P40" s="4440"/>
      <c r="Q40" s="1544" t="str">
        <f t="shared" si="11"/>
        <v>市政基础设施</v>
      </c>
      <c r="R40" s="3960" t="s">
        <v>13</v>
      </c>
      <c r="S40" s="3328">
        <f t="shared" si="12"/>
        <v>100</v>
      </c>
      <c r="T40" s="3960" t="s">
        <v>13</v>
      </c>
      <c r="U40" s="3328">
        <f t="shared" si="13"/>
        <v>100</v>
      </c>
      <c r="V40" s="3960" t="s">
        <v>13</v>
      </c>
      <c r="W40" s="3328">
        <f t="shared" si="14"/>
        <v>100</v>
      </c>
      <c r="X40" s="946"/>
      <c r="Y40" s="4417"/>
      <c r="Z40" s="944" t="str">
        <f t="shared" si="15"/>
        <v>市政基础设施</v>
      </c>
      <c r="AA40" s="944">
        <f t="shared" si="3"/>
        <v>1</v>
      </c>
      <c r="AB40" s="944">
        <f t="shared" si="4"/>
        <v>1</v>
      </c>
      <c r="AC40" s="1453">
        <f t="shared" si="5"/>
        <v>1</v>
      </c>
    </row>
    <row r="41" spans="1:29" ht="15">
      <c r="A41" s="281"/>
      <c r="B41" s="253" t="s">
        <v>1703</v>
      </c>
      <c r="C41" s="402"/>
      <c r="D41" s="3026">
        <v>100</v>
      </c>
      <c r="E41" s="402"/>
      <c r="F41" s="945">
        <f>SUMIF(119:119,E41,120:120)-SUMIF(119:119,C41,120:120)+100</f>
        <v>100</v>
      </c>
      <c r="G41" s="402"/>
      <c r="H41" s="3976">
        <f>SUMIF(119:119,G41,120:120)-SUMIF(119:119,C41,120:120)+100</f>
        <v>100</v>
      </c>
      <c r="I41" s="402"/>
      <c r="J41" s="3976">
        <f>SUMIF(119:119,I41,120:120)-SUMIF(119:119,C41,120:120)+100</f>
        <v>100</v>
      </c>
      <c r="K41" s="398"/>
      <c r="L41" s="2026"/>
      <c r="M41" s="2021"/>
      <c r="N41" s="2021"/>
      <c r="O41" s="2021"/>
      <c r="P41" s="4440"/>
      <c r="Q41" s="1544" t="str">
        <f t="shared" si="11"/>
        <v>层高</v>
      </c>
      <c r="R41" s="3960" t="s">
        <v>13</v>
      </c>
      <c r="S41" s="3328">
        <f t="shared" si="12"/>
        <v>100</v>
      </c>
      <c r="T41" s="3960" t="s">
        <v>13</v>
      </c>
      <c r="U41" s="3328">
        <f t="shared" si="13"/>
        <v>100</v>
      </c>
      <c r="V41" s="3960" t="s">
        <v>13</v>
      </c>
      <c r="W41" s="3328">
        <f t="shared" si="14"/>
        <v>100</v>
      </c>
      <c r="X41" s="946"/>
      <c r="Y41" s="4417"/>
      <c r="Z41" s="944" t="str">
        <f t="shared" si="15"/>
        <v>层高</v>
      </c>
      <c r="AA41" s="944">
        <f t="shared" si="3"/>
        <v>1</v>
      </c>
      <c r="AB41" s="944">
        <f t="shared" si="4"/>
        <v>1</v>
      </c>
      <c r="AC41" s="1453">
        <f t="shared" si="5"/>
        <v>1</v>
      </c>
    </row>
    <row r="42" spans="1:29" s="280" customFormat="1" ht="15">
      <c r="A42" s="278"/>
      <c r="B42" s="945" t="s">
        <v>1734</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440"/>
      <c r="Q42" s="392" t="str">
        <f t="shared" si="11"/>
        <v>单套建筑面积</v>
      </c>
      <c r="R42" s="3961" t="s">
        <v>13</v>
      </c>
      <c r="S42" s="3329">
        <f t="shared" si="12"/>
        <v>100</v>
      </c>
      <c r="T42" s="3961" t="s">
        <v>13</v>
      </c>
      <c r="U42" s="3329">
        <f t="shared" si="13"/>
        <v>100</v>
      </c>
      <c r="V42" s="3961" t="s">
        <v>13</v>
      </c>
      <c r="W42" s="3329">
        <f t="shared" si="14"/>
        <v>100</v>
      </c>
      <c r="X42" s="494"/>
      <c r="Y42" s="4417"/>
      <c r="Z42" s="495" t="str">
        <f t="shared" si="15"/>
        <v>单套建筑面积</v>
      </c>
      <c r="AA42" s="944">
        <f t="shared" si="3"/>
        <v>1</v>
      </c>
      <c r="AB42" s="944">
        <f t="shared" si="4"/>
        <v>1</v>
      </c>
      <c r="AC42" s="1453">
        <f t="shared" si="5"/>
        <v>1</v>
      </c>
    </row>
    <row r="43" spans="1:29" ht="15">
      <c r="A43" s="281"/>
      <c r="B43" s="253" t="s">
        <v>1706</v>
      </c>
      <c r="C43" s="276"/>
      <c r="D43" s="3026">
        <v>100</v>
      </c>
      <c r="E43" s="276"/>
      <c r="F43" s="945">
        <f>SUMIF(123:123,E43,124:124)-SUMIF(123:123,C43,124:124)+100</f>
        <v>100</v>
      </c>
      <c r="G43" s="276"/>
      <c r="H43" s="3976">
        <f>SUMIF(123:123,G43,124:124)-SUMIF(123:123,C43,124:124)+100</f>
        <v>100</v>
      </c>
      <c r="I43" s="276"/>
      <c r="J43" s="3976">
        <f>SUMIF(123:123,I43,124:124)-SUMIF(123:123,C43,124:124)+100</f>
        <v>100</v>
      </c>
      <c r="K43" s="398"/>
      <c r="L43" s="2026"/>
      <c r="M43" s="2021"/>
      <c r="N43" s="2021"/>
      <c r="O43" s="2021"/>
      <c r="P43" s="4440"/>
      <c r="Q43" s="1544" t="str">
        <f t="shared" si="11"/>
        <v>内部装修</v>
      </c>
      <c r="R43" s="3960" t="s">
        <v>13</v>
      </c>
      <c r="S43" s="3328">
        <f t="shared" si="12"/>
        <v>100</v>
      </c>
      <c r="T43" s="3960" t="s">
        <v>13</v>
      </c>
      <c r="U43" s="3328">
        <f t="shared" si="13"/>
        <v>100</v>
      </c>
      <c r="V43" s="3960" t="s">
        <v>13</v>
      </c>
      <c r="W43" s="3328">
        <f t="shared" si="14"/>
        <v>100</v>
      </c>
      <c r="X43" s="946"/>
      <c r="Y43" s="4417"/>
      <c r="Z43" s="944" t="str">
        <f t="shared" si="15"/>
        <v>内部装修</v>
      </c>
      <c r="AA43" s="944">
        <f t="shared" si="3"/>
        <v>1</v>
      </c>
      <c r="AB43" s="944">
        <f t="shared" si="4"/>
        <v>1</v>
      </c>
      <c r="AC43" s="1453">
        <f t="shared" si="5"/>
        <v>1</v>
      </c>
    </row>
    <row r="44" spans="1:29" ht="15">
      <c r="A44" s="281"/>
      <c r="B44" s="253" t="s">
        <v>1621</v>
      </c>
      <c r="C44" s="276"/>
      <c r="D44" s="3026">
        <v>100</v>
      </c>
      <c r="E44" s="1406"/>
      <c r="F44" s="945">
        <f>SUMIF(125:125,E44,126:126)-SUMIF(125:125,C44,126:126)+100</f>
        <v>100</v>
      </c>
      <c r="G44" s="1406"/>
      <c r="H44" s="3976">
        <f>SUMIF(125:125,G44,126:126)-SUMIF(125:125,C44,126:126)+100</f>
        <v>100</v>
      </c>
      <c r="I44" s="1406"/>
      <c r="J44" s="3976">
        <f>SUMIF(125:125,I44,126:126)-SUMIF(125:125,C44,126:126)+100</f>
        <v>100</v>
      </c>
      <c r="K44" s="398"/>
      <c r="L44" s="2026"/>
      <c r="M44" s="2021"/>
      <c r="N44" s="2021"/>
      <c r="O44" s="2021"/>
      <c r="P44" s="4440"/>
      <c r="Q44" s="1544" t="str">
        <f t="shared" si="11"/>
        <v>内部装修维护情况</v>
      </c>
      <c r="R44" s="3960" t="s">
        <v>13</v>
      </c>
      <c r="S44" s="3328">
        <f t="shared" si="12"/>
        <v>100</v>
      </c>
      <c r="T44" s="3960" t="s">
        <v>13</v>
      </c>
      <c r="U44" s="3328">
        <f t="shared" si="13"/>
        <v>100</v>
      </c>
      <c r="V44" s="3960" t="s">
        <v>13</v>
      </c>
      <c r="W44" s="3328">
        <f t="shared" si="14"/>
        <v>100</v>
      </c>
      <c r="X44" s="946"/>
      <c r="Y44" s="4417"/>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40"/>
      <c r="Q45" s="1742">
        <f t="shared" si="11"/>
        <v>111</v>
      </c>
      <c r="R45" s="3854" t="s">
        <v>13</v>
      </c>
      <c r="S45" s="3327">
        <f t="shared" si="12"/>
        <v>100</v>
      </c>
      <c r="T45" s="3854" t="s">
        <v>13</v>
      </c>
      <c r="U45" s="3327">
        <f t="shared" si="13"/>
        <v>100</v>
      </c>
      <c r="V45" s="3854" t="s">
        <v>13</v>
      </c>
      <c r="W45" s="3327">
        <f t="shared" si="14"/>
        <v>100</v>
      </c>
      <c r="X45" s="493"/>
      <c r="Y45" s="4417"/>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440"/>
      <c r="Q46" s="1544">
        <f t="shared" si="11"/>
        <v>111</v>
      </c>
      <c r="R46" s="3960" t="s">
        <v>13</v>
      </c>
      <c r="S46" s="3328">
        <f t="shared" si="12"/>
        <v>100</v>
      </c>
      <c r="T46" s="3960" t="s">
        <v>13</v>
      </c>
      <c r="U46" s="3328">
        <f t="shared" si="13"/>
        <v>100</v>
      </c>
      <c r="V46" s="3960" t="s">
        <v>13</v>
      </c>
      <c r="W46" s="3328">
        <f t="shared" si="14"/>
        <v>100</v>
      </c>
      <c r="X46" s="946"/>
      <c r="Y46" s="4417"/>
      <c r="Z46" s="944">
        <f t="shared" si="15"/>
        <v>111</v>
      </c>
      <c r="AA46" s="944">
        <f t="shared" si="3"/>
        <v>1</v>
      </c>
      <c r="AB46" s="944">
        <f t="shared" si="4"/>
        <v>1</v>
      </c>
      <c r="AC46" s="1453">
        <f t="shared" si="5"/>
        <v>1</v>
      </c>
    </row>
    <row r="47" spans="1:29" ht="15.75"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441"/>
      <c r="Q47" s="1544">
        <f t="shared" si="11"/>
        <v>111</v>
      </c>
      <c r="R47" s="3960" t="s">
        <v>13</v>
      </c>
      <c r="S47" s="3328">
        <f t="shared" si="12"/>
        <v>100</v>
      </c>
      <c r="T47" s="3960" t="s">
        <v>13</v>
      </c>
      <c r="U47" s="3328">
        <f t="shared" si="13"/>
        <v>100</v>
      </c>
      <c r="V47" s="3960" t="s">
        <v>13</v>
      </c>
      <c r="W47" s="3328">
        <f t="shared" si="14"/>
        <v>100</v>
      </c>
      <c r="X47" s="946"/>
      <c r="Y47" s="4442"/>
      <c r="Z47" s="944">
        <f t="shared" si="15"/>
        <v>111</v>
      </c>
      <c r="AA47" s="944">
        <f t="shared" si="3"/>
        <v>1</v>
      </c>
      <c r="AB47" s="944">
        <f t="shared" si="4"/>
        <v>1</v>
      </c>
      <c r="AC47" s="1453">
        <f t="shared" si="5"/>
        <v>1</v>
      </c>
    </row>
    <row r="48" spans="1:29" ht="15">
      <c r="A48" s="287" t="s">
        <v>1622</v>
      </c>
      <c r="B48" s="288"/>
      <c r="C48" s="798" t="s">
        <v>0</v>
      </c>
      <c r="D48" s="289"/>
      <c r="E48" s="3386"/>
      <c r="F48" s="3324"/>
      <c r="G48" s="3387"/>
      <c r="H48" s="3325"/>
      <c r="I48" s="3386"/>
      <c r="J48" s="3325"/>
      <c r="K48" s="2986"/>
      <c r="L48" s="2028"/>
      <c r="M48" s="2021"/>
      <c r="N48" s="2021"/>
      <c r="O48" s="2021"/>
      <c r="P48" s="4438" t="str">
        <f>A48</f>
        <v>成交单价（元/平方米）</v>
      </c>
      <c r="Q48" s="4387"/>
      <c r="R48" s="4418">
        <f>E48</f>
        <v>0</v>
      </c>
      <c r="S48" s="4418"/>
      <c r="T48" s="4418">
        <f>G48</f>
        <v>0</v>
      </c>
      <c r="U48" s="4418"/>
      <c r="V48" s="4418">
        <f>I48</f>
        <v>0</v>
      </c>
      <c r="W48" s="4418"/>
      <c r="X48" s="266"/>
      <c r="Y48" s="496"/>
      <c r="Z48" s="266"/>
      <c r="AA48" s="266"/>
      <c r="AB48" s="266"/>
      <c r="AC48" s="412"/>
    </row>
    <row r="49" spans="1:29" ht="15.75" thickBot="1">
      <c r="A49" s="290" t="s">
        <v>1707</v>
      </c>
      <c r="B49" s="291"/>
      <c r="C49" s="3958" t="e">
        <f>R50</f>
        <v>#DIV/0!</v>
      </c>
      <c r="D49" s="4082" t="s">
        <v>2048</v>
      </c>
      <c r="E49" s="3969" t="e">
        <f>R49</f>
        <v>#DIV/0!</v>
      </c>
      <c r="F49" s="2925"/>
      <c r="G49" s="3958" t="e">
        <f>T49</f>
        <v>#DIV/0!</v>
      </c>
      <c r="H49" s="2925"/>
      <c r="I49" s="3969" t="e">
        <f>V49</f>
        <v>#DIV/0!</v>
      </c>
      <c r="J49" s="2925"/>
      <c r="K49" s="2979">
        <f>F49+H49+J49</f>
        <v>0</v>
      </c>
      <c r="L49" s="2028"/>
      <c r="M49" s="2021"/>
      <c r="N49" s="2021"/>
      <c r="O49" s="2021"/>
      <c r="P49" s="4438" t="str">
        <f>A49</f>
        <v>比较价值（元/平方米）</v>
      </c>
      <c r="Q49" s="4387"/>
      <c r="R49" s="4418" t="e">
        <f>IF(F1="售价",ROUND(PRODUCT(R48,AA7:AA47),0),ROUND(PRODUCT(R48,AA7:AA47),1))</f>
        <v>#DIV/0!</v>
      </c>
      <c r="S49" s="4418"/>
      <c r="T49" s="4418" t="e">
        <f>IF(F1="售价",ROUND(PRODUCT(T48,AB7:AB47),0),ROUND(PRODUCT(T48,AB7:AB47),1))</f>
        <v>#DIV/0!</v>
      </c>
      <c r="U49" s="4418"/>
      <c r="V49" s="4418" t="e">
        <f>IF(F1="售价",ROUND(PRODUCT(V48,AC7:AC47),0),ROUND(PRODUCT(V48,AC7:AC47),1))</f>
        <v>#DIV/0!</v>
      </c>
      <c r="W49" s="4418"/>
      <c r="X49" s="266"/>
      <c r="Y49" s="266"/>
      <c r="Z49" s="266"/>
      <c r="AA49" s="266"/>
      <c r="AB49" s="266"/>
      <c r="AC49" s="412"/>
    </row>
    <row r="50" spans="1:29" ht="15.75" thickBot="1">
      <c r="A50" s="292" t="s">
        <v>1708</v>
      </c>
      <c r="B50" s="293"/>
      <c r="C50" s="3970" t="e">
        <f>R50</f>
        <v>#DIV/0!</v>
      </c>
      <c r="D50" s="242"/>
      <c r="E50" s="242"/>
      <c r="F50" s="242"/>
      <c r="G50" s="242"/>
      <c r="H50" s="242"/>
      <c r="I50" s="242"/>
      <c r="J50" s="294"/>
      <c r="K50" s="497"/>
      <c r="L50" s="2028"/>
      <c r="M50" s="2021"/>
      <c r="N50" s="2021"/>
      <c r="O50" s="2021"/>
      <c r="P50" s="4526" t="str">
        <f>A50</f>
        <v>估价对象XX用房的比较价值（楼面单价，元/平方米）</v>
      </c>
      <c r="Q50" s="4527"/>
      <c r="R50" s="4528" t="e">
        <f>IF(F1="售价",ROUND(IF(D49="简单平均",AVERAGE(R49:V49),R49*F49+T49*H49+V49*J49),0),ROUND(IF(D49="简单平均",AVERAGE(R49:V49),R49*F49+T49*H49+V49*J49),1))</f>
        <v>#DIV/0!</v>
      </c>
      <c r="S50" s="4528"/>
      <c r="T50" s="4528"/>
      <c r="U50" s="4528"/>
      <c r="V50" s="4528"/>
      <c r="W50" s="4528"/>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1712</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1593</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1630</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1595</v>
      </c>
      <c r="B62" s="308"/>
      <c r="C62" s="320" t="s">
        <v>1690</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1633</v>
      </c>
      <c r="B64" s="323" t="s">
        <v>1599</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1602</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1603</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1604</v>
      </c>
      <c r="B77" s="323" t="s">
        <v>1735</v>
      </c>
      <c r="C77" s="365" t="s">
        <v>1635</v>
      </c>
      <c r="D77" s="365" t="s">
        <v>1636</v>
      </c>
      <c r="E77" s="365" t="s">
        <v>1637</v>
      </c>
      <c r="F77" s="365" t="s">
        <v>1638</v>
      </c>
      <c r="G77" s="365" t="s">
        <v>1639</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1640</v>
      </c>
      <c r="C79" s="369" t="s">
        <v>1635</v>
      </c>
      <c r="D79" s="369" t="s">
        <v>1636</v>
      </c>
      <c r="E79" s="369" t="s">
        <v>1637</v>
      </c>
      <c r="F79" s="369" t="s">
        <v>1638</v>
      </c>
      <c r="G79" s="369" t="s">
        <v>1639</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1641</v>
      </c>
      <c r="C81" s="369" t="s">
        <v>1635</v>
      </c>
      <c r="D81" s="369" t="s">
        <v>1636</v>
      </c>
      <c r="E81" s="369" t="s">
        <v>1637</v>
      </c>
      <c r="F81" s="369" t="s">
        <v>1638</v>
      </c>
      <c r="G81" s="369" t="s">
        <v>1639</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1727</v>
      </c>
      <c r="C83" s="436" t="s">
        <v>1713</v>
      </c>
      <c r="D83" s="436" t="s">
        <v>1714</v>
      </c>
      <c r="E83" s="436" t="s">
        <v>1715</v>
      </c>
      <c r="F83" s="436" t="s">
        <v>1716</v>
      </c>
      <c r="G83" s="436" t="s">
        <v>1717</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1736</v>
      </c>
      <c r="C85" s="369" t="s">
        <v>1635</v>
      </c>
      <c r="D85" s="369" t="s">
        <v>1636</v>
      </c>
      <c r="E85" s="369" t="s">
        <v>1637</v>
      </c>
      <c r="F85" s="369" t="s">
        <v>1638</v>
      </c>
      <c r="G85" s="369" t="s">
        <v>1639</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1737</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1608</v>
      </c>
      <c r="B101" s="323" t="s">
        <v>1650</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1651</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1652</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1654</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1738</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1655</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1656</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1739</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1722</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1658</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1659</v>
      </c>
      <c r="C125" s="369" t="s">
        <v>1635</v>
      </c>
      <c r="D125" s="369" t="s">
        <v>1636</v>
      </c>
      <c r="E125" s="369" t="s">
        <v>1637</v>
      </c>
      <c r="F125" s="369" t="s">
        <v>1638</v>
      </c>
      <c r="G125" s="369" t="s">
        <v>1639</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E2" xr:uid="{00000000-0002-0000-2300-000015000000}">
      <formula1>"需扣减承租人权益,——"</formula1>
    </dataValidation>
    <dataValidation type="list" allowBlank="1" showInputMessage="1" showErrorMessage="1" sqref="H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 type="list" allowBlank="1" showInputMessage="1" showErrorMessage="1" sqref="C2" xr:uid="{00000000-0002-0000-23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1740</v>
      </c>
      <c r="C1" s="848" t="s">
        <v>1576</v>
      </c>
      <c r="D1" s="849"/>
      <c r="E1" s="2562"/>
      <c r="F1" s="1390"/>
      <c r="G1" s="859" t="s">
        <v>1681</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1433</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1435</v>
      </c>
      <c r="B3" s="3003">
        <f>IF(E2="——",C43,ROUND(B2*10000/D3,0))</f>
        <v>0</v>
      </c>
      <c r="C3" s="235" t="s">
        <v>1682</v>
      </c>
      <c r="D3" s="3003">
        <f>IF(D1="",'数据-汇总表'!E3,SUMIF('数据-汇总表'!$C19:$C33,D1,'数据-汇总表'!$E19:$E33))</f>
        <v>24968.190000000002</v>
      </c>
      <c r="E3" s="4083" t="s">
        <v>3497</v>
      </c>
      <c r="F3" s="4084">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1683</v>
      </c>
      <c r="B4" s="237"/>
      <c r="C4" s="4422" t="s">
        <v>1684</v>
      </c>
      <c r="D4" s="4515"/>
      <c r="E4" s="4516" t="s">
        <v>1685</v>
      </c>
      <c r="F4" s="4517"/>
      <c r="G4" s="4422" t="s">
        <v>1686</v>
      </c>
      <c r="H4" s="4515"/>
      <c r="I4" s="4422" t="s">
        <v>1687</v>
      </c>
      <c r="J4" s="4515"/>
      <c r="K4" s="397" t="s">
        <v>1688</v>
      </c>
      <c r="L4" s="620"/>
      <c r="M4" s="621"/>
      <c r="N4" s="621"/>
      <c r="O4" s="621"/>
      <c r="P4" s="4393" t="s">
        <v>1689</v>
      </c>
      <c r="Q4" s="4394"/>
      <c r="R4" s="4375" t="s">
        <v>1685</v>
      </c>
      <c r="S4" s="4376"/>
      <c r="T4" s="4375" t="s">
        <v>1686</v>
      </c>
      <c r="U4" s="4376"/>
      <c r="V4" s="4401" t="s">
        <v>1687</v>
      </c>
      <c r="W4" s="4401"/>
      <c r="X4" s="946"/>
      <c r="Y4" s="4404" t="s">
        <v>1689</v>
      </c>
      <c r="Z4" s="4405"/>
      <c r="AA4" s="4370" t="s">
        <v>1685</v>
      </c>
      <c r="AB4" s="4371" t="s">
        <v>1686</v>
      </c>
      <c r="AC4" s="4370" t="s">
        <v>1687</v>
      </c>
    </row>
    <row r="5" spans="1:29" ht="15">
      <c r="A5" s="239"/>
      <c r="B5" s="240"/>
      <c r="C5" s="4506" t="s">
        <v>1587</v>
      </c>
      <c r="D5" s="4507"/>
      <c r="E5" s="4504" t="s">
        <v>1588</v>
      </c>
      <c r="F5" s="4505"/>
      <c r="G5" s="4506" t="s">
        <v>1589</v>
      </c>
      <c r="H5" s="4507"/>
      <c r="I5" s="4506" t="s">
        <v>1590</v>
      </c>
      <c r="J5" s="4507"/>
      <c r="K5" s="397"/>
      <c r="L5" s="620"/>
      <c r="M5" s="621"/>
      <c r="N5" s="621"/>
      <c r="O5" s="621"/>
      <c r="P5" s="4395"/>
      <c r="Q5" s="4396"/>
      <c r="R5" s="4377"/>
      <c r="S5" s="4378"/>
      <c r="T5" s="4377"/>
      <c r="U5" s="4378"/>
      <c r="V5" s="4401"/>
      <c r="W5" s="4401"/>
      <c r="X5" s="946"/>
      <c r="Y5" s="4406"/>
      <c r="Z5" s="4407"/>
      <c r="AA5" s="4371"/>
      <c r="AB5" s="4371"/>
      <c r="AC5" s="4371"/>
    </row>
    <row r="6" spans="1:29" ht="15.75" thickBot="1">
      <c r="A6" s="241"/>
      <c r="B6" s="242"/>
      <c r="C6" s="4508" t="s">
        <v>1591</v>
      </c>
      <c r="D6" s="4509"/>
      <c r="E6" s="4510" t="s">
        <v>1591</v>
      </c>
      <c r="F6" s="4511"/>
      <c r="G6" s="4508" t="s">
        <v>1591</v>
      </c>
      <c r="H6" s="4509"/>
      <c r="I6" s="4508" t="s">
        <v>1591</v>
      </c>
      <c r="J6" s="4509"/>
      <c r="K6" s="397" t="s">
        <v>1592</v>
      </c>
      <c r="L6" s="620"/>
      <c r="M6" s="621"/>
      <c r="N6" s="621"/>
      <c r="O6" s="621"/>
      <c r="P6" s="4397"/>
      <c r="Q6" s="4398"/>
      <c r="R6" s="4377"/>
      <c r="S6" s="4378"/>
      <c r="T6" s="4399"/>
      <c r="U6" s="4400"/>
      <c r="V6" s="4401"/>
      <c r="W6" s="4401"/>
      <c r="X6" s="946"/>
      <c r="Y6" s="4408"/>
      <c r="Z6" s="4409"/>
      <c r="AA6" s="4372"/>
      <c r="AB6" s="4372"/>
      <c r="AC6" s="4372"/>
    </row>
    <row r="7" spans="1:29" s="46" customFormat="1" ht="15.75" thickBot="1">
      <c r="A7" s="243" t="s">
        <v>1593</v>
      </c>
      <c r="B7" s="244"/>
      <c r="C7" s="245">
        <f>'数据-取费表'!B2</f>
        <v>46043</v>
      </c>
      <c r="D7" s="3022">
        <v>100</v>
      </c>
      <c r="E7" s="246"/>
      <c r="F7" s="3972">
        <f>SUMIF(52:52,YEAR(E7)&amp;"-"&amp;MONTH(E7),53:53)</f>
        <v>0</v>
      </c>
      <c r="G7" s="246"/>
      <c r="H7" s="3978">
        <f>SUMIF(52:52,YEAR(G7)&amp;"-"&amp;MONTH(G7),53:53)</f>
        <v>0</v>
      </c>
      <c r="I7" s="246"/>
      <c r="J7" s="3978">
        <f>SUMIF(52:52,YEAR(I7)&amp;"-"&amp;MONTH(I7),53:53)</f>
        <v>0</v>
      </c>
      <c r="K7" s="22"/>
      <c r="L7" s="622"/>
      <c r="M7" s="623"/>
      <c r="N7" s="623"/>
      <c r="O7" s="623"/>
      <c r="P7" s="4402" t="s">
        <v>1594</v>
      </c>
      <c r="Q7" s="4410"/>
      <c r="R7" s="3984" t="s">
        <v>13</v>
      </c>
      <c r="S7" s="3755">
        <f t="shared" ref="S7:S15" si="0">F7</f>
        <v>0</v>
      </c>
      <c r="T7" s="3984" t="s">
        <v>13</v>
      </c>
      <c r="U7" s="3755">
        <f t="shared" ref="U7:U15" si="1">H7</f>
        <v>0</v>
      </c>
      <c r="V7" s="3984" t="s">
        <v>13</v>
      </c>
      <c r="W7" s="3755">
        <f t="shared" ref="W7:W15" si="2">J7</f>
        <v>0</v>
      </c>
      <c r="X7" s="493"/>
      <c r="Y7" s="4373" t="s">
        <v>1594</v>
      </c>
      <c r="Z7" s="4374"/>
      <c r="AA7" s="28" t="e">
        <f>D7/F7</f>
        <v>#DIV/0!</v>
      </c>
      <c r="AB7" s="28" t="e">
        <f>D7/H7</f>
        <v>#DIV/0!</v>
      </c>
      <c r="AC7" s="28" t="e">
        <f>D7/J7</f>
        <v>#DIV/0!</v>
      </c>
    </row>
    <row r="8" spans="1:29" s="46" customFormat="1" ht="15.75" thickBot="1">
      <c r="A8" s="243" t="s">
        <v>1595</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402" t="s">
        <v>1597</v>
      </c>
      <c r="Q8" s="4403"/>
      <c r="R8" s="3984" t="s">
        <v>13</v>
      </c>
      <c r="S8" s="3755">
        <f t="shared" si="0"/>
        <v>100</v>
      </c>
      <c r="T8" s="3984" t="s">
        <v>13</v>
      </c>
      <c r="U8" s="3755">
        <f t="shared" si="1"/>
        <v>100</v>
      </c>
      <c r="V8" s="3984" t="s">
        <v>13</v>
      </c>
      <c r="W8" s="3755">
        <f t="shared" si="2"/>
        <v>100</v>
      </c>
      <c r="X8" s="493"/>
      <c r="Y8" s="4373" t="s">
        <v>1597</v>
      </c>
      <c r="Z8" s="4374"/>
      <c r="AA8" s="28">
        <f t="shared" ref="AA8:AA40" si="3">D8/F8</f>
        <v>1</v>
      </c>
      <c r="AB8" s="28">
        <f t="shared" ref="AB8:AB40" si="4">D8/H8</f>
        <v>1</v>
      </c>
      <c r="AC8" s="28">
        <f t="shared" ref="AC8:AC40" si="5">D8/J8</f>
        <v>1</v>
      </c>
    </row>
    <row r="9" spans="1:29" s="46" customFormat="1">
      <c r="A9" s="248" t="s">
        <v>1598</v>
      </c>
      <c r="B9" s="34" t="s">
        <v>1599</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7" t="s">
        <v>1600</v>
      </c>
      <c r="Q9" s="1742" t="str">
        <f t="shared" ref="Q9:Q15" si="6">B9</f>
        <v>用途</v>
      </c>
      <c r="R9" s="3984" t="s">
        <v>13</v>
      </c>
      <c r="S9" s="3755">
        <f t="shared" si="0"/>
        <v>100</v>
      </c>
      <c r="T9" s="3984" t="s">
        <v>13</v>
      </c>
      <c r="U9" s="3755">
        <f t="shared" si="1"/>
        <v>100</v>
      </c>
      <c r="V9" s="3984" t="s">
        <v>13</v>
      </c>
      <c r="W9" s="3755">
        <f t="shared" si="2"/>
        <v>100</v>
      </c>
      <c r="X9" s="493"/>
      <c r="Y9" s="4388" t="s">
        <v>1601</v>
      </c>
      <c r="Z9" s="28" t="str">
        <f t="shared" ref="Z9:Z15" si="7">Q9</f>
        <v>用途</v>
      </c>
      <c r="AA9" s="28">
        <f t="shared" si="3"/>
        <v>1</v>
      </c>
      <c r="AB9" s="28">
        <f t="shared" si="4"/>
        <v>1</v>
      </c>
      <c r="AC9" s="28">
        <f t="shared" si="5"/>
        <v>1</v>
      </c>
    </row>
    <row r="10" spans="1:29" s="254" customFormat="1" ht="27">
      <c r="A10" s="252"/>
      <c r="B10" s="253" t="s">
        <v>1602</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7"/>
      <c r="Q10" s="1742" t="str">
        <f t="shared" si="6"/>
        <v>土地使用年限（年）</v>
      </c>
      <c r="R10" s="3984" t="s">
        <v>13</v>
      </c>
      <c r="S10" s="3755">
        <f t="shared" si="0"/>
        <v>100</v>
      </c>
      <c r="T10" s="3984" t="s">
        <v>13</v>
      </c>
      <c r="U10" s="3755">
        <f t="shared" si="1"/>
        <v>100</v>
      </c>
      <c r="V10" s="3984" t="s">
        <v>13</v>
      </c>
      <c r="W10" s="3755">
        <f t="shared" si="2"/>
        <v>100</v>
      </c>
      <c r="X10" s="493"/>
      <c r="Y10" s="4388"/>
      <c r="Z10" s="28" t="str">
        <f t="shared" si="7"/>
        <v>土地使用年限（年）</v>
      </c>
      <c r="AA10" s="28">
        <f t="shared" si="3"/>
        <v>1</v>
      </c>
      <c r="AB10" s="28">
        <f t="shared" si="4"/>
        <v>1</v>
      </c>
      <c r="AC10" s="28">
        <f t="shared" si="5"/>
        <v>1</v>
      </c>
    </row>
    <row r="11" spans="1:29" ht="15">
      <c r="A11" s="255"/>
      <c r="B11" s="253" t="s">
        <v>1603</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7"/>
      <c r="Q11" s="1742" t="str">
        <f t="shared" si="6"/>
        <v>容积率</v>
      </c>
      <c r="R11" s="3984" t="s">
        <v>13</v>
      </c>
      <c r="S11" s="3755">
        <f t="shared" si="0"/>
        <v>100</v>
      </c>
      <c r="T11" s="3984" t="s">
        <v>13</v>
      </c>
      <c r="U11" s="3755">
        <f t="shared" si="1"/>
        <v>100</v>
      </c>
      <c r="V11" s="3984" t="s">
        <v>13</v>
      </c>
      <c r="W11" s="3755">
        <f t="shared" si="2"/>
        <v>100</v>
      </c>
      <c r="X11" s="493"/>
      <c r="Y11" s="4388"/>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7"/>
      <c r="Q12" s="1742">
        <f t="shared" si="6"/>
        <v>111</v>
      </c>
      <c r="R12" s="3984" t="s">
        <v>13</v>
      </c>
      <c r="S12" s="3755">
        <f t="shared" si="0"/>
        <v>100</v>
      </c>
      <c r="T12" s="3984" t="s">
        <v>13</v>
      </c>
      <c r="U12" s="3755">
        <f t="shared" si="1"/>
        <v>100</v>
      </c>
      <c r="V12" s="3984" t="s">
        <v>13</v>
      </c>
      <c r="W12" s="3755">
        <f t="shared" si="2"/>
        <v>100</v>
      </c>
      <c r="X12" s="493"/>
      <c r="Y12" s="4388"/>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387"/>
      <c r="Q13" s="1742">
        <f t="shared" si="6"/>
        <v>111</v>
      </c>
      <c r="R13" s="3984" t="s">
        <v>13</v>
      </c>
      <c r="S13" s="3755">
        <f t="shared" si="0"/>
        <v>100</v>
      </c>
      <c r="T13" s="3984" t="s">
        <v>13</v>
      </c>
      <c r="U13" s="3755">
        <f t="shared" si="1"/>
        <v>100</v>
      </c>
      <c r="V13" s="3984" t="s">
        <v>13</v>
      </c>
      <c r="W13" s="3755">
        <f t="shared" si="2"/>
        <v>100</v>
      </c>
      <c r="X13" s="493"/>
      <c r="Y13" s="4388"/>
      <c r="Z13" s="28">
        <f t="shared" si="7"/>
        <v>111</v>
      </c>
      <c r="AA13" s="28">
        <f t="shared" si="3"/>
        <v>1</v>
      </c>
      <c r="AB13" s="28">
        <f t="shared" si="4"/>
        <v>1</v>
      </c>
      <c r="AC13" s="28">
        <f t="shared" si="5"/>
        <v>1</v>
      </c>
    </row>
    <row r="14" spans="1:29" ht="15.75"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387"/>
      <c r="Q14" s="1742">
        <f t="shared" si="6"/>
        <v>111</v>
      </c>
      <c r="R14" s="3984" t="s">
        <v>13</v>
      </c>
      <c r="S14" s="3755">
        <f t="shared" si="0"/>
        <v>100</v>
      </c>
      <c r="T14" s="3984" t="s">
        <v>13</v>
      </c>
      <c r="U14" s="3755">
        <f t="shared" si="1"/>
        <v>100</v>
      </c>
      <c r="V14" s="3984" t="s">
        <v>13</v>
      </c>
      <c r="W14" s="3755">
        <f t="shared" si="2"/>
        <v>100</v>
      </c>
      <c r="X14" s="493"/>
      <c r="Y14" s="4388"/>
      <c r="Z14" s="28">
        <f t="shared" si="7"/>
        <v>111</v>
      </c>
      <c r="AA14" s="28">
        <f t="shared" si="3"/>
        <v>1</v>
      </c>
      <c r="AB14" s="28">
        <f t="shared" si="4"/>
        <v>1</v>
      </c>
      <c r="AC14" s="28">
        <f t="shared" si="5"/>
        <v>1</v>
      </c>
    </row>
    <row r="15" spans="1:29" ht="15">
      <c r="A15" s="263" t="s">
        <v>1604</v>
      </c>
      <c r="B15" s="32" t="s">
        <v>1741</v>
      </c>
      <c r="C15" s="1461">
        <f>估价对象房地状况!G3</f>
        <v>0</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411" t="s">
        <v>1605</v>
      </c>
      <c r="Q15" s="1544" t="str">
        <f t="shared" si="6"/>
        <v>产业集聚程度</v>
      </c>
      <c r="R15" s="3985" t="s">
        <v>13</v>
      </c>
      <c r="S15" s="3987">
        <f t="shared" si="0"/>
        <v>100</v>
      </c>
      <c r="T15" s="3985" t="s">
        <v>13</v>
      </c>
      <c r="U15" s="3987">
        <f t="shared" si="1"/>
        <v>100</v>
      </c>
      <c r="V15" s="3985" t="s">
        <v>13</v>
      </c>
      <c r="W15" s="3987">
        <f t="shared" si="2"/>
        <v>100</v>
      </c>
      <c r="X15" s="946"/>
      <c r="Y15" s="4413" t="s">
        <v>1605</v>
      </c>
      <c r="Z15" s="944" t="str">
        <f t="shared" si="7"/>
        <v>产业集聚程度</v>
      </c>
      <c r="AA15" s="944">
        <f t="shared" si="3"/>
        <v>1</v>
      </c>
      <c r="AB15" s="944">
        <f t="shared" si="4"/>
        <v>1</v>
      </c>
      <c r="AC15" s="944">
        <f t="shared" si="5"/>
        <v>1</v>
      </c>
    </row>
    <row r="16" spans="1:29" ht="15">
      <c r="A16" s="255"/>
      <c r="B16" s="266"/>
      <c r="C16" s="267"/>
      <c r="D16" s="3029"/>
      <c r="E16" s="267"/>
      <c r="F16" s="3981"/>
      <c r="G16" s="267"/>
      <c r="H16" s="269"/>
      <c r="I16" s="267"/>
      <c r="J16" s="268"/>
      <c r="K16" s="401"/>
      <c r="L16" s="630"/>
      <c r="M16" s="621"/>
      <c r="N16" s="621"/>
      <c r="O16" s="629"/>
      <c r="P16" s="4412"/>
      <c r="Q16" s="1544"/>
      <c r="R16" s="3985"/>
      <c r="S16" s="3987"/>
      <c r="T16" s="3985"/>
      <c r="U16" s="3987"/>
      <c r="V16" s="3985"/>
      <c r="W16" s="3987"/>
      <c r="X16" s="946"/>
      <c r="Y16" s="4414"/>
      <c r="Z16" s="944"/>
      <c r="AA16" s="944">
        <v>1</v>
      </c>
      <c r="AB16" s="944">
        <v>1</v>
      </c>
      <c r="AC16" s="944">
        <v>1</v>
      </c>
    </row>
    <row r="17" spans="1:29" ht="15">
      <c r="A17" s="255"/>
      <c r="B17" s="270" t="s">
        <v>1242</v>
      </c>
      <c r="C17" s="1401">
        <f>估价对象房地状况!G4</f>
        <v>0</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412"/>
      <c r="Q17" s="1544" t="str">
        <f>B17</f>
        <v>交通便捷度</v>
      </c>
      <c r="R17" s="3985" t="s">
        <v>13</v>
      </c>
      <c r="S17" s="3987">
        <f>F17</f>
        <v>100</v>
      </c>
      <c r="T17" s="3985" t="s">
        <v>13</v>
      </c>
      <c r="U17" s="3987">
        <f>H17</f>
        <v>100</v>
      </c>
      <c r="V17" s="3985" t="s">
        <v>13</v>
      </c>
      <c r="W17" s="3987">
        <f>J17</f>
        <v>100</v>
      </c>
      <c r="X17" s="946"/>
      <c r="Y17" s="4414"/>
      <c r="Z17" s="944" t="str">
        <f>Q17</f>
        <v>交通便捷度</v>
      </c>
      <c r="AA17" s="944">
        <f t="shared" si="3"/>
        <v>1</v>
      </c>
      <c r="AB17" s="944">
        <f t="shared" si="4"/>
        <v>1</v>
      </c>
      <c r="AC17" s="944">
        <f t="shared" si="5"/>
        <v>1</v>
      </c>
    </row>
    <row r="18" spans="1:29" ht="15">
      <c r="A18" s="255"/>
      <c r="B18" s="273"/>
      <c r="C18" s="1402"/>
      <c r="D18" s="3030"/>
      <c r="E18" s="1404"/>
      <c r="F18" s="3982"/>
      <c r="G18" s="1403"/>
      <c r="H18" s="268"/>
      <c r="I18" s="1404"/>
      <c r="J18" s="268"/>
      <c r="K18" s="401"/>
      <c r="L18" s="630"/>
      <c r="M18" s="621"/>
      <c r="N18" s="621"/>
      <c r="O18" s="629"/>
      <c r="P18" s="4412"/>
      <c r="Q18" s="1544"/>
      <c r="R18" s="3985"/>
      <c r="S18" s="3987"/>
      <c r="T18" s="3985"/>
      <c r="U18" s="3987"/>
      <c r="V18" s="3985"/>
      <c r="W18" s="3987"/>
      <c r="X18" s="946"/>
      <c r="Y18" s="4414"/>
      <c r="Z18" s="944"/>
      <c r="AA18" s="944">
        <v>1</v>
      </c>
      <c r="AB18" s="944">
        <v>1</v>
      </c>
      <c r="AC18" s="944">
        <v>1</v>
      </c>
    </row>
    <row r="19" spans="1:29" ht="15">
      <c r="A19" s="255"/>
      <c r="B19" s="270" t="s">
        <v>1726</v>
      </c>
      <c r="C19" s="1401">
        <f>估价对象房地状况!G5</f>
        <v>0</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412"/>
      <c r="Q19" s="1544" t="str">
        <f>B19</f>
        <v>公共配套设施</v>
      </c>
      <c r="R19" s="3985" t="s">
        <v>13</v>
      </c>
      <c r="S19" s="3987">
        <f>F19</f>
        <v>100</v>
      </c>
      <c r="T19" s="3985" t="s">
        <v>13</v>
      </c>
      <c r="U19" s="3987">
        <f>H19</f>
        <v>100</v>
      </c>
      <c r="V19" s="3985" t="s">
        <v>13</v>
      </c>
      <c r="W19" s="3987">
        <f>J19</f>
        <v>100</v>
      </c>
      <c r="X19" s="946"/>
      <c r="Y19" s="4414"/>
      <c r="Z19" s="944" t="str">
        <f>Q19</f>
        <v>公共配套设施</v>
      </c>
      <c r="AA19" s="944">
        <f t="shared" si="3"/>
        <v>1</v>
      </c>
      <c r="AB19" s="944">
        <f t="shared" si="4"/>
        <v>1</v>
      </c>
      <c r="AC19" s="944">
        <f t="shared" si="5"/>
        <v>1</v>
      </c>
    </row>
    <row r="20" spans="1:29" ht="15">
      <c r="A20" s="255"/>
      <c r="B20" s="273"/>
      <c r="C20" s="267"/>
      <c r="D20" s="3029"/>
      <c r="E20" s="1400"/>
      <c r="F20" s="3981"/>
      <c r="G20" s="1399"/>
      <c r="H20" s="268"/>
      <c r="I20" s="1400"/>
      <c r="J20" s="268"/>
      <c r="K20" s="401"/>
      <c r="L20" s="630"/>
      <c r="M20" s="621"/>
      <c r="N20" s="621"/>
      <c r="O20" s="629"/>
      <c r="P20" s="4412"/>
      <c r="Q20" s="1544"/>
      <c r="R20" s="3985"/>
      <c r="S20" s="3987"/>
      <c r="T20" s="3985"/>
      <c r="U20" s="3987"/>
      <c r="V20" s="3985"/>
      <c r="W20" s="3987"/>
      <c r="X20" s="946"/>
      <c r="Y20" s="4414"/>
      <c r="Z20" s="944"/>
      <c r="AA20" s="944">
        <v>1</v>
      </c>
      <c r="AB20" s="944">
        <v>1</v>
      </c>
      <c r="AC20" s="944">
        <v>1</v>
      </c>
    </row>
    <row r="21" spans="1:29" ht="15">
      <c r="A21" s="255"/>
      <c r="B21" s="792" t="s">
        <v>1727</v>
      </c>
      <c r="C21" s="1401">
        <f>估价对象房地状况!G6</f>
        <v>0</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412"/>
      <c r="Q21" s="1544" t="str">
        <f>B21</f>
        <v>基础设施水平</v>
      </c>
      <c r="R21" s="3985" t="s">
        <v>13</v>
      </c>
      <c r="S21" s="3987">
        <f>F21</f>
        <v>100</v>
      </c>
      <c r="T21" s="3985" t="s">
        <v>13</v>
      </c>
      <c r="U21" s="3987">
        <f>H21</f>
        <v>100</v>
      </c>
      <c r="V21" s="3985" t="s">
        <v>13</v>
      </c>
      <c r="W21" s="3987">
        <f>J21</f>
        <v>100</v>
      </c>
      <c r="X21" s="946"/>
      <c r="Y21" s="4414"/>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1"/>
      <c r="G22" s="267"/>
      <c r="H22" s="268"/>
      <c r="I22" s="267"/>
      <c r="J22" s="268"/>
      <c r="K22" s="791"/>
      <c r="L22" s="630"/>
      <c r="M22" s="621"/>
      <c r="N22" s="621"/>
      <c r="O22" s="629"/>
      <c r="P22" s="4412"/>
      <c r="Q22" s="1544"/>
      <c r="R22" s="3985"/>
      <c r="S22" s="3987"/>
      <c r="T22" s="3985"/>
      <c r="U22" s="3987"/>
      <c r="V22" s="3985"/>
      <c r="W22" s="3987"/>
      <c r="X22" s="946"/>
      <c r="Y22" s="4414"/>
      <c r="Z22" s="944"/>
      <c r="AA22" s="944">
        <v>1</v>
      </c>
      <c r="AB22" s="944">
        <v>1</v>
      </c>
      <c r="AC22" s="944">
        <v>1</v>
      </c>
    </row>
    <row r="23" spans="1:29" ht="15">
      <c r="A23" s="255"/>
      <c r="B23" s="270" t="s">
        <v>1728</v>
      </c>
      <c r="C23" s="1401">
        <f>估价对象房地状况!G7</f>
        <v>0</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412"/>
      <c r="Q23" s="1544" t="str">
        <f>B23</f>
        <v>环境质量</v>
      </c>
      <c r="R23" s="3985" t="s">
        <v>13</v>
      </c>
      <c r="S23" s="3987">
        <f>F23</f>
        <v>100</v>
      </c>
      <c r="T23" s="3985" t="s">
        <v>13</v>
      </c>
      <c r="U23" s="3987">
        <f>H23</f>
        <v>100</v>
      </c>
      <c r="V23" s="3985" t="s">
        <v>13</v>
      </c>
      <c r="W23" s="3987">
        <f>J23</f>
        <v>100</v>
      </c>
      <c r="X23" s="946"/>
      <c r="Y23" s="4414"/>
      <c r="Z23" s="944" t="str">
        <f>Q23</f>
        <v>环境质量</v>
      </c>
      <c r="AA23" s="944">
        <f t="shared" si="3"/>
        <v>1</v>
      </c>
      <c r="AB23" s="944">
        <f t="shared" si="4"/>
        <v>1</v>
      </c>
      <c r="AC23" s="944">
        <f t="shared" si="5"/>
        <v>1</v>
      </c>
    </row>
    <row r="24" spans="1:29" ht="15">
      <c r="A24" s="255"/>
      <c r="B24" s="792"/>
      <c r="C24" s="267"/>
      <c r="D24" s="3029"/>
      <c r="E24" s="1400"/>
      <c r="F24" s="3981"/>
      <c r="G24" s="1399"/>
      <c r="H24" s="268"/>
      <c r="I24" s="1400"/>
      <c r="J24" s="268"/>
      <c r="K24" s="401"/>
      <c r="L24" s="630"/>
      <c r="M24" s="621"/>
      <c r="N24" s="621"/>
      <c r="O24" s="629"/>
      <c r="P24" s="4412"/>
      <c r="Q24" s="1544"/>
      <c r="R24" s="3985"/>
      <c r="S24" s="3987"/>
      <c r="T24" s="3985"/>
      <c r="U24" s="3987"/>
      <c r="V24" s="3985"/>
      <c r="W24" s="3987"/>
      <c r="X24" s="946"/>
      <c r="Y24" s="4414"/>
      <c r="Z24" s="944"/>
      <c r="AA24" s="944">
        <v>1</v>
      </c>
      <c r="AB24" s="944">
        <v>1</v>
      </c>
      <c r="AC24" s="944">
        <v>1</v>
      </c>
    </row>
    <row r="25" spans="1:29" ht="1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412"/>
      <c r="Q25" s="1544">
        <f>B25</f>
        <v>111</v>
      </c>
      <c r="R25" s="3985" t="s">
        <v>13</v>
      </c>
      <c r="S25" s="3987">
        <f>F25</f>
        <v>100</v>
      </c>
      <c r="T25" s="3985" t="s">
        <v>13</v>
      </c>
      <c r="U25" s="3987">
        <f>H25</f>
        <v>100</v>
      </c>
      <c r="V25" s="3985" t="s">
        <v>13</v>
      </c>
      <c r="W25" s="3987">
        <f>J25</f>
        <v>100</v>
      </c>
      <c r="X25" s="946"/>
      <c r="Y25" s="4414"/>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412"/>
      <c r="Q26" s="1544">
        <f t="shared" ref="Q26:Q40" si="11">B26</f>
        <v>111</v>
      </c>
      <c r="R26" s="3985" t="s">
        <v>13</v>
      </c>
      <c r="S26" s="3987">
        <f>F26</f>
        <v>100</v>
      </c>
      <c r="T26" s="3985" t="s">
        <v>13</v>
      </c>
      <c r="U26" s="3987">
        <f>H26</f>
        <v>100</v>
      </c>
      <c r="V26" s="3985" t="s">
        <v>13</v>
      </c>
      <c r="W26" s="3987">
        <f>J26</f>
        <v>100</v>
      </c>
      <c r="X26" s="946"/>
      <c r="Y26" s="4414"/>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12"/>
      <c r="Q27" s="1742">
        <f t="shared" si="11"/>
        <v>111</v>
      </c>
      <c r="R27" s="3984" t="s">
        <v>13</v>
      </c>
      <c r="S27" s="3755">
        <f>F27</f>
        <v>100</v>
      </c>
      <c r="T27" s="3984" t="s">
        <v>13</v>
      </c>
      <c r="U27" s="3755">
        <f>H27</f>
        <v>100</v>
      </c>
      <c r="V27" s="3984" t="s">
        <v>13</v>
      </c>
      <c r="W27" s="3755">
        <f>J27</f>
        <v>100</v>
      </c>
      <c r="X27" s="493"/>
      <c r="Y27" s="4414"/>
      <c r="Z27" s="28">
        <f>Q27</f>
        <v>111</v>
      </c>
      <c r="AA27" s="944">
        <f>D27/F27</f>
        <v>1</v>
      </c>
      <c r="AB27" s="944">
        <f>D27/H27</f>
        <v>1</v>
      </c>
      <c r="AC27" s="944">
        <f>D27/J27</f>
        <v>1</v>
      </c>
    </row>
    <row r="28" spans="1:29" ht="15.75"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412"/>
      <c r="Q28" s="1544">
        <f t="shared" si="11"/>
        <v>111</v>
      </c>
      <c r="R28" s="3985" t="s">
        <v>13</v>
      </c>
      <c r="S28" s="3987">
        <f t="shared" ref="S28:S40" si="12">F28</f>
        <v>100</v>
      </c>
      <c r="T28" s="3985" t="s">
        <v>13</v>
      </c>
      <c r="U28" s="3987">
        <f t="shared" ref="U28:U40" si="13">H28</f>
        <v>100</v>
      </c>
      <c r="V28" s="3985" t="s">
        <v>13</v>
      </c>
      <c r="W28" s="3987">
        <f t="shared" ref="W28:W40" si="14">J28</f>
        <v>100</v>
      </c>
      <c r="X28" s="946"/>
      <c r="Y28" s="4414"/>
      <c r="Z28" s="944">
        <f t="shared" ref="Z28:Z40" si="15">Q28</f>
        <v>111</v>
      </c>
      <c r="AA28" s="944">
        <f t="shared" si="3"/>
        <v>1</v>
      </c>
      <c r="AB28" s="944">
        <f t="shared" si="4"/>
        <v>1</v>
      </c>
      <c r="AC28" s="944">
        <f t="shared" si="5"/>
        <v>1</v>
      </c>
    </row>
    <row r="29" spans="1:29" ht="28.5">
      <c r="A29" s="277" t="s">
        <v>1608</v>
      </c>
      <c r="B29" s="34" t="s">
        <v>1731</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415" t="s">
        <v>1610</v>
      </c>
      <c r="Q29" s="1544" t="str">
        <f t="shared" si="11"/>
        <v>建筑类型</v>
      </c>
      <c r="R29" s="3985" t="s">
        <v>13</v>
      </c>
      <c r="S29" s="3987">
        <f t="shared" si="12"/>
        <v>100</v>
      </c>
      <c r="T29" s="3985" t="s">
        <v>13</v>
      </c>
      <c r="U29" s="3987">
        <f t="shared" si="13"/>
        <v>100</v>
      </c>
      <c r="V29" s="3985" t="s">
        <v>13</v>
      </c>
      <c r="W29" s="3987">
        <f t="shared" si="14"/>
        <v>100</v>
      </c>
      <c r="X29" s="946"/>
      <c r="Y29" s="4417" t="s">
        <v>1610</v>
      </c>
      <c r="Z29" s="944" t="str">
        <f t="shared" si="15"/>
        <v>建筑类型</v>
      </c>
      <c r="AA29" s="944">
        <f t="shared" si="3"/>
        <v>1</v>
      </c>
      <c r="AB29" s="944">
        <f t="shared" si="4"/>
        <v>1</v>
      </c>
      <c r="AC29" s="944">
        <f t="shared" si="5"/>
        <v>1</v>
      </c>
    </row>
    <row r="30" spans="1:29" s="280" customFormat="1" ht="15">
      <c r="A30" s="278"/>
      <c r="B30" s="253" t="s">
        <v>1611</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16"/>
      <c r="Q30" s="392" t="str">
        <f t="shared" si="11"/>
        <v>项目建筑规模</v>
      </c>
      <c r="R30" s="3986" t="s">
        <v>13</v>
      </c>
      <c r="S30" s="3988" t="e">
        <f t="shared" si="12"/>
        <v>#N/A</v>
      </c>
      <c r="T30" s="3986" t="s">
        <v>13</v>
      </c>
      <c r="U30" s="3988" t="e">
        <f t="shared" si="13"/>
        <v>#N/A</v>
      </c>
      <c r="V30" s="3986" t="s">
        <v>13</v>
      </c>
      <c r="W30" s="3988" t="e">
        <f t="shared" si="14"/>
        <v>#N/A</v>
      </c>
      <c r="X30" s="494"/>
      <c r="Y30" s="4417"/>
      <c r="Z30" s="495" t="str">
        <f t="shared" si="15"/>
        <v>项目建筑规模</v>
      </c>
      <c r="AA30" s="944" t="e">
        <f t="shared" si="3"/>
        <v>#N/A</v>
      </c>
      <c r="AB30" s="944" t="e">
        <f t="shared" si="4"/>
        <v>#N/A</v>
      </c>
      <c r="AC30" s="944" t="e">
        <f t="shared" si="5"/>
        <v>#N/A</v>
      </c>
    </row>
    <row r="31" spans="1:29" ht="15">
      <c r="A31" s="281"/>
      <c r="B31" s="253" t="s">
        <v>1612</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416"/>
      <c r="Q31" s="1544" t="str">
        <f t="shared" si="11"/>
        <v>建筑结构</v>
      </c>
      <c r="R31" s="3985" t="s">
        <v>13</v>
      </c>
      <c r="S31" s="3987">
        <f t="shared" si="12"/>
        <v>100</v>
      </c>
      <c r="T31" s="3985" t="s">
        <v>13</v>
      </c>
      <c r="U31" s="3987">
        <f t="shared" si="13"/>
        <v>100</v>
      </c>
      <c r="V31" s="3985" t="s">
        <v>13</v>
      </c>
      <c r="W31" s="3987">
        <f t="shared" si="14"/>
        <v>100</v>
      </c>
      <c r="X31" s="946"/>
      <c r="Y31" s="4417"/>
      <c r="Z31" s="944" t="str">
        <f t="shared" si="15"/>
        <v>建筑结构</v>
      </c>
      <c r="AA31" s="944">
        <f t="shared" si="3"/>
        <v>1</v>
      </c>
      <c r="AB31" s="944">
        <f t="shared" si="4"/>
        <v>1</v>
      </c>
      <c r="AC31" s="944">
        <f t="shared" si="5"/>
        <v>1</v>
      </c>
    </row>
    <row r="32" spans="1:29" ht="15">
      <c r="A32" s="281"/>
      <c r="B32" s="253" t="s">
        <v>1699</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416"/>
      <c r="Q32" s="1544" t="str">
        <f t="shared" si="11"/>
        <v>公共部分装修</v>
      </c>
      <c r="R32" s="3985" t="s">
        <v>13</v>
      </c>
      <c r="S32" s="3987">
        <f t="shared" si="12"/>
        <v>100</v>
      </c>
      <c r="T32" s="3985" t="s">
        <v>13</v>
      </c>
      <c r="U32" s="3987">
        <f t="shared" si="13"/>
        <v>100</v>
      </c>
      <c r="V32" s="3985" t="s">
        <v>13</v>
      </c>
      <c r="W32" s="3987">
        <f t="shared" si="14"/>
        <v>100</v>
      </c>
      <c r="X32" s="946"/>
      <c r="Y32" s="4417"/>
      <c r="Z32" s="944" t="str">
        <f t="shared" si="15"/>
        <v>公共部分装修</v>
      </c>
      <c r="AA32" s="944">
        <f t="shared" si="3"/>
        <v>1</v>
      </c>
      <c r="AB32" s="944">
        <f t="shared" si="4"/>
        <v>1</v>
      </c>
      <c r="AC32" s="944">
        <f t="shared" si="5"/>
        <v>1</v>
      </c>
    </row>
    <row r="33" spans="1:29" ht="15">
      <c r="A33" s="281"/>
      <c r="B33" s="253" t="s">
        <v>1700</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416"/>
      <c r="Q33" s="1544" t="str">
        <f t="shared" si="11"/>
        <v>成新度</v>
      </c>
      <c r="R33" s="3985" t="s">
        <v>13</v>
      </c>
      <c r="S33" s="3987" t="e">
        <f t="shared" si="12"/>
        <v>#N/A</v>
      </c>
      <c r="T33" s="3985" t="s">
        <v>13</v>
      </c>
      <c r="U33" s="3987" t="e">
        <f t="shared" si="13"/>
        <v>#N/A</v>
      </c>
      <c r="V33" s="3985" t="s">
        <v>13</v>
      </c>
      <c r="W33" s="3987" t="e">
        <f t="shared" si="14"/>
        <v>#N/A</v>
      </c>
      <c r="X33" s="946"/>
      <c r="Y33" s="4417"/>
      <c r="Z33" s="944" t="str">
        <f t="shared" si="15"/>
        <v>成新度</v>
      </c>
      <c r="AA33" s="944" t="e">
        <f t="shared" si="3"/>
        <v>#N/A</v>
      </c>
      <c r="AB33" s="944" t="e">
        <f t="shared" si="4"/>
        <v>#N/A</v>
      </c>
      <c r="AC33" s="944" t="e">
        <f t="shared" si="5"/>
        <v>#N/A</v>
      </c>
    </row>
    <row r="34" spans="1:29" s="46" customFormat="1" ht="15">
      <c r="A34" s="282"/>
      <c r="B34" s="253" t="s">
        <v>1733</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416"/>
      <c r="Q34" s="1742" t="str">
        <f t="shared" si="11"/>
        <v>物业管理</v>
      </c>
      <c r="R34" s="3984" t="s">
        <v>13</v>
      </c>
      <c r="S34" s="3755">
        <f t="shared" si="12"/>
        <v>100</v>
      </c>
      <c r="T34" s="3984" t="s">
        <v>13</v>
      </c>
      <c r="U34" s="3755">
        <f t="shared" si="13"/>
        <v>100</v>
      </c>
      <c r="V34" s="3984" t="s">
        <v>13</v>
      </c>
      <c r="W34" s="3755">
        <f t="shared" si="14"/>
        <v>100</v>
      </c>
      <c r="X34" s="493"/>
      <c r="Y34" s="4417"/>
      <c r="Z34" s="28" t="str">
        <f t="shared" si="15"/>
        <v>物业管理</v>
      </c>
      <c r="AA34" s="28">
        <f t="shared" si="3"/>
        <v>1</v>
      </c>
      <c r="AB34" s="28">
        <f t="shared" si="4"/>
        <v>1</v>
      </c>
      <c r="AC34" s="28">
        <f t="shared" si="5"/>
        <v>1</v>
      </c>
    </row>
    <row r="35" spans="1:29" ht="15">
      <c r="A35" s="281"/>
      <c r="B35" s="253" t="s">
        <v>1701</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416" t="s">
        <v>1610</v>
      </c>
      <c r="Q35" s="1544" t="str">
        <f t="shared" si="11"/>
        <v>市政基础设施</v>
      </c>
      <c r="R35" s="3985" t="s">
        <v>13</v>
      </c>
      <c r="S35" s="3987">
        <f t="shared" si="12"/>
        <v>100</v>
      </c>
      <c r="T35" s="3985" t="s">
        <v>13</v>
      </c>
      <c r="U35" s="3987">
        <f t="shared" si="13"/>
        <v>100</v>
      </c>
      <c r="V35" s="3985" t="s">
        <v>13</v>
      </c>
      <c r="W35" s="3987">
        <f t="shared" si="14"/>
        <v>100</v>
      </c>
      <c r="X35" s="946"/>
      <c r="Y35" s="4417" t="s">
        <v>1610</v>
      </c>
      <c r="Z35" s="944" t="str">
        <f t="shared" si="15"/>
        <v>市政基础设施</v>
      </c>
      <c r="AA35" s="944">
        <f t="shared" si="3"/>
        <v>1</v>
      </c>
      <c r="AB35" s="944">
        <f t="shared" si="4"/>
        <v>1</v>
      </c>
      <c r="AC35" s="944">
        <f t="shared" si="5"/>
        <v>1</v>
      </c>
    </row>
    <row r="36" spans="1:29" ht="15">
      <c r="A36" s="281"/>
      <c r="B36" s="253" t="s">
        <v>1706</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416"/>
      <c r="Q36" s="1544" t="str">
        <f t="shared" si="11"/>
        <v>内部装修</v>
      </c>
      <c r="R36" s="3985" t="s">
        <v>13</v>
      </c>
      <c r="S36" s="3987">
        <f t="shared" si="12"/>
        <v>100</v>
      </c>
      <c r="T36" s="3985" t="s">
        <v>13</v>
      </c>
      <c r="U36" s="3987">
        <f t="shared" si="13"/>
        <v>100</v>
      </c>
      <c r="V36" s="3985" t="s">
        <v>13</v>
      </c>
      <c r="W36" s="3987">
        <f t="shared" si="14"/>
        <v>100</v>
      </c>
      <c r="X36" s="946"/>
      <c r="Y36" s="4417"/>
      <c r="Z36" s="944" t="str">
        <f t="shared" si="15"/>
        <v>内部装修</v>
      </c>
      <c r="AA36" s="944">
        <f t="shared" si="3"/>
        <v>1</v>
      </c>
      <c r="AB36" s="944">
        <f t="shared" si="4"/>
        <v>1</v>
      </c>
      <c r="AC36" s="944">
        <f t="shared" si="5"/>
        <v>1</v>
      </c>
    </row>
    <row r="37" spans="1:29" ht="15">
      <c r="A37" s="281"/>
      <c r="B37" s="253" t="s">
        <v>1742</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416"/>
      <c r="Q37" s="1544" t="str">
        <f t="shared" si="11"/>
        <v>内部装修状况</v>
      </c>
      <c r="R37" s="3985" t="s">
        <v>13</v>
      </c>
      <c r="S37" s="3987">
        <f t="shared" si="12"/>
        <v>100</v>
      </c>
      <c r="T37" s="3985" t="s">
        <v>13</v>
      </c>
      <c r="U37" s="3987">
        <f t="shared" si="13"/>
        <v>100</v>
      </c>
      <c r="V37" s="3985" t="s">
        <v>13</v>
      </c>
      <c r="W37" s="3987">
        <f t="shared" si="14"/>
        <v>100</v>
      </c>
      <c r="X37" s="946"/>
      <c r="Y37" s="4417"/>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416"/>
      <c r="Q38" s="392">
        <f t="shared" si="11"/>
        <v>111</v>
      </c>
      <c r="R38" s="3986" t="s">
        <v>13</v>
      </c>
      <c r="S38" s="3988">
        <f t="shared" si="12"/>
        <v>100</v>
      </c>
      <c r="T38" s="3986" t="s">
        <v>13</v>
      </c>
      <c r="U38" s="3988">
        <f t="shared" si="13"/>
        <v>100</v>
      </c>
      <c r="V38" s="3986" t="s">
        <v>13</v>
      </c>
      <c r="W38" s="3988">
        <f t="shared" si="14"/>
        <v>100</v>
      </c>
      <c r="X38" s="494"/>
      <c r="Y38" s="4417"/>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416"/>
      <c r="Q39" s="1544">
        <f t="shared" si="11"/>
        <v>111</v>
      </c>
      <c r="R39" s="3985" t="s">
        <v>13</v>
      </c>
      <c r="S39" s="3987">
        <f t="shared" si="12"/>
        <v>100</v>
      </c>
      <c r="T39" s="3985" t="s">
        <v>13</v>
      </c>
      <c r="U39" s="3987">
        <f t="shared" si="13"/>
        <v>100</v>
      </c>
      <c r="V39" s="3985" t="s">
        <v>13</v>
      </c>
      <c r="W39" s="3987">
        <f t="shared" si="14"/>
        <v>100</v>
      </c>
      <c r="X39" s="946"/>
      <c r="Y39" s="4417"/>
      <c r="Z39" s="944">
        <f t="shared" si="15"/>
        <v>111</v>
      </c>
      <c r="AA39" s="944">
        <f t="shared" si="3"/>
        <v>1</v>
      </c>
      <c r="AB39" s="944">
        <f t="shared" si="4"/>
        <v>1</v>
      </c>
      <c r="AC39" s="944">
        <f t="shared" si="5"/>
        <v>1</v>
      </c>
    </row>
    <row r="40" spans="1:29" ht="15.75"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529"/>
      <c r="Q40" s="1544">
        <f t="shared" si="11"/>
        <v>111</v>
      </c>
      <c r="R40" s="3985" t="s">
        <v>13</v>
      </c>
      <c r="S40" s="3987">
        <f t="shared" si="12"/>
        <v>100</v>
      </c>
      <c r="T40" s="3985" t="s">
        <v>13</v>
      </c>
      <c r="U40" s="3987">
        <f t="shared" si="13"/>
        <v>100</v>
      </c>
      <c r="V40" s="3985" t="s">
        <v>13</v>
      </c>
      <c r="W40" s="3987">
        <f t="shared" si="14"/>
        <v>100</v>
      </c>
      <c r="X40" s="946"/>
      <c r="Y40" s="4442"/>
      <c r="Z40" s="944">
        <f t="shared" si="15"/>
        <v>111</v>
      </c>
      <c r="AA40" s="944">
        <f t="shared" si="3"/>
        <v>1</v>
      </c>
      <c r="AB40" s="944">
        <f t="shared" si="4"/>
        <v>1</v>
      </c>
      <c r="AC40" s="944">
        <f t="shared" si="5"/>
        <v>1</v>
      </c>
    </row>
    <row r="41" spans="1:29" ht="15">
      <c r="A41" s="287" t="s">
        <v>1622</v>
      </c>
      <c r="B41" s="288"/>
      <c r="C41" s="798" t="s">
        <v>0</v>
      </c>
      <c r="D41" s="289"/>
      <c r="E41" s="3386"/>
      <c r="F41" s="3324"/>
      <c r="G41" s="3387"/>
      <c r="H41" s="3325"/>
      <c r="I41" s="3386"/>
      <c r="J41" s="3325"/>
      <c r="K41" s="2986"/>
      <c r="L41" s="633"/>
      <c r="M41" s="621"/>
      <c r="N41" s="621"/>
      <c r="O41" s="621"/>
      <c r="P41" s="4387" t="str">
        <f>A41</f>
        <v>成交单价（元/平方米）</v>
      </c>
      <c r="Q41" s="4387"/>
      <c r="R41" s="4418">
        <f>E41</f>
        <v>0</v>
      </c>
      <c r="S41" s="4418"/>
      <c r="T41" s="4418">
        <f>G41</f>
        <v>0</v>
      </c>
      <c r="U41" s="4418"/>
      <c r="V41" s="4418">
        <f>I41</f>
        <v>0</v>
      </c>
      <c r="W41" s="4418"/>
      <c r="X41" s="266"/>
      <c r="Y41" s="496"/>
      <c r="Z41" s="266"/>
      <c r="AA41" s="266"/>
      <c r="AB41" s="266"/>
      <c r="AC41" s="266"/>
    </row>
    <row r="42" spans="1:29" ht="15.75" thickBot="1">
      <c r="A42" s="290" t="s">
        <v>1707</v>
      </c>
      <c r="B42" s="291"/>
      <c r="C42" s="3958" t="e">
        <f>R43</f>
        <v>#DIV/0!</v>
      </c>
      <c r="D42" s="4082" t="s">
        <v>2048</v>
      </c>
      <c r="E42" s="3008" t="e">
        <f>R42</f>
        <v>#DIV/0!</v>
      </c>
      <c r="F42" s="2925"/>
      <c r="G42" s="3007" t="e">
        <f>T42</f>
        <v>#DIV/0!</v>
      </c>
      <c r="H42" s="2925"/>
      <c r="I42" s="3008" t="e">
        <f>V42</f>
        <v>#DIV/0!</v>
      </c>
      <c r="J42" s="2925"/>
      <c r="K42" s="2979">
        <f>F42+H42+J42</f>
        <v>0</v>
      </c>
      <c r="L42" s="633"/>
      <c r="M42" s="621"/>
      <c r="N42" s="621"/>
      <c r="O42" s="621"/>
      <c r="P42" s="4387" t="str">
        <f>A42</f>
        <v>比较价值（元/平方米）</v>
      </c>
      <c r="Q42" s="4387"/>
      <c r="R42" s="4418" t="e">
        <f>IF(F1="售价",ROUND(PRODUCT(R41,AA7:AA40),0),ROUND(PRODUCT(R41,AA7:AA40),1))</f>
        <v>#DIV/0!</v>
      </c>
      <c r="S42" s="4418"/>
      <c r="T42" s="4418" t="e">
        <f>IF(F1="售价",ROUND(PRODUCT(T41,AB7:AB40),0),ROUND(PRODUCT(T41,AB7:AB40),1))</f>
        <v>#DIV/0!</v>
      </c>
      <c r="U42" s="4418"/>
      <c r="V42" s="4418" t="e">
        <f>IF(F1="售价",ROUND(PRODUCT(V41,AC7:AC40),0),ROUND(PRODUCT(V41,AC7:AC40),1))</f>
        <v>#DIV/0!</v>
      </c>
      <c r="W42" s="4418"/>
      <c r="X42" s="266"/>
      <c r="Y42" s="266"/>
      <c r="Z42" s="266"/>
      <c r="AA42" s="266"/>
      <c r="AB42" s="266"/>
      <c r="AC42" s="266"/>
    </row>
    <row r="43" spans="1:29" ht="15.75" thickBot="1">
      <c r="A43" s="292" t="s">
        <v>1708</v>
      </c>
      <c r="B43" s="293"/>
      <c r="C43" s="3970" t="e">
        <f>R43</f>
        <v>#DIV/0!</v>
      </c>
      <c r="D43" s="242"/>
      <c r="E43" s="242"/>
      <c r="F43" s="242"/>
      <c r="G43" s="242"/>
      <c r="H43" s="242"/>
      <c r="I43" s="242"/>
      <c r="J43" s="242"/>
      <c r="K43" s="497"/>
      <c r="L43" s="633"/>
      <c r="M43" s="621"/>
      <c r="N43" s="621"/>
      <c r="O43" s="621"/>
      <c r="P43" s="4419" t="str">
        <f>A43</f>
        <v>估价对象XX用房的比较价值（楼面单价，元/平方米）</v>
      </c>
      <c r="Q43" s="4420"/>
      <c r="R43" s="4421" t="e">
        <f>IF(F1="售价",ROUND(IF(D42="简单平均",AVERAGE(R42:V42),R42*F42+T42*H42+V42*J42),0),ROUND(IF(D42="简单平均",AVERAGE(R42:V42),R42*F42+T42*H42+V42*J42),1))</f>
        <v>#DIV/0!</v>
      </c>
      <c r="S43" s="4421"/>
      <c r="T43" s="4421"/>
      <c r="U43" s="4421"/>
      <c r="V43" s="4421"/>
      <c r="W43" s="4421"/>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1709</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1710</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1711</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1712</v>
      </c>
      <c r="B51" s="266"/>
      <c r="C51" s="488"/>
      <c r="D51" s="488"/>
      <c r="E51" s="488"/>
      <c r="F51" s="489"/>
      <c r="G51" s="489"/>
      <c r="H51" s="488"/>
      <c r="I51" s="488"/>
      <c r="J51" s="488"/>
      <c r="K51" s="647"/>
      <c r="L51" s="648"/>
      <c r="M51" s="646"/>
      <c r="N51" s="646"/>
      <c r="O51" s="646"/>
      <c r="P51" s="3360"/>
      <c r="Q51" s="3361"/>
    </row>
    <row r="52" spans="1:23" s="306" customFormat="1" ht="15">
      <c r="A52" s="304" t="s">
        <v>1593</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1630</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1595</v>
      </c>
      <c r="B55" s="308"/>
      <c r="C55" s="320" t="s">
        <v>1690</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1633</v>
      </c>
      <c r="B57" s="323" t="s">
        <v>1599</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1602</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1603</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1604</v>
      </c>
      <c r="B70" s="323" t="s">
        <v>1743</v>
      </c>
      <c r="C70" s="365" t="s">
        <v>1635</v>
      </c>
      <c r="D70" s="365" t="s">
        <v>1636</v>
      </c>
      <c r="E70" s="365" t="s">
        <v>1637</v>
      </c>
      <c r="F70" s="365" t="s">
        <v>1638</v>
      </c>
      <c r="G70" s="365" t="s">
        <v>1639</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1640</v>
      </c>
      <c r="C72" s="369" t="s">
        <v>1635</v>
      </c>
      <c r="D72" s="369" t="s">
        <v>1636</v>
      </c>
      <c r="E72" s="369" t="s">
        <v>1637</v>
      </c>
      <c r="F72" s="369" t="s">
        <v>1638</v>
      </c>
      <c r="G72" s="369" t="s">
        <v>1639</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1641</v>
      </c>
      <c r="C74" s="369" t="s">
        <v>1635</v>
      </c>
      <c r="D74" s="369" t="s">
        <v>1636</v>
      </c>
      <c r="E74" s="369" t="s">
        <v>1637</v>
      </c>
      <c r="F74" s="369" t="s">
        <v>1638</v>
      </c>
      <c r="G74" s="369" t="s">
        <v>1639</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1727</v>
      </c>
      <c r="C76" s="436" t="s">
        <v>1713</v>
      </c>
      <c r="D76" s="436" t="s">
        <v>1714</v>
      </c>
      <c r="E76" s="436" t="s">
        <v>1715</v>
      </c>
      <c r="F76" s="436" t="s">
        <v>1716</v>
      </c>
      <c r="G76" s="436" t="s">
        <v>1717</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1736</v>
      </c>
      <c r="C78" s="369" t="s">
        <v>1635</v>
      </c>
      <c r="D78" s="369" t="s">
        <v>1636</v>
      </c>
      <c r="E78" s="369" t="s">
        <v>1637</v>
      </c>
      <c r="F78" s="369" t="s">
        <v>1638</v>
      </c>
      <c r="G78" s="369" t="s">
        <v>1639</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1608</v>
      </c>
      <c r="B88" s="323" t="s">
        <v>1650</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1651</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1652</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1654</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1655</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1656</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1658</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1744</v>
      </c>
      <c r="C106" s="369" t="s">
        <v>1635</v>
      </c>
      <c r="D106" s="369" t="s">
        <v>1636</v>
      </c>
      <c r="E106" s="369" t="s">
        <v>1637</v>
      </c>
      <c r="F106" s="369" t="s">
        <v>1638</v>
      </c>
      <c r="G106" s="369" t="s">
        <v>1639</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E2" xr:uid="{00000000-0002-0000-2400-000010000000}">
      <formula1>"需扣减承租人权益,——"</formula1>
    </dataValidation>
    <dataValidation type="list" allowBlank="1" showInputMessage="1" showErrorMessage="1" sqref="H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 type="list" allowBlank="1" showInputMessage="1" showErrorMessage="1" sqref="C2" xr:uid="{00000000-0002-0000-24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Normal="60" zoomScaleSheetLayoutView="100" workbookViewId="0">
      <selection activeCell="M19" sqref="M1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3276</v>
      </c>
      <c r="C1" s="848" t="s">
        <v>1576</v>
      </c>
      <c r="D1" s="849" t="s">
        <v>3925</v>
      </c>
      <c r="E1" s="2562" t="s">
        <v>3974</v>
      </c>
      <c r="F1" s="1390" t="s">
        <v>3975</v>
      </c>
      <c r="G1" s="851" t="s">
        <v>1681</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IF(C2="含税",D2,ROUND(D2/(1+H3),0))</f>
        <v>11826</v>
      </c>
      <c r="C2" s="2908" t="s">
        <v>3972</v>
      </c>
      <c r="D2" s="230">
        <f>IF(E1="项目模式",IF(E2="——",IF(B37="元/平方米",ROUND(C39*D3/10000,0),ROUND(F3*C39/10000,0)),IF(B37="元/平方米",ROUND(C39*D3/10000,0),ROUND(F3*C39/10000,0))-F2),IF(E1="单套模式",IF(E2="——",IF(B37="元/平方米",ROUND(C39*D3/10000,0),ROUND(F3*C39/10000,0)),IF(B37="元/平方米",ROUND(C39*D3/10000,0),ROUND(F3*C39/10000,0))-F2)))</f>
        <v>12890</v>
      </c>
      <c r="E2" s="1392" t="s">
        <v>41</v>
      </c>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1435</v>
      </c>
      <c r="B3" s="3003">
        <f>IF(AND(E2="——",B37="元/平方米"),C39,ROUND(B2*10000/D3,0))</f>
        <v>12832</v>
      </c>
      <c r="C3" s="235" t="s">
        <v>1682</v>
      </c>
      <c r="D3" s="3003">
        <f>SUMIF('数据-汇总表'!$C19:$C33,D1,'数据-汇总表'!$E19:$E33)</f>
        <v>9216.07</v>
      </c>
      <c r="E3" s="235" t="s">
        <v>1746</v>
      </c>
      <c r="F3" s="396">
        <f>SUMIF('数据-取费表'!A5:A15,D1,'数据-取费表'!AH5:AH15)</f>
        <v>280</v>
      </c>
      <c r="G3" s="4083" t="s">
        <v>3497</v>
      </c>
      <c r="H3" s="4084">
        <v>0.09</v>
      </c>
      <c r="I3" s="615"/>
      <c r="J3" s="615"/>
      <c r="K3" s="617"/>
      <c r="L3" s="2037"/>
      <c r="M3" s="2038">
        <f>IF(E2="——",IF(B37="元/平方米",ROUND(C39*D3/10000,0),ROUND(F3*C39/10000,0)),IF(B37="元/平方米",ROUND(C39*D3/10000,0),ROUND(F3*C39/10000,0))-F2)</f>
        <v>12890</v>
      </c>
      <c r="N3" s="2038"/>
      <c r="O3" s="2038"/>
      <c r="P3" s="801"/>
      <c r="Q3" s="233"/>
      <c r="R3" s="233"/>
      <c r="S3" s="233"/>
      <c r="T3" s="233"/>
      <c r="U3" s="233"/>
      <c r="V3" s="233"/>
      <c r="W3" s="233"/>
      <c r="X3" s="233"/>
      <c r="Y3" s="233"/>
      <c r="Z3" s="233"/>
      <c r="AA3" s="233"/>
      <c r="AB3" s="498"/>
      <c r="AC3" s="492"/>
    </row>
    <row r="4" spans="1:29" ht="15">
      <c r="A4" s="236" t="s">
        <v>1683</v>
      </c>
      <c r="B4" s="237"/>
      <c r="C4" s="4422" t="s">
        <v>1684</v>
      </c>
      <c r="D4" s="4515"/>
      <c r="E4" s="4516" t="s">
        <v>1685</v>
      </c>
      <c r="F4" s="4517"/>
      <c r="G4" s="4422" t="s">
        <v>1686</v>
      </c>
      <c r="H4" s="4515"/>
      <c r="I4" s="4422" t="s">
        <v>1687</v>
      </c>
      <c r="J4" s="4515"/>
      <c r="K4" s="397" t="s">
        <v>1688</v>
      </c>
      <c r="L4" s="2020"/>
      <c r="M4" s="2021"/>
      <c r="N4" s="2021"/>
      <c r="O4" s="2021"/>
      <c r="P4" s="4530" t="s">
        <v>1689</v>
      </c>
      <c r="Q4" s="4531"/>
      <c r="R4" s="4404" t="s">
        <v>1685</v>
      </c>
      <c r="S4" s="4405"/>
      <c r="T4" s="4404" t="s">
        <v>1686</v>
      </c>
      <c r="U4" s="4405"/>
      <c r="V4" s="4500" t="s">
        <v>1687</v>
      </c>
      <c r="W4" s="4500"/>
      <c r="X4" s="946"/>
      <c r="Y4" s="4404" t="s">
        <v>1689</v>
      </c>
      <c r="Z4" s="4405"/>
      <c r="AA4" s="4370" t="s">
        <v>1685</v>
      </c>
      <c r="AB4" s="4371" t="s">
        <v>1686</v>
      </c>
      <c r="AC4" s="4370" t="s">
        <v>1687</v>
      </c>
    </row>
    <row r="5" spans="1:29" ht="15">
      <c r="A5" s="239"/>
      <c r="B5" s="240"/>
      <c r="C5" s="4506" t="s">
        <v>1587</v>
      </c>
      <c r="D5" s="4507"/>
      <c r="E5" s="4504" t="s">
        <v>3982</v>
      </c>
      <c r="F5" s="4505"/>
      <c r="G5" s="4506" t="s">
        <v>3983</v>
      </c>
      <c r="H5" s="4507"/>
      <c r="I5" s="4506" t="s">
        <v>3984</v>
      </c>
      <c r="J5" s="4507"/>
      <c r="K5" s="397"/>
      <c r="L5" s="2020"/>
      <c r="M5" s="2021"/>
      <c r="N5" s="2021"/>
      <c r="O5" s="2021"/>
      <c r="P5" s="4532"/>
      <c r="Q5" s="4533"/>
      <c r="R5" s="4406"/>
      <c r="S5" s="4407"/>
      <c r="T5" s="4406"/>
      <c r="U5" s="4407"/>
      <c r="V5" s="4500"/>
      <c r="W5" s="4500"/>
      <c r="X5" s="946"/>
      <c r="Y5" s="4406"/>
      <c r="Z5" s="4407"/>
      <c r="AA5" s="4371"/>
      <c r="AB5" s="4371"/>
      <c r="AC5" s="4371"/>
    </row>
    <row r="6" spans="1:29" ht="15.75" thickBot="1">
      <c r="A6" s="241"/>
      <c r="B6" s="242"/>
      <c r="C6" s="4508" t="s">
        <v>1591</v>
      </c>
      <c r="D6" s="4509"/>
      <c r="E6" s="4510" t="s">
        <v>1591</v>
      </c>
      <c r="F6" s="4511"/>
      <c r="G6" s="4508" t="s">
        <v>1591</v>
      </c>
      <c r="H6" s="4509"/>
      <c r="I6" s="4508" t="s">
        <v>1591</v>
      </c>
      <c r="J6" s="4509"/>
      <c r="K6" s="397" t="s">
        <v>1592</v>
      </c>
      <c r="L6" s="2020"/>
      <c r="M6" s="2021"/>
      <c r="N6" s="2021"/>
      <c r="O6" s="2021"/>
      <c r="P6" s="4534"/>
      <c r="Q6" s="4535"/>
      <c r="R6" s="4406"/>
      <c r="S6" s="4407"/>
      <c r="T6" s="4408"/>
      <c r="U6" s="4409"/>
      <c r="V6" s="4500"/>
      <c r="W6" s="4500"/>
      <c r="X6" s="946"/>
      <c r="Y6" s="4408"/>
      <c r="Z6" s="4409"/>
      <c r="AA6" s="4372"/>
      <c r="AB6" s="4372"/>
      <c r="AC6" s="4372"/>
    </row>
    <row r="7" spans="1:29" s="46" customFormat="1" ht="15.75" thickBot="1">
      <c r="A7" s="243" t="s">
        <v>1593</v>
      </c>
      <c r="B7" s="244"/>
      <c r="C7" s="245">
        <f>'数据-取费表'!B2</f>
        <v>46043</v>
      </c>
      <c r="D7" s="3022">
        <v>100</v>
      </c>
      <c r="E7" s="246">
        <f>C7</f>
        <v>46043</v>
      </c>
      <c r="F7" s="3972">
        <f>SUMIF(48:48,YEAR(E7)&amp;"-"&amp;MONTH(E7),49:49)</f>
        <v>100</v>
      </c>
      <c r="G7" s="246">
        <f>E7</f>
        <v>46043</v>
      </c>
      <c r="H7" s="3978">
        <f>SUMIF(48:48,YEAR(G7)&amp;"-"&amp;MONTH(G7),49:49)</f>
        <v>100</v>
      </c>
      <c r="I7" s="246">
        <f>G7</f>
        <v>46043</v>
      </c>
      <c r="J7" s="3978">
        <f>SUMIF(48:48,YEAR(I7)&amp;"-"&amp;MONTH(I7),49:49)</f>
        <v>100</v>
      </c>
      <c r="K7" s="22"/>
      <c r="L7" s="2022"/>
      <c r="M7" s="1973"/>
      <c r="N7" s="1973"/>
      <c r="O7" s="1973"/>
      <c r="P7" s="4373" t="s">
        <v>1594</v>
      </c>
      <c r="Q7" s="4536"/>
      <c r="R7" s="3991" t="s">
        <v>13</v>
      </c>
      <c r="S7" s="3994">
        <f t="shared" ref="S7:S14" si="0">F7</f>
        <v>100</v>
      </c>
      <c r="T7" s="3991" t="s">
        <v>13</v>
      </c>
      <c r="U7" s="3994">
        <f t="shared" ref="U7:U14" si="1">H7</f>
        <v>100</v>
      </c>
      <c r="V7" s="3991" t="s">
        <v>13</v>
      </c>
      <c r="W7" s="3994">
        <f t="shared" ref="W7:W14" si="2">J7</f>
        <v>100</v>
      </c>
      <c r="X7" s="493"/>
      <c r="Y7" s="4373" t="s">
        <v>1594</v>
      </c>
      <c r="Z7" s="4374"/>
      <c r="AA7" s="28">
        <f>D7/F7</f>
        <v>1</v>
      </c>
      <c r="AB7" s="28">
        <f>D7/H7</f>
        <v>1</v>
      </c>
      <c r="AC7" s="28">
        <f>D7/J7</f>
        <v>1</v>
      </c>
    </row>
    <row r="8" spans="1:29" s="46" customFormat="1" ht="15.75" thickBot="1">
      <c r="A8" s="243" t="s">
        <v>1595</v>
      </c>
      <c r="B8" s="244"/>
      <c r="C8" s="247" t="s">
        <v>3966</v>
      </c>
      <c r="D8" s="3022">
        <v>100</v>
      </c>
      <c r="E8" s="247" t="s">
        <v>3966</v>
      </c>
      <c r="F8" s="3972">
        <f>SUMIF(51:51,E8,52:52)-SUMIF(51:51,C8,52:52)+100</f>
        <v>100</v>
      </c>
      <c r="G8" s="247" t="s">
        <v>3966</v>
      </c>
      <c r="H8" s="3978">
        <f>SUMIF(51:51,G8,52:52)-SUMIF(51:51,C8,52:52)+100</f>
        <v>100</v>
      </c>
      <c r="I8" s="247" t="s">
        <v>3966</v>
      </c>
      <c r="J8" s="3978">
        <f>SUMIF(51:51,I8,52:52)-SUMIF(51:51,C8,52:52)+100</f>
        <v>100</v>
      </c>
      <c r="K8" s="22"/>
      <c r="L8" s="2022"/>
      <c r="M8" s="1973"/>
      <c r="N8" s="1973"/>
      <c r="O8" s="1973"/>
      <c r="P8" s="4373" t="s">
        <v>1597</v>
      </c>
      <c r="Q8" s="4374"/>
      <c r="R8" s="3991" t="s">
        <v>13</v>
      </c>
      <c r="S8" s="3994">
        <f t="shared" si="0"/>
        <v>100</v>
      </c>
      <c r="T8" s="3991" t="s">
        <v>13</v>
      </c>
      <c r="U8" s="3994">
        <f t="shared" si="1"/>
        <v>100</v>
      </c>
      <c r="V8" s="3991" t="s">
        <v>13</v>
      </c>
      <c r="W8" s="3994">
        <f t="shared" si="2"/>
        <v>100</v>
      </c>
      <c r="X8" s="493"/>
      <c r="Y8" s="4373" t="s">
        <v>1597</v>
      </c>
      <c r="Z8" s="4374"/>
      <c r="AA8" s="28">
        <f t="shared" ref="AA8:AA36" si="3">D8/F8</f>
        <v>1</v>
      </c>
      <c r="AB8" s="28">
        <f t="shared" ref="AB8:AB36" si="4">D8/H8</f>
        <v>1</v>
      </c>
      <c r="AC8" s="28">
        <f t="shared" ref="AC8:AC36" si="5">D8/J8</f>
        <v>1</v>
      </c>
    </row>
    <row r="9" spans="1:29" s="46" customFormat="1">
      <c r="A9" s="31" t="s">
        <v>1598</v>
      </c>
      <c r="B9" s="420" t="s">
        <v>1599</v>
      </c>
      <c r="C9" s="4151" t="s">
        <v>3985</v>
      </c>
      <c r="D9" s="3023">
        <v>100</v>
      </c>
      <c r="E9" s="251" t="s">
        <v>3224</v>
      </c>
      <c r="F9" s="33">
        <f>SUMIF(53:53,E9,54:54)-SUMIF(53:53,C9,54:54)+100</f>
        <v>100</v>
      </c>
      <c r="G9" s="250" t="s">
        <v>3224</v>
      </c>
      <c r="H9" s="33">
        <f>SUMIF(53:53,G9,54:54)-SUMIF(53:53,C9,54:54)+100</f>
        <v>100</v>
      </c>
      <c r="I9" s="250" t="s">
        <v>3224</v>
      </c>
      <c r="J9" s="33">
        <f>SUMIF(53:53,I9,54:54)-SUMIF(53:53,C9,54:54)+100</f>
        <v>100</v>
      </c>
      <c r="K9" s="22"/>
      <c r="L9" s="2022"/>
      <c r="M9" s="1973"/>
      <c r="N9" s="1973"/>
      <c r="O9" s="1973"/>
      <c r="P9" s="4425" t="s">
        <v>1600</v>
      </c>
      <c r="Q9" s="390" t="str">
        <f t="shared" ref="Q9:Q14" si="6">B9</f>
        <v>用途</v>
      </c>
      <c r="R9" s="3991" t="s">
        <v>13</v>
      </c>
      <c r="S9" s="3994">
        <f t="shared" si="0"/>
        <v>100</v>
      </c>
      <c r="T9" s="3991" t="s">
        <v>13</v>
      </c>
      <c r="U9" s="3994">
        <f t="shared" si="1"/>
        <v>100</v>
      </c>
      <c r="V9" s="3991" t="s">
        <v>13</v>
      </c>
      <c r="W9" s="3994">
        <f t="shared" si="2"/>
        <v>100</v>
      </c>
      <c r="X9" s="493"/>
      <c r="Y9" s="4388" t="s">
        <v>1601</v>
      </c>
      <c r="Z9" s="28" t="str">
        <f t="shared" ref="Z9:Z14" si="7">Q9</f>
        <v>用途</v>
      </c>
      <c r="AA9" s="28">
        <f t="shared" si="3"/>
        <v>1</v>
      </c>
      <c r="AB9" s="28">
        <f t="shared" si="4"/>
        <v>1</v>
      </c>
      <c r="AC9" s="28">
        <f t="shared" si="5"/>
        <v>1</v>
      </c>
    </row>
    <row r="10" spans="1:29" s="254" customFormat="1" ht="27">
      <c r="A10" s="421"/>
      <c r="B10" s="422" t="s">
        <v>1602</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25"/>
      <c r="Q10" s="390" t="str">
        <f t="shared" si="6"/>
        <v>土地使用年限（年）</v>
      </c>
      <c r="R10" s="3991" t="s">
        <v>13</v>
      </c>
      <c r="S10" s="3994">
        <f t="shared" si="0"/>
        <v>100</v>
      </c>
      <c r="T10" s="3991" t="s">
        <v>13</v>
      </c>
      <c r="U10" s="3994">
        <f t="shared" si="1"/>
        <v>100</v>
      </c>
      <c r="V10" s="3991" t="s">
        <v>13</v>
      </c>
      <c r="W10" s="3994">
        <f t="shared" si="2"/>
        <v>100</v>
      </c>
      <c r="X10" s="493"/>
      <c r="Y10" s="4388"/>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25"/>
      <c r="Q11" s="390">
        <f t="shared" si="6"/>
        <v>111</v>
      </c>
      <c r="R11" s="3991" t="s">
        <v>13</v>
      </c>
      <c r="S11" s="3994">
        <f t="shared" si="0"/>
        <v>100</v>
      </c>
      <c r="T11" s="3991" t="s">
        <v>13</v>
      </c>
      <c r="U11" s="3994">
        <f t="shared" si="1"/>
        <v>100</v>
      </c>
      <c r="V11" s="3991" t="s">
        <v>13</v>
      </c>
      <c r="W11" s="3994">
        <f t="shared" si="2"/>
        <v>100</v>
      </c>
      <c r="X11" s="493"/>
      <c r="Y11" s="4388"/>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425"/>
      <c r="Q12" s="390">
        <f t="shared" si="6"/>
        <v>111</v>
      </c>
      <c r="R12" s="3991" t="s">
        <v>13</v>
      </c>
      <c r="S12" s="3994">
        <f t="shared" si="0"/>
        <v>100</v>
      </c>
      <c r="T12" s="3991" t="s">
        <v>13</v>
      </c>
      <c r="U12" s="3994">
        <f t="shared" si="1"/>
        <v>100</v>
      </c>
      <c r="V12" s="3991" t="s">
        <v>13</v>
      </c>
      <c r="W12" s="3994">
        <f t="shared" si="2"/>
        <v>100</v>
      </c>
      <c r="X12" s="493"/>
      <c r="Y12" s="4388"/>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425"/>
      <c r="Q13" s="390">
        <f t="shared" si="6"/>
        <v>111</v>
      </c>
      <c r="R13" s="3991" t="s">
        <v>13</v>
      </c>
      <c r="S13" s="3994">
        <f t="shared" si="0"/>
        <v>100</v>
      </c>
      <c r="T13" s="3991" t="s">
        <v>13</v>
      </c>
      <c r="U13" s="3994">
        <f t="shared" si="1"/>
        <v>100</v>
      </c>
      <c r="V13" s="3991" t="s">
        <v>13</v>
      </c>
      <c r="W13" s="3994">
        <f t="shared" si="2"/>
        <v>100</v>
      </c>
      <c r="X13" s="493"/>
      <c r="Y13" s="4388"/>
      <c r="Z13" s="28">
        <f t="shared" si="7"/>
        <v>111</v>
      </c>
      <c r="AA13" s="28">
        <f t="shared" si="3"/>
        <v>1</v>
      </c>
      <c r="AB13" s="28">
        <f t="shared" si="4"/>
        <v>1</v>
      </c>
      <c r="AC13" s="28">
        <f t="shared" si="5"/>
        <v>1</v>
      </c>
    </row>
    <row r="14" spans="1:29" ht="15">
      <c r="A14" s="236" t="s">
        <v>1604</v>
      </c>
      <c r="B14" s="411" t="s">
        <v>1747</v>
      </c>
      <c r="C14" s="1461">
        <f>IF(B1="工业",估价对象房地状况!G4,估价对象房地状况!C6)</f>
        <v>0</v>
      </c>
      <c r="D14" s="3028">
        <v>100</v>
      </c>
      <c r="E14" s="264"/>
      <c r="F14" s="3980">
        <f>SUMIF(63:63,E15,64:64)-SUMIF(63:63,C15,64:64)+100</f>
        <v>100</v>
      </c>
      <c r="G14" s="265"/>
      <c r="H14" s="3974">
        <f>SUMIF(63:63,G15,64:64)-SUMIF(63:63,C15,64:64)+100</f>
        <v>100</v>
      </c>
      <c r="I14" s="264"/>
      <c r="J14" s="3974">
        <f>SUMIF(63:63,I15,64:64)-SUMIF(63:63,C15,64:64)+100</f>
        <v>100</v>
      </c>
      <c r="K14" s="400">
        <v>5</v>
      </c>
      <c r="L14" s="2026"/>
      <c r="M14" s="2021"/>
      <c r="N14" s="2021"/>
      <c r="O14" s="2021"/>
      <c r="P14" s="4413" t="s">
        <v>1605</v>
      </c>
      <c r="Q14" s="943" t="str">
        <f t="shared" si="6"/>
        <v>交通便捷度</v>
      </c>
      <c r="R14" s="3992" t="s">
        <v>13</v>
      </c>
      <c r="S14" s="3995">
        <f t="shared" si="0"/>
        <v>100</v>
      </c>
      <c r="T14" s="3992" t="s">
        <v>13</v>
      </c>
      <c r="U14" s="3995">
        <f t="shared" si="1"/>
        <v>100</v>
      </c>
      <c r="V14" s="3992" t="s">
        <v>13</v>
      </c>
      <c r="W14" s="3995">
        <f t="shared" si="2"/>
        <v>100</v>
      </c>
      <c r="X14" s="946"/>
      <c r="Y14" s="4413" t="s">
        <v>1605</v>
      </c>
      <c r="Z14" s="944" t="str">
        <f t="shared" si="7"/>
        <v>交通便捷度</v>
      </c>
      <c r="AA14" s="944">
        <f t="shared" si="3"/>
        <v>1</v>
      </c>
      <c r="AB14" s="944">
        <f t="shared" si="4"/>
        <v>1</v>
      </c>
      <c r="AC14" s="944">
        <f t="shared" si="5"/>
        <v>1</v>
      </c>
    </row>
    <row r="15" spans="1:29" ht="15">
      <c r="A15" s="239"/>
      <c r="B15" s="427"/>
      <c r="C15" s="267" t="s">
        <v>3634</v>
      </c>
      <c r="D15" s="3029"/>
      <c r="E15" s="267" t="s">
        <v>3634</v>
      </c>
      <c r="F15" s="3981"/>
      <c r="G15" s="267" t="s">
        <v>3634</v>
      </c>
      <c r="H15" s="269"/>
      <c r="I15" s="267" t="s">
        <v>3634</v>
      </c>
      <c r="J15" s="268"/>
      <c r="K15" s="401"/>
      <c r="L15" s="2026"/>
      <c r="M15" s="2021"/>
      <c r="N15" s="2021"/>
      <c r="O15" s="2021"/>
      <c r="P15" s="4414"/>
      <c r="Q15" s="943"/>
      <c r="R15" s="3992"/>
      <c r="S15" s="3995"/>
      <c r="T15" s="3992"/>
      <c r="U15" s="3995"/>
      <c r="V15" s="3992"/>
      <c r="W15" s="3995"/>
      <c r="X15" s="946"/>
      <c r="Y15" s="4414"/>
      <c r="Z15" s="944"/>
      <c r="AA15" s="944">
        <v>1</v>
      </c>
      <c r="AB15" s="944">
        <v>1</v>
      </c>
      <c r="AC15" s="944">
        <v>1</v>
      </c>
    </row>
    <row r="16" spans="1:29" ht="15">
      <c r="A16" s="239"/>
      <c r="B16" s="413" t="s">
        <v>1726</v>
      </c>
      <c r="C16" s="1401">
        <f>IF(B1="工业",估价对象房地状况!G5,估价对象房地状况!C7)</f>
        <v>0</v>
      </c>
      <c r="D16" s="3031">
        <v>100</v>
      </c>
      <c r="E16" s="274"/>
      <c r="F16" s="3983">
        <f>SUMIF(65:65,E17,66:66)-SUMIF(65:65,C17,66:66)+100</f>
        <v>100</v>
      </c>
      <c r="G16" s="275"/>
      <c r="H16" s="3975">
        <f>SUMIF(65:65,G17,66:66)-SUMIF(65:65,C17,66:66)+100</f>
        <v>95</v>
      </c>
      <c r="I16" s="274"/>
      <c r="J16" s="3975">
        <f>SUMIF(65:65,I17,66:66)-SUMIF(65:65,C17,66:66)+100</f>
        <v>95</v>
      </c>
      <c r="K16" s="400">
        <v>5</v>
      </c>
      <c r="L16" s="2026"/>
      <c r="M16" s="2021"/>
      <c r="N16" s="2021"/>
      <c r="O16" s="2021"/>
      <c r="P16" s="4414"/>
      <c r="Q16" s="943" t="str">
        <f>B16</f>
        <v>公共配套设施</v>
      </c>
      <c r="R16" s="3992" t="s">
        <v>13</v>
      </c>
      <c r="S16" s="3995">
        <f>F16</f>
        <v>100</v>
      </c>
      <c r="T16" s="3992" t="s">
        <v>13</v>
      </c>
      <c r="U16" s="3995">
        <f>H16</f>
        <v>95</v>
      </c>
      <c r="V16" s="3992" t="s">
        <v>13</v>
      </c>
      <c r="W16" s="3995">
        <f>J16</f>
        <v>95</v>
      </c>
      <c r="X16" s="946"/>
      <c r="Y16" s="4414"/>
      <c r="Z16" s="944" t="str">
        <f>Q16</f>
        <v>公共配套设施</v>
      </c>
      <c r="AA16" s="944">
        <f t="shared" si="3"/>
        <v>1</v>
      </c>
      <c r="AB16" s="944">
        <f t="shared" si="4"/>
        <v>1.0526315789473684</v>
      </c>
      <c r="AC16" s="944">
        <f t="shared" si="5"/>
        <v>1.0526315789473684</v>
      </c>
    </row>
    <row r="17" spans="1:29" ht="15">
      <c r="A17" s="239"/>
      <c r="B17" s="414"/>
      <c r="C17" s="1402" t="s">
        <v>3635</v>
      </c>
      <c r="D17" s="3029"/>
      <c r="E17" s="267" t="s">
        <v>3635</v>
      </c>
      <c r="F17" s="3981"/>
      <c r="G17" s="267" t="s">
        <v>3634</v>
      </c>
      <c r="H17" s="268"/>
      <c r="I17" s="267" t="s">
        <v>3634</v>
      </c>
      <c r="J17" s="268"/>
      <c r="K17" s="401"/>
      <c r="L17" s="2026"/>
      <c r="M17" s="2021"/>
      <c r="N17" s="2021"/>
      <c r="O17" s="2021"/>
      <c r="P17" s="4414"/>
      <c r="Q17" s="943"/>
      <c r="R17" s="3992"/>
      <c r="S17" s="3995"/>
      <c r="T17" s="3992"/>
      <c r="U17" s="3995"/>
      <c r="V17" s="3992"/>
      <c r="W17" s="3995"/>
      <c r="X17" s="946"/>
      <c r="Y17" s="4414"/>
      <c r="Z17" s="944"/>
      <c r="AA17" s="944">
        <v>1</v>
      </c>
      <c r="AB17" s="944">
        <v>1</v>
      </c>
      <c r="AC17" s="944">
        <v>1</v>
      </c>
    </row>
    <row r="18" spans="1:29" ht="15">
      <c r="A18" s="239"/>
      <c r="B18" s="415" t="s">
        <v>1727</v>
      </c>
      <c r="C18" s="1401">
        <f>IF(B1="工业",估价对象房地状况!G6,估价对象房地状况!C8)</f>
        <v>0</v>
      </c>
      <c r="D18" s="3030">
        <v>100</v>
      </c>
      <c r="E18" s="271"/>
      <c r="F18" s="3983">
        <f>SUMIF(67:67,E19,68:68)-SUMIF(67:67,C19,68:68)+100</f>
        <v>100</v>
      </c>
      <c r="G18" s="272"/>
      <c r="H18" s="3975">
        <f>SUMIF(67:67,G19,68:68)-SUMIF(67:67,C19,68:68)+100</f>
        <v>100</v>
      </c>
      <c r="I18" s="271"/>
      <c r="J18" s="3975">
        <f>SUMIF(67:67,I19,68:68)-SUMIF(67:67,C19,68:68)+100</f>
        <v>100</v>
      </c>
      <c r="K18" s="400">
        <v>2</v>
      </c>
      <c r="L18" s="2026"/>
      <c r="M18" s="2021"/>
      <c r="N18" s="2021"/>
      <c r="O18" s="2021"/>
      <c r="P18" s="4414"/>
      <c r="Q18" s="943" t="str">
        <f>B18</f>
        <v>基础设施水平</v>
      </c>
      <c r="R18" s="3992" t="s">
        <v>13</v>
      </c>
      <c r="S18" s="3995">
        <f>F18</f>
        <v>100</v>
      </c>
      <c r="T18" s="3992" t="s">
        <v>13</v>
      </c>
      <c r="U18" s="3995">
        <f>H18</f>
        <v>100</v>
      </c>
      <c r="V18" s="3992" t="s">
        <v>13</v>
      </c>
      <c r="W18" s="3995">
        <f>J18</f>
        <v>100</v>
      </c>
      <c r="X18" s="946"/>
      <c r="Y18" s="4414"/>
      <c r="Z18" s="944" t="str">
        <f>Q18</f>
        <v>基础设施水平</v>
      </c>
      <c r="AA18" s="944">
        <f t="shared" ref="AA18" si="8">D18/F18</f>
        <v>1</v>
      </c>
      <c r="AB18" s="944">
        <f t="shared" ref="AB18" si="9">D18/H18</f>
        <v>1</v>
      </c>
      <c r="AC18" s="944">
        <f t="shared" ref="AC18" si="10">D18/J18</f>
        <v>1</v>
      </c>
    </row>
    <row r="19" spans="1:29" ht="15">
      <c r="A19" s="239"/>
      <c r="B19" s="415"/>
      <c r="C19" s="1402" t="s">
        <v>3636</v>
      </c>
      <c r="D19" s="3030"/>
      <c r="E19" s="1402" t="s">
        <v>3636</v>
      </c>
      <c r="F19" s="3982"/>
      <c r="G19" s="1402" t="s">
        <v>3636</v>
      </c>
      <c r="H19" s="268"/>
      <c r="I19" s="267" t="s">
        <v>3636</v>
      </c>
      <c r="J19" s="268"/>
      <c r="K19" s="791"/>
      <c r="L19" s="2026"/>
      <c r="M19" s="2021"/>
      <c r="N19" s="2021"/>
      <c r="O19" s="2021"/>
      <c r="P19" s="4414"/>
      <c r="Q19" s="943"/>
      <c r="R19" s="3992"/>
      <c r="S19" s="3995"/>
      <c r="T19" s="3992"/>
      <c r="U19" s="3995"/>
      <c r="V19" s="3992"/>
      <c r="W19" s="3995"/>
      <c r="X19" s="946"/>
      <c r="Y19" s="4414"/>
      <c r="Z19" s="944"/>
      <c r="AA19" s="944">
        <v>1</v>
      </c>
      <c r="AB19" s="944">
        <v>1</v>
      </c>
      <c r="AC19" s="944">
        <v>1</v>
      </c>
    </row>
    <row r="20" spans="1:29" ht="15">
      <c r="A20" s="239"/>
      <c r="B20" s="413" t="s">
        <v>1748</v>
      </c>
      <c r="C20" s="1401">
        <f>IF(B1="工业",估价对象房地状况!G7,估价对象房地状况!C9)</f>
        <v>0</v>
      </c>
      <c r="D20" s="3031">
        <v>100</v>
      </c>
      <c r="E20" s="274"/>
      <c r="F20" s="3983">
        <f>SUMIF(69:69,E21,70:70)-SUMIF(69:69,C21,70:70)+100</f>
        <v>100</v>
      </c>
      <c r="G20" s="275"/>
      <c r="H20" s="269">
        <f>SUMIF(69:69,G21,70:70)-SUMIF(69:69,C21,70:70)+100</f>
        <v>105</v>
      </c>
      <c r="I20" s="271"/>
      <c r="J20" s="269">
        <f>SUMIF(69:69,I21,70:70)-SUMIF(69:69,C21,70:70)+100</f>
        <v>105</v>
      </c>
      <c r="K20" s="400">
        <v>5</v>
      </c>
      <c r="L20" s="2026"/>
      <c r="M20" s="2021"/>
      <c r="N20" s="2021"/>
      <c r="O20" s="2021"/>
      <c r="P20" s="4414"/>
      <c r="Q20" s="943" t="str">
        <f>B20</f>
        <v>自然及人文环境</v>
      </c>
      <c r="R20" s="3992" t="s">
        <v>13</v>
      </c>
      <c r="S20" s="3995">
        <f>F20</f>
        <v>100</v>
      </c>
      <c r="T20" s="3992" t="s">
        <v>13</v>
      </c>
      <c r="U20" s="3995">
        <f>H20</f>
        <v>105</v>
      </c>
      <c r="V20" s="3992" t="s">
        <v>13</v>
      </c>
      <c r="W20" s="3995">
        <f>J20</f>
        <v>105</v>
      </c>
      <c r="X20" s="946"/>
      <c r="Y20" s="4414"/>
      <c r="Z20" s="944" t="str">
        <f>Q20</f>
        <v>自然及人文环境</v>
      </c>
      <c r="AA20" s="944">
        <f t="shared" si="3"/>
        <v>1</v>
      </c>
      <c r="AB20" s="944">
        <f t="shared" si="4"/>
        <v>0.95238095238095233</v>
      </c>
      <c r="AC20" s="944">
        <f t="shared" si="5"/>
        <v>0.95238095238095233</v>
      </c>
    </row>
    <row r="21" spans="1:29" ht="15">
      <c r="A21" s="239"/>
      <c r="B21" s="414"/>
      <c r="C21" s="267" t="s">
        <v>3635</v>
      </c>
      <c r="D21" s="3029"/>
      <c r="E21" s="267" t="s">
        <v>3635</v>
      </c>
      <c r="F21" s="3981"/>
      <c r="G21" s="267" t="s">
        <v>3971</v>
      </c>
      <c r="H21" s="268"/>
      <c r="I21" s="267" t="s">
        <v>3971</v>
      </c>
      <c r="J21" s="268"/>
      <c r="K21" s="401"/>
      <c r="L21" s="2026"/>
      <c r="M21" s="2021"/>
      <c r="N21" s="2021"/>
      <c r="O21" s="2021"/>
      <c r="P21" s="4414"/>
      <c r="Q21" s="943"/>
      <c r="R21" s="3992"/>
      <c r="S21" s="3995"/>
      <c r="T21" s="3992"/>
      <c r="U21" s="3995"/>
      <c r="V21" s="3992"/>
      <c r="W21" s="3995"/>
      <c r="X21" s="946"/>
      <c r="Y21" s="4414"/>
      <c r="Z21" s="944"/>
      <c r="AA21" s="944">
        <v>1</v>
      </c>
      <c r="AB21" s="944">
        <v>1</v>
      </c>
      <c r="AC21" s="944">
        <v>1</v>
      </c>
    </row>
    <row r="22" spans="1:29" ht="15">
      <c r="A22" s="239"/>
      <c r="B22" s="413" t="s">
        <v>1749</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414"/>
      <c r="Q22" s="943" t="str">
        <f>B22</f>
        <v>楼层</v>
      </c>
      <c r="R22" s="3992" t="s">
        <v>13</v>
      </c>
      <c r="S22" s="3995">
        <f>F22</f>
        <v>100</v>
      </c>
      <c r="T22" s="3992" t="s">
        <v>13</v>
      </c>
      <c r="U22" s="3995">
        <f>H22</f>
        <v>100</v>
      </c>
      <c r="V22" s="3992" t="s">
        <v>13</v>
      </c>
      <c r="W22" s="3995">
        <f>J22</f>
        <v>100</v>
      </c>
      <c r="X22" s="946"/>
      <c r="Y22" s="4414"/>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414"/>
      <c r="Q23" s="943">
        <f>B23</f>
        <v>111</v>
      </c>
      <c r="R23" s="3992" t="s">
        <v>13</v>
      </c>
      <c r="S23" s="3995">
        <f>F23</f>
        <v>100</v>
      </c>
      <c r="T23" s="3992" t="s">
        <v>13</v>
      </c>
      <c r="U23" s="3995">
        <f>H23</f>
        <v>100</v>
      </c>
      <c r="V23" s="3992" t="s">
        <v>13</v>
      </c>
      <c r="W23" s="3995">
        <f>J23</f>
        <v>100</v>
      </c>
      <c r="X23" s="946"/>
      <c r="Y23" s="4414"/>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414"/>
      <c r="Q24" s="943">
        <f t="shared" ref="Q24:Q36" si="11">B24</f>
        <v>111</v>
      </c>
      <c r="R24" s="3992" t="s">
        <v>13</v>
      </c>
      <c r="S24" s="3995">
        <f>F24</f>
        <v>100</v>
      </c>
      <c r="T24" s="3992" t="s">
        <v>13</v>
      </c>
      <c r="U24" s="3995">
        <f>H24</f>
        <v>100</v>
      </c>
      <c r="V24" s="3992" t="s">
        <v>13</v>
      </c>
      <c r="W24" s="3995">
        <f>J24</f>
        <v>100</v>
      </c>
      <c r="X24" s="946"/>
      <c r="Y24" s="4414"/>
      <c r="Z24" s="944">
        <f>Q24</f>
        <v>111</v>
      </c>
      <c r="AA24" s="944">
        <f t="shared" si="3"/>
        <v>1</v>
      </c>
      <c r="AB24" s="944">
        <f t="shared" si="4"/>
        <v>1</v>
      </c>
      <c r="AC24" s="944">
        <f t="shared" si="5"/>
        <v>1</v>
      </c>
    </row>
    <row r="25" spans="1:29" s="46" customFormat="1" ht="15.75"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414"/>
      <c r="Q25" s="390">
        <f t="shared" si="11"/>
        <v>111</v>
      </c>
      <c r="R25" s="3991" t="s">
        <v>13</v>
      </c>
      <c r="S25" s="3994">
        <f>F25</f>
        <v>100</v>
      </c>
      <c r="T25" s="3991" t="s">
        <v>13</v>
      </c>
      <c r="U25" s="3994">
        <f>H25</f>
        <v>100</v>
      </c>
      <c r="V25" s="3991" t="s">
        <v>13</v>
      </c>
      <c r="W25" s="3994">
        <f>J25</f>
        <v>100</v>
      </c>
      <c r="X25" s="493"/>
      <c r="Y25" s="4414"/>
      <c r="Z25" s="28">
        <f>Q25</f>
        <v>111</v>
      </c>
      <c r="AA25" s="944">
        <f>D25/F25</f>
        <v>1</v>
      </c>
      <c r="AB25" s="944">
        <f>D25/H25</f>
        <v>1</v>
      </c>
      <c r="AC25" s="944">
        <f>D25/J25</f>
        <v>1</v>
      </c>
    </row>
    <row r="26" spans="1:29" ht="28.5">
      <c r="A26" s="428" t="s">
        <v>1608</v>
      </c>
      <c r="B26" s="33" t="s">
        <v>1750</v>
      </c>
      <c r="C26" s="1462" t="str">
        <f>B1</f>
        <v>住宅</v>
      </c>
      <c r="D26" s="3029">
        <v>100</v>
      </c>
      <c r="E26" s="267" t="s">
        <v>3276</v>
      </c>
      <c r="F26" s="3981">
        <f>SUMIF(79:79,E26,80:80)-SUMIF(79:79,C26,80:80)+100</f>
        <v>100</v>
      </c>
      <c r="G26" s="267" t="s">
        <v>3276</v>
      </c>
      <c r="H26" s="268">
        <f>SUMIF(79:79,G26,80:80)-SUMIF(79:79,C26,80:80)+100</f>
        <v>100</v>
      </c>
      <c r="I26" s="267" t="s">
        <v>3276</v>
      </c>
      <c r="J26" s="268">
        <f>SUMIF(79:79,I26,80:80)-SUMIF(79:79,C26,80:80)+100</f>
        <v>100</v>
      </c>
      <c r="K26" s="398">
        <v>5</v>
      </c>
      <c r="L26" s="2026"/>
      <c r="M26" s="2021"/>
      <c r="N26" s="2021"/>
      <c r="O26" s="2021"/>
      <c r="P26" s="4537" t="s">
        <v>1610</v>
      </c>
      <c r="Q26" s="943" t="str">
        <f t="shared" si="11"/>
        <v>配套类型</v>
      </c>
      <c r="R26" s="3992" t="s">
        <v>13</v>
      </c>
      <c r="S26" s="3995">
        <f t="shared" ref="S26:S36" si="12">F26</f>
        <v>100</v>
      </c>
      <c r="T26" s="3992" t="s">
        <v>13</v>
      </c>
      <c r="U26" s="3995">
        <f t="shared" ref="U26:U36" si="13">H26</f>
        <v>100</v>
      </c>
      <c r="V26" s="3992" t="s">
        <v>13</v>
      </c>
      <c r="W26" s="3995">
        <f t="shared" ref="W26:W36" si="14">J26</f>
        <v>100</v>
      </c>
      <c r="X26" s="946"/>
      <c r="Y26" s="4417" t="s">
        <v>1610</v>
      </c>
      <c r="Z26" s="944" t="str">
        <f t="shared" ref="Z26:Z36" si="15">Q26</f>
        <v>配套类型</v>
      </c>
      <c r="AA26" s="944">
        <f t="shared" si="3"/>
        <v>1</v>
      </c>
      <c r="AB26" s="944">
        <f t="shared" si="4"/>
        <v>1</v>
      </c>
      <c r="AC26" s="944">
        <f t="shared" si="5"/>
        <v>1</v>
      </c>
    </row>
    <row r="27" spans="1:29" s="280" customFormat="1" ht="15">
      <c r="A27" s="429"/>
      <c r="B27" s="430" t="s">
        <v>1751</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417"/>
      <c r="Q27" s="391" t="str">
        <f t="shared" si="11"/>
        <v>项目停车位配比</v>
      </c>
      <c r="R27" s="3993" t="s">
        <v>13</v>
      </c>
      <c r="S27" s="3996">
        <f t="shared" si="12"/>
        <v>100</v>
      </c>
      <c r="T27" s="3993" t="s">
        <v>13</v>
      </c>
      <c r="U27" s="3996">
        <f t="shared" si="13"/>
        <v>100</v>
      </c>
      <c r="V27" s="3993" t="s">
        <v>13</v>
      </c>
      <c r="W27" s="3996">
        <f t="shared" si="14"/>
        <v>100</v>
      </c>
      <c r="X27" s="494"/>
      <c r="Y27" s="4417"/>
      <c r="Z27" s="495" t="str">
        <f t="shared" si="15"/>
        <v>项目停车位配比</v>
      </c>
      <c r="AA27" s="944">
        <f t="shared" si="3"/>
        <v>1</v>
      </c>
      <c r="AB27" s="944">
        <f t="shared" si="4"/>
        <v>1</v>
      </c>
      <c r="AC27" s="944">
        <f t="shared" si="5"/>
        <v>1</v>
      </c>
    </row>
    <row r="28" spans="1:29" ht="15">
      <c r="A28" s="432"/>
      <c r="B28" s="430" t="s">
        <v>1752</v>
      </c>
      <c r="C28" s="276" t="s">
        <v>3986</v>
      </c>
      <c r="D28" s="3026">
        <v>100</v>
      </c>
      <c r="E28" s="276" t="s">
        <v>3986</v>
      </c>
      <c r="F28" s="945">
        <f>SUMIF(83:83,E28,84:84)-SUMIF(83:83,C28,84:84)+100</f>
        <v>100</v>
      </c>
      <c r="G28" s="276" t="s">
        <v>3986</v>
      </c>
      <c r="H28" s="3976">
        <f>SUMIF(83:83,G28,84:84)-SUMIF(83:83,C28,84:84)+100</f>
        <v>100</v>
      </c>
      <c r="I28" s="276" t="s">
        <v>3986</v>
      </c>
      <c r="J28" s="3976">
        <f>SUMIF(83:83,I28,84:84)-SUMIF(83:83,C28,84:84)+100</f>
        <v>100</v>
      </c>
      <c r="K28" s="398">
        <v>2</v>
      </c>
      <c r="L28" s="2026"/>
      <c r="M28" s="2021"/>
      <c r="N28" s="2021"/>
      <c r="O28" s="2021"/>
      <c r="P28" s="4417"/>
      <c r="Q28" s="943" t="str">
        <f t="shared" si="11"/>
        <v>公共部分装修</v>
      </c>
      <c r="R28" s="3992" t="s">
        <v>13</v>
      </c>
      <c r="S28" s="3995">
        <f t="shared" si="12"/>
        <v>100</v>
      </c>
      <c r="T28" s="3992" t="s">
        <v>13</v>
      </c>
      <c r="U28" s="3995">
        <f t="shared" si="13"/>
        <v>100</v>
      </c>
      <c r="V28" s="3992" t="s">
        <v>13</v>
      </c>
      <c r="W28" s="3995">
        <f t="shared" si="14"/>
        <v>100</v>
      </c>
      <c r="X28" s="946"/>
      <c r="Y28" s="4417"/>
      <c r="Z28" s="944" t="str">
        <f t="shared" si="15"/>
        <v>公共部分装修</v>
      </c>
      <c r="AA28" s="944">
        <f t="shared" si="3"/>
        <v>1</v>
      </c>
      <c r="AB28" s="944">
        <f t="shared" si="4"/>
        <v>1</v>
      </c>
      <c r="AC28" s="944">
        <f t="shared" si="5"/>
        <v>1</v>
      </c>
    </row>
    <row r="29" spans="1:29" ht="15">
      <c r="A29" s="432"/>
      <c r="B29" s="430" t="s">
        <v>1753</v>
      </c>
      <c r="C29" s="283">
        <v>1</v>
      </c>
      <c r="D29" s="3026">
        <v>100</v>
      </c>
      <c r="E29" s="283">
        <v>1</v>
      </c>
      <c r="F29" s="945">
        <f>LOOKUP(E29,86:86,87:87)-LOOKUP(C29,86:86,87:87)+100</f>
        <v>100</v>
      </c>
      <c r="G29" s="283">
        <v>1</v>
      </c>
      <c r="H29" s="945">
        <f>LOOKUP(G29,86:86,87:87)-LOOKUP(C29,86:86,87:87)+100</f>
        <v>100</v>
      </c>
      <c r="I29" s="283">
        <v>1</v>
      </c>
      <c r="J29" s="3976">
        <f>LOOKUP(I29,86:86,87:87)-LOOKUP(C29,86:86,87:87)+100</f>
        <v>100</v>
      </c>
      <c r="K29" s="398">
        <v>2</v>
      </c>
      <c r="L29" s="2026"/>
      <c r="M29" s="2021"/>
      <c r="N29" s="2021"/>
      <c r="O29" s="2021"/>
      <c r="P29" s="4417"/>
      <c r="Q29" s="943" t="str">
        <f t="shared" si="11"/>
        <v>成新率</v>
      </c>
      <c r="R29" s="3992" t="s">
        <v>13</v>
      </c>
      <c r="S29" s="3995">
        <f t="shared" si="12"/>
        <v>100</v>
      </c>
      <c r="T29" s="3992" t="s">
        <v>13</v>
      </c>
      <c r="U29" s="3995">
        <f t="shared" si="13"/>
        <v>100</v>
      </c>
      <c r="V29" s="3992" t="s">
        <v>13</v>
      </c>
      <c r="W29" s="3995">
        <f t="shared" si="14"/>
        <v>100</v>
      </c>
      <c r="X29" s="946"/>
      <c r="Y29" s="4417"/>
      <c r="Z29" s="944" t="str">
        <f t="shared" si="15"/>
        <v>成新率</v>
      </c>
      <c r="AA29" s="944">
        <f t="shared" si="3"/>
        <v>1</v>
      </c>
      <c r="AB29" s="944">
        <f t="shared" si="4"/>
        <v>1</v>
      </c>
      <c r="AC29" s="944">
        <f t="shared" si="5"/>
        <v>1</v>
      </c>
    </row>
    <row r="30" spans="1:29" ht="15">
      <c r="A30" s="432"/>
      <c r="B30" s="430" t="s">
        <v>1754</v>
      </c>
      <c r="C30" s="433" t="s">
        <v>3987</v>
      </c>
      <c r="D30" s="3026">
        <v>100</v>
      </c>
      <c r="E30" s="433" t="s">
        <v>3987</v>
      </c>
      <c r="F30" s="945">
        <f>SUMIF(88:88,E30,89:89)-SUMIF(88:88,C30,89:89)+100</f>
        <v>100</v>
      </c>
      <c r="G30" s="433" t="s">
        <v>3987</v>
      </c>
      <c r="H30" s="3976">
        <f>SUMIF(88:88,E30,89:89)-SUMIF(88:88,C30,89:89)+100</f>
        <v>100</v>
      </c>
      <c r="I30" s="433" t="s">
        <v>3987</v>
      </c>
      <c r="J30" s="3976">
        <f>SUMIF(88:88,E30,89:89)-SUMIF(88:88,C30,89:89)+100</f>
        <v>100</v>
      </c>
      <c r="K30" s="398">
        <v>2</v>
      </c>
      <c r="L30" s="2026"/>
      <c r="M30" s="2021"/>
      <c r="N30" s="2021"/>
      <c r="O30" s="2021"/>
      <c r="P30" s="4417"/>
      <c r="Q30" s="943" t="str">
        <f t="shared" si="11"/>
        <v>物业等级</v>
      </c>
      <c r="R30" s="3992" t="s">
        <v>13</v>
      </c>
      <c r="S30" s="3995">
        <f t="shared" si="12"/>
        <v>100</v>
      </c>
      <c r="T30" s="3992" t="s">
        <v>13</v>
      </c>
      <c r="U30" s="3995">
        <f t="shared" si="13"/>
        <v>100</v>
      </c>
      <c r="V30" s="3992" t="s">
        <v>13</v>
      </c>
      <c r="W30" s="3995">
        <f t="shared" si="14"/>
        <v>100</v>
      </c>
      <c r="X30" s="946"/>
      <c r="Y30" s="4417"/>
      <c r="Z30" s="944" t="str">
        <f t="shared" si="15"/>
        <v>物业等级</v>
      </c>
      <c r="AA30" s="944">
        <f t="shared" si="3"/>
        <v>1</v>
      </c>
      <c r="AB30" s="944">
        <f t="shared" si="4"/>
        <v>1</v>
      </c>
      <c r="AC30" s="944">
        <f t="shared" si="5"/>
        <v>1</v>
      </c>
    </row>
    <row r="31" spans="1:29" s="46" customFormat="1" ht="15">
      <c r="A31" s="434"/>
      <c r="B31" s="430" t="s">
        <v>1755</v>
      </c>
      <c r="C31" s="279">
        <v>32.909999999999997</v>
      </c>
      <c r="D31" s="3024">
        <v>100</v>
      </c>
      <c r="E31" s="279">
        <v>35.18</v>
      </c>
      <c r="F31" s="945">
        <f>LOOKUP(E31,91:91,92:92)-LOOKUP(C31,91:91,92:92)+100</f>
        <v>100</v>
      </c>
      <c r="G31" s="279">
        <v>37.130000000000003</v>
      </c>
      <c r="H31" s="3976">
        <f>LOOKUP(G31,91:91,92:92)-LOOKUP(C31,91:91,92:92)+100</f>
        <v>100</v>
      </c>
      <c r="I31" s="279">
        <v>38.590000000000003</v>
      </c>
      <c r="J31" s="3976">
        <f>LOOKUP(I31,91:91,92:92)-LOOKUP(C31,91:91,92:92)+100</f>
        <v>100</v>
      </c>
      <c r="K31" s="398">
        <v>1</v>
      </c>
      <c r="L31" s="2022"/>
      <c r="M31" s="1973"/>
      <c r="N31" s="1973"/>
      <c r="O31" s="1973"/>
      <c r="P31" s="4417"/>
      <c r="Q31" s="390" t="str">
        <f t="shared" si="11"/>
        <v>停车位面积</v>
      </c>
      <c r="R31" s="3991" t="s">
        <v>13</v>
      </c>
      <c r="S31" s="3994">
        <f t="shared" si="12"/>
        <v>100</v>
      </c>
      <c r="T31" s="3991" t="s">
        <v>13</v>
      </c>
      <c r="U31" s="3994">
        <f t="shared" si="13"/>
        <v>100</v>
      </c>
      <c r="V31" s="3991" t="s">
        <v>13</v>
      </c>
      <c r="W31" s="3994">
        <f t="shared" si="14"/>
        <v>100</v>
      </c>
      <c r="X31" s="493"/>
      <c r="Y31" s="4417"/>
      <c r="Z31" s="28" t="str">
        <f t="shared" si="15"/>
        <v>停车位面积</v>
      </c>
      <c r="AA31" s="28">
        <f t="shared" si="3"/>
        <v>1</v>
      </c>
      <c r="AB31" s="28">
        <f t="shared" si="4"/>
        <v>1</v>
      </c>
      <c r="AC31" s="28">
        <f t="shared" si="5"/>
        <v>1</v>
      </c>
    </row>
    <row r="32" spans="1:29" ht="15">
      <c r="A32" s="432"/>
      <c r="B32" s="430" t="s">
        <v>1756</v>
      </c>
      <c r="C32" s="276" t="s">
        <v>3988</v>
      </c>
      <c r="D32" s="3026">
        <v>100</v>
      </c>
      <c r="E32" s="276" t="s">
        <v>3988</v>
      </c>
      <c r="F32" s="945">
        <f>SUMIF(93:93,E32,94:94)-SUMIF(93:93,C32,94:94)+100</f>
        <v>100</v>
      </c>
      <c r="G32" s="276" t="s">
        <v>3988</v>
      </c>
      <c r="H32" s="3976">
        <f>SUMIF(93:93,G32,94:94)-SUMIF(93:93,C32,94:94)+100</f>
        <v>100</v>
      </c>
      <c r="I32" s="276" t="s">
        <v>3988</v>
      </c>
      <c r="J32" s="3976">
        <f>SUMIF(93:93,I32,94:94)-SUMIF(93:93,C32,94:94)+100</f>
        <v>100</v>
      </c>
      <c r="K32" s="398">
        <v>5</v>
      </c>
      <c r="L32" s="2026"/>
      <c r="M32" s="2021"/>
      <c r="N32" s="2021"/>
      <c r="O32" s="2021"/>
      <c r="P32" s="4417" t="s">
        <v>1610</v>
      </c>
      <c r="Q32" s="943" t="str">
        <f t="shared" si="11"/>
        <v>车位类型</v>
      </c>
      <c r="R32" s="3992" t="s">
        <v>13</v>
      </c>
      <c r="S32" s="3995">
        <f t="shared" si="12"/>
        <v>100</v>
      </c>
      <c r="T32" s="3992" t="s">
        <v>13</v>
      </c>
      <c r="U32" s="3995">
        <f t="shared" si="13"/>
        <v>100</v>
      </c>
      <c r="V32" s="3992" t="s">
        <v>13</v>
      </c>
      <c r="W32" s="3995">
        <f t="shared" si="14"/>
        <v>100</v>
      </c>
      <c r="X32" s="946"/>
      <c r="Y32" s="4417" t="s">
        <v>1610</v>
      </c>
      <c r="Z32" s="944" t="str">
        <f t="shared" si="15"/>
        <v>车位类型</v>
      </c>
      <c r="AA32" s="944">
        <f t="shared" si="3"/>
        <v>1</v>
      </c>
      <c r="AB32" s="944">
        <f t="shared" si="4"/>
        <v>1</v>
      </c>
      <c r="AC32" s="944">
        <f t="shared" si="5"/>
        <v>1</v>
      </c>
    </row>
    <row r="33" spans="1:29" ht="15">
      <c r="A33" s="432"/>
      <c r="B33" s="430" t="s">
        <v>1757</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417"/>
      <c r="Q33" s="943" t="str">
        <f t="shared" si="11"/>
        <v>是否直接入户</v>
      </c>
      <c r="R33" s="3992" t="s">
        <v>13</v>
      </c>
      <c r="S33" s="3995">
        <f t="shared" si="12"/>
        <v>100</v>
      </c>
      <c r="T33" s="3992" t="s">
        <v>13</v>
      </c>
      <c r="U33" s="3995">
        <f t="shared" si="13"/>
        <v>100</v>
      </c>
      <c r="V33" s="3992" t="s">
        <v>13</v>
      </c>
      <c r="W33" s="3995">
        <f t="shared" si="14"/>
        <v>100</v>
      </c>
      <c r="X33" s="946"/>
      <c r="Y33" s="4417"/>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417"/>
      <c r="Q34" s="943">
        <f t="shared" si="11"/>
        <v>111</v>
      </c>
      <c r="R34" s="3992" t="s">
        <v>13</v>
      </c>
      <c r="S34" s="3995">
        <f t="shared" si="12"/>
        <v>100</v>
      </c>
      <c r="T34" s="3992" t="s">
        <v>13</v>
      </c>
      <c r="U34" s="3995">
        <f t="shared" si="13"/>
        <v>100</v>
      </c>
      <c r="V34" s="3992" t="s">
        <v>13</v>
      </c>
      <c r="W34" s="3995">
        <f t="shared" si="14"/>
        <v>100</v>
      </c>
      <c r="X34" s="946"/>
      <c r="Y34" s="4417"/>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417"/>
      <c r="Q35" s="391">
        <f t="shared" si="11"/>
        <v>111</v>
      </c>
      <c r="R35" s="3993" t="s">
        <v>13</v>
      </c>
      <c r="S35" s="3996">
        <f t="shared" si="12"/>
        <v>100</v>
      </c>
      <c r="T35" s="3993" t="s">
        <v>13</v>
      </c>
      <c r="U35" s="3996">
        <f t="shared" si="13"/>
        <v>100</v>
      </c>
      <c r="V35" s="3993" t="s">
        <v>13</v>
      </c>
      <c r="W35" s="3996">
        <f t="shared" si="14"/>
        <v>100</v>
      </c>
      <c r="X35" s="494"/>
      <c r="Y35" s="4417"/>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417"/>
      <c r="Q36" s="943">
        <f t="shared" si="11"/>
        <v>111</v>
      </c>
      <c r="R36" s="3992" t="s">
        <v>13</v>
      </c>
      <c r="S36" s="3995">
        <f t="shared" si="12"/>
        <v>100</v>
      </c>
      <c r="T36" s="3992" t="s">
        <v>13</v>
      </c>
      <c r="U36" s="3995">
        <f t="shared" si="13"/>
        <v>100</v>
      </c>
      <c r="V36" s="3992" t="s">
        <v>13</v>
      </c>
      <c r="W36" s="3995">
        <f t="shared" si="14"/>
        <v>100</v>
      </c>
      <c r="X36" s="946"/>
      <c r="Y36" s="4417"/>
      <c r="Z36" s="944">
        <f t="shared" si="15"/>
        <v>111</v>
      </c>
      <c r="AA36" s="944">
        <f t="shared" si="3"/>
        <v>1</v>
      </c>
      <c r="AB36" s="944">
        <f t="shared" si="4"/>
        <v>1</v>
      </c>
      <c r="AC36" s="944">
        <f t="shared" si="5"/>
        <v>1</v>
      </c>
    </row>
    <row r="37" spans="1:29" ht="15">
      <c r="A37" s="287" t="s">
        <v>1758</v>
      </c>
      <c r="B37" s="1463" t="s">
        <v>3981</v>
      </c>
      <c r="C37" s="798" t="s">
        <v>0</v>
      </c>
      <c r="D37" s="289"/>
      <c r="E37" s="3386">
        <v>479866</v>
      </c>
      <c r="F37" s="3324"/>
      <c r="G37" s="3387">
        <v>489383</v>
      </c>
      <c r="H37" s="3325"/>
      <c r="I37" s="3386">
        <v>409559</v>
      </c>
      <c r="J37" s="3325"/>
      <c r="K37" s="3388"/>
      <c r="L37" s="2028"/>
      <c r="M37" s="2021"/>
      <c r="N37" s="2021"/>
      <c r="O37" s="2021"/>
      <c r="P37" s="4425" t="str">
        <f>A37</f>
        <v>成交单价</v>
      </c>
      <c r="Q37" s="4425"/>
      <c r="R37" s="4500">
        <f>E37</f>
        <v>479866</v>
      </c>
      <c r="S37" s="4500"/>
      <c r="T37" s="4500">
        <f>G37</f>
        <v>489383</v>
      </c>
      <c r="U37" s="4500"/>
      <c r="V37" s="4500">
        <f>I37</f>
        <v>409559</v>
      </c>
      <c r="W37" s="4500"/>
      <c r="X37" s="266"/>
      <c r="Y37" s="496"/>
      <c r="Z37" s="266"/>
      <c r="AA37" s="266"/>
      <c r="AB37" s="266"/>
      <c r="AC37" s="266"/>
    </row>
    <row r="38" spans="1:29" ht="15.75" thickBot="1">
      <c r="A38" s="290" t="s">
        <v>1759</v>
      </c>
      <c r="B38" s="291" t="str">
        <f>B37</f>
        <v>元/车位</v>
      </c>
      <c r="C38" s="3958">
        <f>R39</f>
        <v>460354</v>
      </c>
      <c r="D38" s="4082" t="s">
        <v>2048</v>
      </c>
      <c r="E38" s="3969">
        <f>R38</f>
        <v>479866</v>
      </c>
      <c r="F38" s="2925"/>
      <c r="G38" s="3958">
        <f>T38</f>
        <v>490610</v>
      </c>
      <c r="H38" s="2925"/>
      <c r="I38" s="3969">
        <f>V38</f>
        <v>410585</v>
      </c>
      <c r="J38" s="2925"/>
      <c r="K38" s="2979">
        <f>F38+H38+J38</f>
        <v>0</v>
      </c>
      <c r="L38" s="2028"/>
      <c r="M38" s="2021"/>
      <c r="N38" s="2021"/>
      <c r="O38" s="2021"/>
      <c r="P38" s="4425" t="str">
        <f>A38</f>
        <v>比较价值（元/平方米）</v>
      </c>
      <c r="Q38" s="4425"/>
      <c r="R38" s="4500">
        <f>IF(F1="售价",ROUND(PRODUCT(R37,AA7:AA36),0),ROUND(PRODUCT(R37,AA7:AA36),1))</f>
        <v>479866</v>
      </c>
      <c r="S38" s="4500"/>
      <c r="T38" s="4500">
        <f>IF(F1="售价",ROUND(PRODUCT(T37,AB7:AB36),0),ROUND(PRODUCT(T37,AB7:AB36),1))</f>
        <v>490610</v>
      </c>
      <c r="U38" s="4500"/>
      <c r="V38" s="4500">
        <f>IF(F1="售价",ROUND(PRODUCT(V37,AC7:AC36),0),ROUND(PRODUCT(V37,AC7:AC36),1))</f>
        <v>410585</v>
      </c>
      <c r="W38" s="4500"/>
      <c r="X38" s="266"/>
      <c r="Y38" s="266"/>
      <c r="Z38" s="266"/>
      <c r="AA38" s="266"/>
      <c r="AB38" s="266"/>
      <c r="AC38" s="266"/>
    </row>
    <row r="39" spans="1:29" ht="15.75" thickBot="1">
      <c r="A39" s="292" t="s">
        <v>1760</v>
      </c>
      <c r="B39" s="293"/>
      <c r="C39" s="3970">
        <f>R39</f>
        <v>460354</v>
      </c>
      <c r="D39" s="242"/>
      <c r="E39" s="242"/>
      <c r="F39" s="242"/>
      <c r="G39" s="242"/>
      <c r="H39" s="242"/>
      <c r="I39" s="242"/>
      <c r="J39" s="242"/>
      <c r="K39" s="403"/>
      <c r="L39" s="2028"/>
      <c r="M39" s="2021"/>
      <c r="N39" s="2021"/>
      <c r="O39" s="2021"/>
      <c r="P39" s="4538" t="str">
        <f>A39</f>
        <v>估价对象XX用房的比较价值（楼面单价，元/平方米）</v>
      </c>
      <c r="Q39" s="4539"/>
      <c r="R39" s="4540">
        <f>IF(F1="售价",ROUND(IF(D38="简单平均",AVERAGE(R38:W38),R38*F38+T38*H38+V38*J38),0),ROUND(IF(D38="简单平均",AVERAGE(R38:V38),R38*F38+T38*H38+V38*J38),1))</f>
        <v>460354</v>
      </c>
      <c r="S39" s="4540"/>
      <c r="T39" s="4540"/>
      <c r="U39" s="4540"/>
      <c r="V39" s="4540"/>
      <c r="W39" s="4540"/>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1761</v>
      </c>
      <c r="D42" s="298"/>
      <c r="E42" s="299">
        <f>IF(E37&lt;E38,E38/E37-1,E37/E38-1)</f>
        <v>0</v>
      </c>
      <c r="F42" s="300" t="str">
        <f>IF(OR(E42&gt;=0.3,E42&lt;=-0.3),"超过30%","")</f>
        <v/>
      </c>
      <c r="G42" s="299">
        <f>IF(G37&lt;G38,G38/G37-1,G37/G38-1)</f>
        <v>2.5072387066980006E-3</v>
      </c>
      <c r="H42" s="300" t="str">
        <f>IF(OR(G42&gt;=0.3,G42&lt;=-0.3),"超过30%","")</f>
        <v/>
      </c>
      <c r="I42" s="299">
        <f>IF(I37&lt;I38,I38/I37-1,I37/I38-1)</f>
        <v>2.5051335704990851E-3</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1762</v>
      </c>
      <c r="D43" s="301"/>
      <c r="E43" s="299">
        <f>IF(E38&lt;G38,G38/E38-1,E38/G38-1)</f>
        <v>2.2389583758799292E-2</v>
      </c>
      <c r="F43" s="300" t="str">
        <f>IF(OR(E43&gt;=0.2,E43&lt;=-0.2),"超过20%","")</f>
        <v/>
      </c>
      <c r="G43" s="299">
        <f>IF(G38&lt;I38,I38/G38-1,G38/I38-1)</f>
        <v>0.1949048309119914</v>
      </c>
      <c r="H43" s="300" t="str">
        <f>IF(OR(G43&gt;=0.2,G43&lt;=-0.2),"超过20%","")</f>
        <v/>
      </c>
      <c r="I43" s="299">
        <f>IF(I38&lt;E38,E38/I38-1,I38/E38-1)</f>
        <v>0.16873728947720945</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1763</v>
      </c>
      <c r="D44" s="301"/>
      <c r="E44" s="299">
        <f>IF(E37&lt;G37,G37/E37-1,E37/G37-1)</f>
        <v>1.9832619939733176E-2</v>
      </c>
      <c r="F44" s="300" t="str">
        <f>IF(OR(E44&gt;=0.3,E44&lt;=-0.3),"超过30%","")</f>
        <v/>
      </c>
      <c r="G44" s="299">
        <f>IF(G37&lt;I37,I37/G37-1,G37/I37-1)</f>
        <v>0.19490232176560651</v>
      </c>
      <c r="H44" s="300" t="str">
        <f>IF(OR(G44&gt;=0.3,G44&lt;=-0.3),"超过30%","")</f>
        <v/>
      </c>
      <c r="I44" s="299">
        <f>IF(I37&lt;E37,E37/I37-1,I37/E37-1)</f>
        <v>0.17166513249617266</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1764</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1765</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1630</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1595</v>
      </c>
      <c r="B51" s="308"/>
      <c r="C51" s="320" t="s">
        <v>1690</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1633</v>
      </c>
      <c r="B53" s="323" t="s">
        <v>1599</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1602</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1604</v>
      </c>
      <c r="B63" s="323" t="s">
        <v>1640</v>
      </c>
      <c r="C63" s="365" t="s">
        <v>1635</v>
      </c>
      <c r="D63" s="365" t="s">
        <v>1636</v>
      </c>
      <c r="E63" s="365" t="s">
        <v>1637</v>
      </c>
      <c r="F63" s="365" t="s">
        <v>1638</v>
      </c>
      <c r="G63" s="365" t="s">
        <v>1639</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95</v>
      </c>
      <c r="E64" s="338">
        <f>D64-$K14</f>
        <v>90</v>
      </c>
      <c r="F64" s="338">
        <f>E64-$K14</f>
        <v>85</v>
      </c>
      <c r="G64" s="338">
        <f>F64-$K14</f>
        <v>80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1641</v>
      </c>
      <c r="C65" s="369" t="s">
        <v>1635</v>
      </c>
      <c r="D65" s="369" t="s">
        <v>1636</v>
      </c>
      <c r="E65" s="369" t="s">
        <v>1637</v>
      </c>
      <c r="F65" s="369" t="s">
        <v>1638</v>
      </c>
      <c r="G65" s="369" t="s">
        <v>1639</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95</v>
      </c>
      <c r="E66" s="338">
        <f>D66-$K16</f>
        <v>90</v>
      </c>
      <c r="F66" s="338">
        <f>E66-$K16</f>
        <v>85</v>
      </c>
      <c r="G66" s="338">
        <f>F66-$K16</f>
        <v>80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1727</v>
      </c>
      <c r="C67" s="436" t="s">
        <v>1713</v>
      </c>
      <c r="D67" s="436" t="s">
        <v>1714</v>
      </c>
      <c r="E67" s="436" t="s">
        <v>1715</v>
      </c>
      <c r="F67" s="436" t="s">
        <v>1716</v>
      </c>
      <c r="G67" s="436" t="s">
        <v>1717</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98</v>
      </c>
      <c r="E68" s="338">
        <f>D68-$K18</f>
        <v>96</v>
      </c>
      <c r="F68" s="338">
        <f>E68-$K18</f>
        <v>94</v>
      </c>
      <c r="G68" s="338">
        <f>F68-$K18</f>
        <v>92</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1647</v>
      </c>
      <c r="C69" s="369" t="s">
        <v>1635</v>
      </c>
      <c r="D69" s="369" t="s">
        <v>1636</v>
      </c>
      <c r="E69" s="369" t="s">
        <v>1637</v>
      </c>
      <c r="F69" s="369" t="s">
        <v>1638</v>
      </c>
      <c r="G69" s="369" t="s">
        <v>1639</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95</v>
      </c>
      <c r="E70" s="338">
        <f>D70-$K20</f>
        <v>90</v>
      </c>
      <c r="F70" s="338">
        <f>E70-$K20</f>
        <v>85</v>
      </c>
      <c r="G70" s="338">
        <f>F70-$K20</f>
        <v>80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1766</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1608</v>
      </c>
      <c r="B79" s="323" t="s">
        <v>1767</v>
      </c>
      <c r="C79" s="324" t="str">
        <f>C26</f>
        <v>住宅</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1768</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1654</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1769</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1770</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1771</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v>30</v>
      </c>
      <c r="E91" s="5">
        <v>60</v>
      </c>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v>100</v>
      </c>
      <c r="D92" s="330">
        <v>101</v>
      </c>
      <c r="E92" s="330">
        <v>102</v>
      </c>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1772</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95</v>
      </c>
      <c r="E94" s="338">
        <f t="shared" si="22"/>
        <v>90</v>
      </c>
      <c r="F94" s="338">
        <f t="shared" si="22"/>
        <v>85</v>
      </c>
      <c r="G94" s="338">
        <f t="shared" si="22"/>
        <v>80</v>
      </c>
      <c r="H94" s="338">
        <f t="shared" si="22"/>
        <v>75</v>
      </c>
      <c r="I94" s="338">
        <f t="shared" si="22"/>
        <v>70</v>
      </c>
      <c r="J94" s="338">
        <f t="shared" si="22"/>
        <v>65</v>
      </c>
      <c r="K94" s="338">
        <f t="shared" si="22"/>
        <v>60</v>
      </c>
      <c r="L94" s="338">
        <f t="shared" si="22"/>
        <v>55</v>
      </c>
      <c r="M94" s="339">
        <f t="shared" si="22"/>
        <v>50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1773</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E2" xr:uid="{00000000-0002-0000-2500-000010000000}">
      <formula1>"需扣减承租人权益,——"</formula1>
    </dataValidation>
    <dataValidation type="list" allowBlank="1" showInputMessage="1" showErrorMessage="1" sqref="H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 type="list" allowBlank="1" showInputMessage="1" showErrorMessage="1" sqref="C2" xr:uid="{00000000-0002-0000-25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7"/>
      <c r="C2" s="4167"/>
      <c r="D2" s="4167"/>
      <c r="E2" s="4167"/>
    </row>
    <row r="3" spans="1:5" ht="18">
      <c r="A3" s="4168" t="str">
        <f>IF(项目基本情况!B9="房地产市场价值","估价结果一览表（市场价值不需“结果表-1”）","估价结果一览表")</f>
        <v>估价结果一览表</v>
      </c>
      <c r="B3" s="4168"/>
      <c r="C3" s="4168"/>
      <c r="D3" s="4168"/>
      <c r="E3" s="4168"/>
    </row>
    <row r="4" spans="1:5" ht="19.5" thickBot="1">
      <c r="A4" s="1072"/>
      <c r="B4" s="4166" t="s">
        <v>903</v>
      </c>
      <c r="C4" s="4166"/>
      <c r="D4" s="4166"/>
      <c r="E4" s="1072"/>
    </row>
    <row r="5" spans="1:5" ht="16.5" thickTop="1">
      <c r="B5" s="4164" t="s">
        <v>895</v>
      </c>
      <c r="C5" s="1073" t="s">
        <v>896</v>
      </c>
      <c r="D5" s="568">
        <f ca="1">结果表!H101</f>
        <v>114945</v>
      </c>
    </row>
    <row r="6" spans="1:5" ht="15.75">
      <c r="B6" s="4164"/>
      <c r="C6" s="1073" t="s">
        <v>897</v>
      </c>
      <c r="D6" s="568" t="str">
        <f ca="1">NUMBERSTRING(INT(D5*10000),2)&amp;"元整"</f>
        <v>壹拾壹亿肆仟玖佰肆拾伍万元整</v>
      </c>
    </row>
    <row r="7" spans="1:5" ht="15.75">
      <c r="B7" s="4169"/>
      <c r="C7" s="1074" t="s">
        <v>898</v>
      </c>
      <c r="D7" s="569">
        <f ca="1">结果表!H102</f>
        <v>46037</v>
      </c>
    </row>
    <row r="8" spans="1:5" ht="15.75">
      <c r="B8" s="4170" t="str">
        <f>结果表!E103</f>
        <v>2.估价师知悉的法定优先受偿款</v>
      </c>
      <c r="C8" s="1075" t="s">
        <v>899</v>
      </c>
      <c r="D8" s="569">
        <f>结果表!H103</f>
        <v>0</v>
      </c>
    </row>
    <row r="9" spans="1:5" ht="15.75">
      <c r="B9" s="4172"/>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63" t="str">
        <f>结果表!E107</f>
        <v>3.房地产抵押价值</v>
      </c>
      <c r="C13" s="1078" t="s">
        <v>896</v>
      </c>
      <c r="D13" s="571">
        <f ca="1">结果表!H107</f>
        <v>114945</v>
      </c>
    </row>
    <row r="14" spans="1:5" ht="15.75">
      <c r="B14" s="4164"/>
      <c r="C14" s="1073" t="s">
        <v>897</v>
      </c>
      <c r="D14" s="568" t="str">
        <f ca="1">NUMBERSTRING(INT(D13*10000),2)&amp;"元整"</f>
        <v>壹拾壹亿肆仟玖佰肆拾伍万元整</v>
      </c>
    </row>
    <row r="15" spans="1:5" ht="15">
      <c r="B15" s="4169"/>
      <c r="C15" s="1074" t="s">
        <v>907</v>
      </c>
      <c r="D15" s="576">
        <f ca="1">结果表!H108</f>
        <v>46037</v>
      </c>
    </row>
    <row r="16" spans="1:5" ht="15">
      <c r="B16" s="4170" t="str">
        <f>结果表!E109</f>
        <v>——</v>
      </c>
      <c r="C16" s="1078" t="s">
        <v>908</v>
      </c>
      <c r="D16" s="1079" t="str">
        <f>结果表!H109</f>
        <v>——</v>
      </c>
    </row>
    <row r="17" spans="1:5" ht="15.75">
      <c r="B17" s="4171"/>
      <c r="C17" s="1073" t="s">
        <v>909</v>
      </c>
      <c r="D17" s="568" t="e">
        <f>NUMBERSTRING(INT(D16*10000),2)&amp;"元整"</f>
        <v>#VALUE!</v>
      </c>
    </row>
    <row r="18" spans="1:5" ht="15">
      <c r="B18" s="4172"/>
      <c r="C18" s="1074" t="s">
        <v>898</v>
      </c>
      <c r="D18" s="576" t="str">
        <f>结果表!H110</f>
        <v>——</v>
      </c>
    </row>
    <row r="19" spans="1:5" ht="15.75">
      <c r="B19" s="4163" t="str">
        <f>结果表!E111</f>
        <v>——</v>
      </c>
      <c r="C19" s="1078" t="s">
        <v>896</v>
      </c>
      <c r="D19" s="569" t="str">
        <f>结果表!H111</f>
        <v>——</v>
      </c>
    </row>
    <row r="20" spans="1:5" ht="15.75">
      <c r="B20" s="4164"/>
      <c r="C20" s="1073" t="s">
        <v>909</v>
      </c>
      <c r="D20" s="568" t="e">
        <f>NUMBERSTRING(INT(D19*10000),2)&amp;"元整"</f>
        <v>#VALUE!</v>
      </c>
    </row>
    <row r="21" spans="1:5" ht="15.75" thickBot="1">
      <c r="B21" s="4165"/>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R7:S32"/>
  <sheetViews>
    <sheetView topLeftCell="A34" workbookViewId="0">
      <selection activeCell="U35" sqref="Q35:U56"/>
    </sheetView>
  </sheetViews>
  <sheetFormatPr defaultRowHeight="13.5"/>
  <cols>
    <col min="1" max="16384" width="9" style="4136"/>
  </cols>
  <sheetData>
    <row r="7" spans="18:19">
      <c r="R7" s="4136">
        <f>ROUND(14587.94/304*10000,0)</f>
        <v>479866</v>
      </c>
      <c r="S7" s="4136">
        <f>ROUND(10696/304,2)</f>
        <v>35.18</v>
      </c>
    </row>
    <row r="9" spans="18:19">
      <c r="R9" s="4136">
        <f>ROUND(10032.47/203*10000,0)</f>
        <v>494210</v>
      </c>
    </row>
    <row r="20" spans="18:19">
      <c r="R20" s="4136">
        <f>ROUND(2642.67/54*10000,0)</f>
        <v>489383</v>
      </c>
      <c r="S20" s="4136">
        <f>ROUND(2005/54,2)</f>
        <v>37.130000000000003</v>
      </c>
    </row>
    <row r="32" spans="18:19">
      <c r="R32" s="4136">
        <f>ROUND(1187.72/29*10000,0)</f>
        <v>409559</v>
      </c>
      <c r="S32" s="4136">
        <f>ROUND(1119/29,2)</f>
        <v>38.590000000000003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3225</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t="e">
        <f>IF(E2="——",C37,ROUND(B2*10000/D3,0))</f>
        <v>#DIV/0!</v>
      </c>
      <c r="C3" s="235" t="s">
        <v>1682</v>
      </c>
      <c r="D3" s="3003">
        <f>SUMIF('数据-汇总表'!$C19:$C33,D1,'数据-汇总表'!$E19:$E33)</f>
        <v>0</v>
      </c>
      <c r="E3" s="4083" t="s">
        <v>3497</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1683</v>
      </c>
      <c r="B4" s="237"/>
      <c r="C4" s="4422" t="s">
        <v>1684</v>
      </c>
      <c r="D4" s="4515"/>
      <c r="E4" s="4516" t="s">
        <v>1685</v>
      </c>
      <c r="F4" s="4517"/>
      <c r="G4" s="4422" t="s">
        <v>1686</v>
      </c>
      <c r="H4" s="4515"/>
      <c r="I4" s="4422" t="s">
        <v>1687</v>
      </c>
      <c r="J4" s="4515"/>
      <c r="K4" s="397" t="s">
        <v>1688</v>
      </c>
      <c r="L4" s="2020"/>
      <c r="M4" s="2021"/>
      <c r="N4" s="2021"/>
      <c r="O4" s="2021"/>
      <c r="P4" s="4530" t="s">
        <v>1689</v>
      </c>
      <c r="Q4" s="4531"/>
      <c r="R4" s="4404" t="s">
        <v>1685</v>
      </c>
      <c r="S4" s="4405"/>
      <c r="T4" s="4404" t="s">
        <v>1686</v>
      </c>
      <c r="U4" s="4405"/>
      <c r="V4" s="4500" t="s">
        <v>1687</v>
      </c>
      <c r="W4" s="4500"/>
      <c r="X4" s="946"/>
      <c r="Y4" s="4404" t="s">
        <v>1689</v>
      </c>
      <c r="Z4" s="4405"/>
      <c r="AA4" s="4370" t="s">
        <v>1685</v>
      </c>
      <c r="AB4" s="4371" t="s">
        <v>1686</v>
      </c>
      <c r="AC4" s="4370" t="s">
        <v>1687</v>
      </c>
    </row>
    <row r="5" spans="1:29" ht="15">
      <c r="A5" s="239"/>
      <c r="B5" s="240"/>
      <c r="C5" s="4506" t="s">
        <v>1587</v>
      </c>
      <c r="D5" s="4507"/>
      <c r="E5" s="4504" t="s">
        <v>1588</v>
      </c>
      <c r="F5" s="4505"/>
      <c r="G5" s="4506" t="s">
        <v>1589</v>
      </c>
      <c r="H5" s="4507"/>
      <c r="I5" s="4506" t="s">
        <v>1590</v>
      </c>
      <c r="J5" s="4507"/>
      <c r="K5" s="397"/>
      <c r="L5" s="2020"/>
      <c r="M5" s="2021"/>
      <c r="N5" s="2021"/>
      <c r="O5" s="2021"/>
      <c r="P5" s="4532"/>
      <c r="Q5" s="4533"/>
      <c r="R5" s="4406"/>
      <c r="S5" s="4407"/>
      <c r="T5" s="4406"/>
      <c r="U5" s="4407"/>
      <c r="V5" s="4500"/>
      <c r="W5" s="4500"/>
      <c r="X5" s="946"/>
      <c r="Y5" s="4406"/>
      <c r="Z5" s="4407"/>
      <c r="AA5" s="4371"/>
      <c r="AB5" s="4371"/>
      <c r="AC5" s="4371"/>
    </row>
    <row r="6" spans="1:29" ht="15.75" thickBot="1">
      <c r="A6" s="241"/>
      <c r="B6" s="242"/>
      <c r="C6" s="4508" t="s">
        <v>1591</v>
      </c>
      <c r="D6" s="4509"/>
      <c r="E6" s="4510" t="s">
        <v>1591</v>
      </c>
      <c r="F6" s="4511"/>
      <c r="G6" s="4508" t="s">
        <v>1591</v>
      </c>
      <c r="H6" s="4509"/>
      <c r="I6" s="4508" t="s">
        <v>1591</v>
      </c>
      <c r="J6" s="4509"/>
      <c r="K6" s="397" t="s">
        <v>1592</v>
      </c>
      <c r="L6" s="2020"/>
      <c r="M6" s="2021"/>
      <c r="N6" s="2021"/>
      <c r="O6" s="2021"/>
      <c r="P6" s="4534"/>
      <c r="Q6" s="4535"/>
      <c r="R6" s="4406"/>
      <c r="S6" s="4407"/>
      <c r="T6" s="4408"/>
      <c r="U6" s="4409"/>
      <c r="V6" s="4500"/>
      <c r="W6" s="4500"/>
      <c r="X6" s="946"/>
      <c r="Y6" s="4408"/>
      <c r="Z6" s="4409"/>
      <c r="AA6" s="4372"/>
      <c r="AB6" s="4372"/>
      <c r="AC6" s="4372"/>
    </row>
    <row r="7" spans="1:29" s="46" customFormat="1" ht="15.75" thickBot="1">
      <c r="A7" s="243" t="s">
        <v>1593</v>
      </c>
      <c r="B7" s="244"/>
      <c r="C7" s="245">
        <f>'数据-取费表'!B2</f>
        <v>46043</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373" t="s">
        <v>1594</v>
      </c>
      <c r="Q7" s="4536"/>
      <c r="R7" s="3991" t="s">
        <v>13</v>
      </c>
      <c r="S7" s="3994">
        <f t="shared" ref="S7:S14" si="0">F7</f>
        <v>0</v>
      </c>
      <c r="T7" s="3991" t="s">
        <v>13</v>
      </c>
      <c r="U7" s="3994">
        <f t="shared" ref="U7:U14" si="1">H7</f>
        <v>0</v>
      </c>
      <c r="V7" s="3991" t="s">
        <v>13</v>
      </c>
      <c r="W7" s="3994">
        <f t="shared" ref="W7:W14" si="2">J7</f>
        <v>0</v>
      </c>
      <c r="X7" s="493"/>
      <c r="Y7" s="4373" t="s">
        <v>1594</v>
      </c>
      <c r="Z7" s="4374"/>
      <c r="AA7" s="28" t="e">
        <f>D7/F7</f>
        <v>#DIV/0!</v>
      </c>
      <c r="AB7" s="28" t="e">
        <f>D7/H7</f>
        <v>#DIV/0!</v>
      </c>
      <c r="AC7" s="28" t="e">
        <f>D7/J7</f>
        <v>#DIV/0!</v>
      </c>
    </row>
    <row r="8" spans="1:29" s="46" customFormat="1" ht="15.75" thickBot="1">
      <c r="A8" s="243" t="s">
        <v>1595</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373" t="s">
        <v>1597</v>
      </c>
      <c r="Q8" s="4374"/>
      <c r="R8" s="3991" t="s">
        <v>13</v>
      </c>
      <c r="S8" s="3994">
        <f t="shared" si="0"/>
        <v>100</v>
      </c>
      <c r="T8" s="3991" t="s">
        <v>13</v>
      </c>
      <c r="U8" s="3994">
        <f t="shared" si="1"/>
        <v>100</v>
      </c>
      <c r="V8" s="3991" t="s">
        <v>13</v>
      </c>
      <c r="W8" s="3994">
        <f t="shared" si="2"/>
        <v>100</v>
      </c>
      <c r="X8" s="493"/>
      <c r="Y8" s="4373" t="s">
        <v>1597</v>
      </c>
      <c r="Z8" s="4374"/>
      <c r="AA8" s="28">
        <f t="shared" ref="AA8:AA34" si="3">D8/F8</f>
        <v>1</v>
      </c>
      <c r="AB8" s="28">
        <f t="shared" ref="AB8:AB34" si="4">D8/H8</f>
        <v>1</v>
      </c>
      <c r="AC8" s="28">
        <f t="shared" ref="AC8:AC34" si="5">D8/J8</f>
        <v>1</v>
      </c>
    </row>
    <row r="9" spans="1:29" s="46" customFormat="1">
      <c r="A9" s="248" t="s">
        <v>1598</v>
      </c>
      <c r="B9" s="34" t="s">
        <v>1599</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425" t="s">
        <v>1600</v>
      </c>
      <c r="Q9" s="390" t="str">
        <f t="shared" ref="Q9:Q14" si="6">B9</f>
        <v>用途</v>
      </c>
      <c r="R9" s="3991" t="s">
        <v>13</v>
      </c>
      <c r="S9" s="3994">
        <f t="shared" si="0"/>
        <v>100</v>
      </c>
      <c r="T9" s="3991" t="s">
        <v>13</v>
      </c>
      <c r="U9" s="3994">
        <f t="shared" si="1"/>
        <v>100</v>
      </c>
      <c r="V9" s="3991" t="s">
        <v>13</v>
      </c>
      <c r="W9" s="3994">
        <f t="shared" si="2"/>
        <v>100</v>
      </c>
      <c r="X9" s="493"/>
      <c r="Y9" s="4388" t="s">
        <v>1601</v>
      </c>
      <c r="Z9" s="28" t="str">
        <f t="shared" ref="Z9:Z14" si="7">Q9</f>
        <v>用途</v>
      </c>
      <c r="AA9" s="28">
        <f t="shared" si="3"/>
        <v>1</v>
      </c>
      <c r="AB9" s="28">
        <f t="shared" si="4"/>
        <v>1</v>
      </c>
      <c r="AC9" s="28">
        <f t="shared" si="5"/>
        <v>1</v>
      </c>
    </row>
    <row r="10" spans="1:29" s="254" customFormat="1" ht="27">
      <c r="A10" s="252"/>
      <c r="B10" s="253" t="s">
        <v>1602</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25"/>
      <c r="Q10" s="390" t="str">
        <f t="shared" si="6"/>
        <v>土地使用年限（年）</v>
      </c>
      <c r="R10" s="3991" t="s">
        <v>13</v>
      </c>
      <c r="S10" s="3994">
        <f t="shared" si="0"/>
        <v>100</v>
      </c>
      <c r="T10" s="3991" t="s">
        <v>13</v>
      </c>
      <c r="U10" s="3994">
        <f t="shared" si="1"/>
        <v>100</v>
      </c>
      <c r="V10" s="3991" t="s">
        <v>13</v>
      </c>
      <c r="W10" s="3994">
        <f t="shared" si="2"/>
        <v>100</v>
      </c>
      <c r="X10" s="493"/>
      <c r="Y10" s="4388"/>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25"/>
      <c r="Q11" s="390">
        <f t="shared" si="6"/>
        <v>111</v>
      </c>
      <c r="R11" s="3991" t="s">
        <v>13</v>
      </c>
      <c r="S11" s="3994">
        <f t="shared" si="0"/>
        <v>100</v>
      </c>
      <c r="T11" s="3991" t="s">
        <v>13</v>
      </c>
      <c r="U11" s="3994">
        <f t="shared" si="1"/>
        <v>100</v>
      </c>
      <c r="V11" s="3991" t="s">
        <v>13</v>
      </c>
      <c r="W11" s="3994">
        <f t="shared" si="2"/>
        <v>100</v>
      </c>
      <c r="X11" s="493"/>
      <c r="Y11" s="4388"/>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425"/>
      <c r="Q12" s="390">
        <f t="shared" si="6"/>
        <v>111</v>
      </c>
      <c r="R12" s="3991" t="s">
        <v>13</v>
      </c>
      <c r="S12" s="3994">
        <f t="shared" si="0"/>
        <v>100</v>
      </c>
      <c r="T12" s="3991" t="s">
        <v>13</v>
      </c>
      <c r="U12" s="3994">
        <f t="shared" si="1"/>
        <v>100</v>
      </c>
      <c r="V12" s="3991" t="s">
        <v>13</v>
      </c>
      <c r="W12" s="3994">
        <f t="shared" si="2"/>
        <v>100</v>
      </c>
      <c r="X12" s="493"/>
      <c r="Y12" s="4388"/>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425"/>
      <c r="Q13" s="390">
        <f t="shared" si="6"/>
        <v>111</v>
      </c>
      <c r="R13" s="3991" t="s">
        <v>13</v>
      </c>
      <c r="S13" s="3994">
        <f t="shared" si="0"/>
        <v>100</v>
      </c>
      <c r="T13" s="3991" t="s">
        <v>13</v>
      </c>
      <c r="U13" s="3994">
        <f t="shared" si="1"/>
        <v>100</v>
      </c>
      <c r="V13" s="3991" t="s">
        <v>13</v>
      </c>
      <c r="W13" s="3994">
        <f t="shared" si="2"/>
        <v>100</v>
      </c>
      <c r="X13" s="493"/>
      <c r="Y13" s="4388"/>
      <c r="Z13" s="28">
        <f t="shared" si="7"/>
        <v>111</v>
      </c>
      <c r="AA13" s="28">
        <f t="shared" si="3"/>
        <v>1</v>
      </c>
      <c r="AB13" s="28">
        <f t="shared" si="4"/>
        <v>1</v>
      </c>
      <c r="AC13" s="28">
        <f t="shared" si="5"/>
        <v>1</v>
      </c>
    </row>
    <row r="14" spans="1:29" ht="15">
      <c r="A14" s="263" t="s">
        <v>1604</v>
      </c>
      <c r="B14" s="32" t="s">
        <v>1747</v>
      </c>
      <c r="C14" s="1461">
        <f>IF(B1="工业",估价对象房地状况!G4,估价对象房地状况!C6)</f>
        <v>0</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413" t="s">
        <v>1605</v>
      </c>
      <c r="Q14" s="943" t="str">
        <f t="shared" si="6"/>
        <v>交通便捷度</v>
      </c>
      <c r="R14" s="3992" t="s">
        <v>13</v>
      </c>
      <c r="S14" s="3995">
        <f t="shared" si="0"/>
        <v>100</v>
      </c>
      <c r="T14" s="3992" t="s">
        <v>13</v>
      </c>
      <c r="U14" s="3995">
        <f t="shared" si="1"/>
        <v>100</v>
      </c>
      <c r="V14" s="3992" t="s">
        <v>13</v>
      </c>
      <c r="W14" s="3995">
        <f t="shared" si="2"/>
        <v>100</v>
      </c>
      <c r="X14" s="946"/>
      <c r="Y14" s="4413" t="s">
        <v>1605</v>
      </c>
      <c r="Z14" s="944" t="str">
        <f t="shared" si="7"/>
        <v>交通便捷度</v>
      </c>
      <c r="AA14" s="944">
        <f t="shared" si="3"/>
        <v>1</v>
      </c>
      <c r="AB14" s="944">
        <f t="shared" si="4"/>
        <v>1</v>
      </c>
      <c r="AC14" s="944">
        <f t="shared" si="5"/>
        <v>1</v>
      </c>
    </row>
    <row r="15" spans="1:29" ht="15">
      <c r="A15" s="255"/>
      <c r="B15" s="266"/>
      <c r="C15" s="267"/>
      <c r="D15" s="3029"/>
      <c r="E15" s="267"/>
      <c r="F15" s="3981"/>
      <c r="G15" s="267"/>
      <c r="H15" s="269"/>
      <c r="I15" s="267"/>
      <c r="J15" s="268"/>
      <c r="K15" s="401"/>
      <c r="L15" s="2026"/>
      <c r="M15" s="2021"/>
      <c r="N15" s="2021"/>
      <c r="O15" s="2076"/>
      <c r="P15" s="4414"/>
      <c r="Q15" s="943"/>
      <c r="R15" s="3992"/>
      <c r="S15" s="3995"/>
      <c r="T15" s="3992"/>
      <c r="U15" s="3995"/>
      <c r="V15" s="3992"/>
      <c r="W15" s="3995"/>
      <c r="X15" s="946"/>
      <c r="Y15" s="4414"/>
      <c r="Z15" s="944"/>
      <c r="AA15" s="944">
        <v>1</v>
      </c>
      <c r="AB15" s="944">
        <v>1</v>
      </c>
      <c r="AC15" s="944">
        <v>1</v>
      </c>
    </row>
    <row r="16" spans="1:29" ht="15">
      <c r="A16" s="255"/>
      <c r="B16" s="270" t="s">
        <v>1726</v>
      </c>
      <c r="C16" s="1401">
        <f>IF(B1="工业",估价对象房地状况!G5,估价对象房地状况!C7)</f>
        <v>0</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414"/>
      <c r="Q16" s="943" t="str">
        <f>B16</f>
        <v>公共配套设施</v>
      </c>
      <c r="R16" s="3992" t="s">
        <v>13</v>
      </c>
      <c r="S16" s="3995">
        <f>F16</f>
        <v>100</v>
      </c>
      <c r="T16" s="3992" t="s">
        <v>13</v>
      </c>
      <c r="U16" s="3995">
        <f>H16</f>
        <v>100</v>
      </c>
      <c r="V16" s="3992" t="s">
        <v>13</v>
      </c>
      <c r="W16" s="3995">
        <f>J16</f>
        <v>100</v>
      </c>
      <c r="X16" s="946"/>
      <c r="Y16" s="4414"/>
      <c r="Z16" s="944" t="str">
        <f>Q16</f>
        <v>公共配套设施</v>
      </c>
      <c r="AA16" s="944">
        <f t="shared" si="3"/>
        <v>1</v>
      </c>
      <c r="AB16" s="944">
        <f t="shared" si="4"/>
        <v>1</v>
      </c>
      <c r="AC16" s="944">
        <f t="shared" si="5"/>
        <v>1</v>
      </c>
    </row>
    <row r="17" spans="1:29" ht="15">
      <c r="A17" s="255"/>
      <c r="B17" s="273"/>
      <c r="C17" s="1402"/>
      <c r="D17" s="3029"/>
      <c r="E17" s="267"/>
      <c r="F17" s="3981"/>
      <c r="G17" s="267"/>
      <c r="H17" s="268"/>
      <c r="I17" s="267"/>
      <c r="J17" s="268"/>
      <c r="K17" s="401"/>
      <c r="L17" s="2026"/>
      <c r="M17" s="2021"/>
      <c r="N17" s="2021"/>
      <c r="O17" s="2076"/>
      <c r="P17" s="4414"/>
      <c r="Q17" s="943"/>
      <c r="R17" s="3992"/>
      <c r="S17" s="3995"/>
      <c r="T17" s="3992"/>
      <c r="U17" s="3995"/>
      <c r="V17" s="3992"/>
      <c r="W17" s="3995"/>
      <c r="X17" s="946"/>
      <c r="Y17" s="4414"/>
      <c r="Z17" s="944"/>
      <c r="AA17" s="944">
        <v>1</v>
      </c>
      <c r="AB17" s="944">
        <v>1</v>
      </c>
      <c r="AC17" s="944">
        <v>1</v>
      </c>
    </row>
    <row r="18" spans="1:29" ht="15">
      <c r="A18" s="255"/>
      <c r="B18" s="792" t="s">
        <v>1727</v>
      </c>
      <c r="C18" s="1401">
        <f>IF(B1="工业",估价对象房地状况!G6,估价对象房地状况!C8)</f>
        <v>0</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414"/>
      <c r="Q18" s="943" t="str">
        <f>B18</f>
        <v>基础设施水平</v>
      </c>
      <c r="R18" s="3992" t="s">
        <v>13</v>
      </c>
      <c r="S18" s="3995">
        <f>F18</f>
        <v>100</v>
      </c>
      <c r="T18" s="3992" t="s">
        <v>13</v>
      </c>
      <c r="U18" s="3995">
        <f>H18</f>
        <v>100</v>
      </c>
      <c r="V18" s="3992" t="s">
        <v>13</v>
      </c>
      <c r="W18" s="3995">
        <f>J18</f>
        <v>100</v>
      </c>
      <c r="X18" s="946"/>
      <c r="Y18" s="4414"/>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2"/>
      <c r="G19" s="1402"/>
      <c r="H19" s="268"/>
      <c r="I19" s="267"/>
      <c r="J19" s="268"/>
      <c r="K19" s="791"/>
      <c r="L19" s="2026"/>
      <c r="M19" s="2021"/>
      <c r="N19" s="2021"/>
      <c r="O19" s="2076"/>
      <c r="P19" s="4414"/>
      <c r="Q19" s="943"/>
      <c r="R19" s="3992"/>
      <c r="S19" s="3995"/>
      <c r="T19" s="3992"/>
      <c r="U19" s="3995"/>
      <c r="V19" s="3992"/>
      <c r="W19" s="3995"/>
      <c r="X19" s="946"/>
      <c r="Y19" s="4414"/>
      <c r="Z19" s="944"/>
      <c r="AA19" s="944">
        <v>1</v>
      </c>
      <c r="AB19" s="944">
        <v>1</v>
      </c>
      <c r="AC19" s="944">
        <v>1</v>
      </c>
    </row>
    <row r="20" spans="1:29" ht="15">
      <c r="A20" s="255"/>
      <c r="B20" s="270" t="s">
        <v>1748</v>
      </c>
      <c r="C20" s="1401">
        <f>IF(B1="工业",估价对象房地状况!G7,估价对象房地状况!C9)</f>
        <v>0</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414"/>
      <c r="Q20" s="943" t="str">
        <f>B20</f>
        <v>自然及人文环境</v>
      </c>
      <c r="R20" s="3992" t="s">
        <v>13</v>
      </c>
      <c r="S20" s="3995">
        <f>F20</f>
        <v>100</v>
      </c>
      <c r="T20" s="3992" t="s">
        <v>13</v>
      </c>
      <c r="U20" s="3995">
        <f>H20</f>
        <v>100</v>
      </c>
      <c r="V20" s="3992" t="s">
        <v>13</v>
      </c>
      <c r="W20" s="3995">
        <f>J20</f>
        <v>100</v>
      </c>
      <c r="X20" s="946"/>
      <c r="Y20" s="4414"/>
      <c r="Z20" s="944" t="str">
        <f>Q20</f>
        <v>自然及人文环境</v>
      </c>
      <c r="AA20" s="944">
        <f t="shared" si="3"/>
        <v>1</v>
      </c>
      <c r="AB20" s="944">
        <f t="shared" si="4"/>
        <v>1</v>
      </c>
      <c r="AC20" s="944">
        <f t="shared" si="5"/>
        <v>1</v>
      </c>
    </row>
    <row r="21" spans="1:29" ht="15">
      <c r="A21" s="255"/>
      <c r="B21" s="273"/>
      <c r="C21" s="267"/>
      <c r="D21" s="3029"/>
      <c r="E21" s="267"/>
      <c r="F21" s="3981"/>
      <c r="G21" s="267"/>
      <c r="H21" s="268"/>
      <c r="I21" s="267"/>
      <c r="J21" s="268"/>
      <c r="K21" s="401"/>
      <c r="L21" s="2026"/>
      <c r="M21" s="2021"/>
      <c r="N21" s="2021"/>
      <c r="O21" s="2076"/>
      <c r="P21" s="4414"/>
      <c r="Q21" s="943"/>
      <c r="R21" s="3992"/>
      <c r="S21" s="3995"/>
      <c r="T21" s="3992"/>
      <c r="U21" s="3995"/>
      <c r="V21" s="3992"/>
      <c r="W21" s="3995"/>
      <c r="X21" s="946"/>
      <c r="Y21" s="4414"/>
      <c r="Z21" s="944"/>
      <c r="AA21" s="944">
        <v>1</v>
      </c>
      <c r="AB21" s="944">
        <v>1</v>
      </c>
      <c r="AC21" s="944">
        <v>1</v>
      </c>
    </row>
    <row r="22" spans="1:29" ht="15">
      <c r="A22" s="255"/>
      <c r="B22" s="270" t="s">
        <v>1749</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414"/>
      <c r="Q22" s="943" t="str">
        <f>B22</f>
        <v>楼层</v>
      </c>
      <c r="R22" s="3992" t="s">
        <v>13</v>
      </c>
      <c r="S22" s="3995">
        <f>F22</f>
        <v>100</v>
      </c>
      <c r="T22" s="3992" t="s">
        <v>13</v>
      </c>
      <c r="U22" s="3995">
        <f>H22</f>
        <v>100</v>
      </c>
      <c r="V22" s="3992" t="s">
        <v>13</v>
      </c>
      <c r="W22" s="3995">
        <f>J22</f>
        <v>100</v>
      </c>
      <c r="X22" s="946"/>
      <c r="Y22" s="4414"/>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414"/>
      <c r="Q23" s="943">
        <f>B23</f>
        <v>111</v>
      </c>
      <c r="R23" s="3992" t="s">
        <v>13</v>
      </c>
      <c r="S23" s="3995">
        <f>F23</f>
        <v>100</v>
      </c>
      <c r="T23" s="3992" t="s">
        <v>13</v>
      </c>
      <c r="U23" s="3995">
        <f>H23</f>
        <v>100</v>
      </c>
      <c r="V23" s="3992" t="s">
        <v>13</v>
      </c>
      <c r="W23" s="3995">
        <f>J23</f>
        <v>100</v>
      </c>
      <c r="X23" s="946"/>
      <c r="Y23" s="4414"/>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414"/>
      <c r="Q24" s="943">
        <f t="shared" ref="Q24:Q34" si="11">B24</f>
        <v>111</v>
      </c>
      <c r="R24" s="3992" t="s">
        <v>13</v>
      </c>
      <c r="S24" s="3995">
        <f>F24</f>
        <v>100</v>
      </c>
      <c r="T24" s="3992" t="s">
        <v>13</v>
      </c>
      <c r="U24" s="3995">
        <f>H24</f>
        <v>100</v>
      </c>
      <c r="V24" s="3992" t="s">
        <v>13</v>
      </c>
      <c r="W24" s="3995">
        <f>J24</f>
        <v>100</v>
      </c>
      <c r="X24" s="946"/>
      <c r="Y24" s="4414"/>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14"/>
      <c r="Q25" s="390">
        <f t="shared" si="11"/>
        <v>111</v>
      </c>
      <c r="R25" s="3991" t="s">
        <v>13</v>
      </c>
      <c r="S25" s="3994">
        <f>F25</f>
        <v>100</v>
      </c>
      <c r="T25" s="3991" t="s">
        <v>13</v>
      </c>
      <c r="U25" s="3994">
        <f>H25</f>
        <v>100</v>
      </c>
      <c r="V25" s="3991" t="s">
        <v>13</v>
      </c>
      <c r="W25" s="3994">
        <f>J25</f>
        <v>100</v>
      </c>
      <c r="X25" s="493"/>
      <c r="Y25" s="4414"/>
      <c r="Z25" s="28">
        <f>Q25</f>
        <v>111</v>
      </c>
      <c r="AA25" s="944">
        <f>D25/F25</f>
        <v>1</v>
      </c>
      <c r="AB25" s="944">
        <f>D25/H25</f>
        <v>1</v>
      </c>
      <c r="AC25" s="944">
        <f>D25/J25</f>
        <v>1</v>
      </c>
    </row>
    <row r="26" spans="1:29" ht="28.5">
      <c r="A26" s="277" t="s">
        <v>1608</v>
      </c>
      <c r="B26" s="34" t="s">
        <v>1752</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537" t="s">
        <v>1610</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417" t="s">
        <v>1610</v>
      </c>
      <c r="Z26" s="944" t="str">
        <f t="shared" ref="Z26:Z34" si="15">Q26</f>
        <v>公共部分装修</v>
      </c>
      <c r="AA26" s="944">
        <f t="shared" si="3"/>
        <v>1</v>
      </c>
      <c r="AB26" s="944">
        <f t="shared" si="4"/>
        <v>1</v>
      </c>
      <c r="AC26" s="944">
        <f t="shared" si="5"/>
        <v>1</v>
      </c>
    </row>
    <row r="27" spans="1:29" s="280" customFormat="1" ht="15">
      <c r="A27" s="278"/>
      <c r="B27" s="253" t="s">
        <v>1753</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417"/>
      <c r="Q27" s="391" t="str">
        <f t="shared" si="11"/>
        <v>成新率</v>
      </c>
      <c r="R27" s="3993" t="s">
        <v>13</v>
      </c>
      <c r="S27" s="3996" t="e">
        <f t="shared" si="12"/>
        <v>#N/A</v>
      </c>
      <c r="T27" s="3993" t="s">
        <v>13</v>
      </c>
      <c r="U27" s="3996" t="e">
        <f t="shared" si="13"/>
        <v>#N/A</v>
      </c>
      <c r="V27" s="3993" t="s">
        <v>13</v>
      </c>
      <c r="W27" s="3996" t="e">
        <f t="shared" si="14"/>
        <v>#N/A</v>
      </c>
      <c r="X27" s="494"/>
      <c r="Y27" s="4417"/>
      <c r="Z27" s="495" t="str">
        <f t="shared" si="15"/>
        <v>成新率</v>
      </c>
      <c r="AA27" s="944" t="e">
        <f t="shared" si="3"/>
        <v>#N/A</v>
      </c>
      <c r="AB27" s="944" t="e">
        <f t="shared" si="4"/>
        <v>#N/A</v>
      </c>
      <c r="AC27" s="944" t="e">
        <f t="shared" si="5"/>
        <v>#N/A</v>
      </c>
    </row>
    <row r="28" spans="1:29" ht="15">
      <c r="A28" s="281"/>
      <c r="B28" s="253" t="s">
        <v>1754</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417"/>
      <c r="Q28" s="943" t="str">
        <f t="shared" si="11"/>
        <v>物业等级</v>
      </c>
      <c r="R28" s="3992" t="s">
        <v>13</v>
      </c>
      <c r="S28" s="3995">
        <f t="shared" si="12"/>
        <v>100</v>
      </c>
      <c r="T28" s="3992" t="s">
        <v>13</v>
      </c>
      <c r="U28" s="3995">
        <f t="shared" si="13"/>
        <v>100</v>
      </c>
      <c r="V28" s="3992" t="s">
        <v>13</v>
      </c>
      <c r="W28" s="3995">
        <f t="shared" si="14"/>
        <v>100</v>
      </c>
      <c r="X28" s="946"/>
      <c r="Y28" s="4417"/>
      <c r="Z28" s="944" t="str">
        <f t="shared" si="15"/>
        <v>物业等级</v>
      </c>
      <c r="AA28" s="944">
        <f t="shared" si="3"/>
        <v>1</v>
      </c>
      <c r="AB28" s="944">
        <f t="shared" si="4"/>
        <v>1</v>
      </c>
      <c r="AC28" s="944">
        <f t="shared" si="5"/>
        <v>1</v>
      </c>
    </row>
    <row r="29" spans="1:29" ht="15">
      <c r="A29" s="281"/>
      <c r="B29" s="253" t="s">
        <v>1774</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417"/>
      <c r="Q29" s="943" t="str">
        <f t="shared" si="11"/>
        <v>有无电梯</v>
      </c>
      <c r="R29" s="3992" t="s">
        <v>13</v>
      </c>
      <c r="S29" s="3995">
        <f t="shared" si="12"/>
        <v>100</v>
      </c>
      <c r="T29" s="3992" t="s">
        <v>13</v>
      </c>
      <c r="U29" s="3995">
        <f t="shared" si="13"/>
        <v>100</v>
      </c>
      <c r="V29" s="3992" t="s">
        <v>13</v>
      </c>
      <c r="W29" s="3995">
        <f t="shared" si="14"/>
        <v>100</v>
      </c>
      <c r="X29" s="946"/>
      <c r="Y29" s="4417"/>
      <c r="Z29" s="944" t="str">
        <f t="shared" si="15"/>
        <v>有无电梯</v>
      </c>
      <c r="AA29" s="944">
        <f t="shared" si="3"/>
        <v>1</v>
      </c>
      <c r="AB29" s="944">
        <f t="shared" si="4"/>
        <v>1</v>
      </c>
      <c r="AC29" s="944">
        <f t="shared" si="5"/>
        <v>1</v>
      </c>
    </row>
    <row r="30" spans="1:29" ht="15">
      <c r="A30" s="281"/>
      <c r="B30" s="253" t="s">
        <v>1775</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417"/>
      <c r="Q30" s="943" t="str">
        <f t="shared" si="11"/>
        <v>建筑面积</v>
      </c>
      <c r="R30" s="3992" t="s">
        <v>13</v>
      </c>
      <c r="S30" s="3995" t="e">
        <f t="shared" si="12"/>
        <v>#N/A</v>
      </c>
      <c r="T30" s="3992" t="s">
        <v>13</v>
      </c>
      <c r="U30" s="3995" t="e">
        <f t="shared" si="13"/>
        <v>#N/A</v>
      </c>
      <c r="V30" s="3992" t="s">
        <v>13</v>
      </c>
      <c r="W30" s="3995" t="e">
        <f t="shared" si="14"/>
        <v>#N/A</v>
      </c>
      <c r="X30" s="946"/>
      <c r="Y30" s="4417"/>
      <c r="Z30" s="944" t="str">
        <f t="shared" si="15"/>
        <v>建筑面积</v>
      </c>
      <c r="AA30" s="944" t="e">
        <f t="shared" si="3"/>
        <v>#N/A</v>
      </c>
      <c r="AB30" s="944" t="e">
        <f t="shared" si="4"/>
        <v>#N/A</v>
      </c>
      <c r="AC30" s="944" t="e">
        <f t="shared" si="5"/>
        <v>#N/A</v>
      </c>
    </row>
    <row r="31" spans="1:29" s="46" customFormat="1" ht="15">
      <c r="A31" s="282"/>
      <c r="B31" s="253" t="s">
        <v>1776</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417"/>
      <c r="Q31" s="390" t="str">
        <f t="shared" si="11"/>
        <v>是否封闭</v>
      </c>
      <c r="R31" s="3991" t="s">
        <v>13</v>
      </c>
      <c r="S31" s="3994">
        <f t="shared" si="12"/>
        <v>100</v>
      </c>
      <c r="T31" s="3991" t="s">
        <v>13</v>
      </c>
      <c r="U31" s="3994">
        <f t="shared" si="13"/>
        <v>100</v>
      </c>
      <c r="V31" s="3991" t="s">
        <v>13</v>
      </c>
      <c r="W31" s="3994">
        <f t="shared" si="14"/>
        <v>100</v>
      </c>
      <c r="X31" s="493"/>
      <c r="Y31" s="4417"/>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417" t="s">
        <v>1610</v>
      </c>
      <c r="Q32" s="943">
        <f t="shared" si="11"/>
        <v>111</v>
      </c>
      <c r="R32" s="3992" t="s">
        <v>13</v>
      </c>
      <c r="S32" s="3995">
        <f t="shared" si="12"/>
        <v>100</v>
      </c>
      <c r="T32" s="3992" t="s">
        <v>13</v>
      </c>
      <c r="U32" s="3995">
        <f t="shared" si="13"/>
        <v>100</v>
      </c>
      <c r="V32" s="3992" t="s">
        <v>13</v>
      </c>
      <c r="W32" s="3995">
        <f t="shared" si="14"/>
        <v>100</v>
      </c>
      <c r="X32" s="946"/>
      <c r="Y32" s="4417" t="s">
        <v>1610</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417"/>
      <c r="Q33" s="943">
        <f t="shared" si="11"/>
        <v>111</v>
      </c>
      <c r="R33" s="3992" t="s">
        <v>13</v>
      </c>
      <c r="S33" s="3995">
        <f t="shared" si="12"/>
        <v>100</v>
      </c>
      <c r="T33" s="3992" t="s">
        <v>13</v>
      </c>
      <c r="U33" s="3995">
        <f t="shared" si="13"/>
        <v>100</v>
      </c>
      <c r="V33" s="3992" t="s">
        <v>13</v>
      </c>
      <c r="W33" s="3995">
        <f t="shared" si="14"/>
        <v>100</v>
      </c>
      <c r="X33" s="946"/>
      <c r="Y33" s="4417"/>
      <c r="Z33" s="944">
        <f t="shared" si="15"/>
        <v>111</v>
      </c>
      <c r="AA33" s="944">
        <f t="shared" si="3"/>
        <v>1</v>
      </c>
      <c r="AB33" s="944">
        <f t="shared" si="4"/>
        <v>1</v>
      </c>
      <c r="AC33" s="944">
        <f t="shared" si="5"/>
        <v>1</v>
      </c>
    </row>
    <row r="34" spans="1:30" ht="15.75"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417"/>
      <c r="Q34" s="943">
        <f t="shared" si="11"/>
        <v>111</v>
      </c>
      <c r="R34" s="3992" t="s">
        <v>13</v>
      </c>
      <c r="S34" s="3995">
        <f t="shared" si="12"/>
        <v>100</v>
      </c>
      <c r="T34" s="3992" t="s">
        <v>13</v>
      </c>
      <c r="U34" s="3995">
        <f t="shared" si="13"/>
        <v>100</v>
      </c>
      <c r="V34" s="3992" t="s">
        <v>13</v>
      </c>
      <c r="W34" s="3995">
        <f t="shared" si="14"/>
        <v>100</v>
      </c>
      <c r="X34" s="946"/>
      <c r="Y34" s="4417"/>
      <c r="Z34" s="944">
        <f t="shared" si="15"/>
        <v>111</v>
      </c>
      <c r="AA34" s="944">
        <f t="shared" si="3"/>
        <v>1</v>
      </c>
      <c r="AB34" s="944">
        <f t="shared" si="4"/>
        <v>1</v>
      </c>
      <c r="AC34" s="944">
        <f t="shared" si="5"/>
        <v>1</v>
      </c>
    </row>
    <row r="35" spans="1:30" ht="15">
      <c r="A35" s="287" t="s">
        <v>1622</v>
      </c>
      <c r="B35" s="288"/>
      <c r="C35" s="798" t="s">
        <v>0</v>
      </c>
      <c r="D35" s="289"/>
      <c r="E35" s="3386"/>
      <c r="F35" s="3324"/>
      <c r="G35" s="3387"/>
      <c r="H35" s="3325"/>
      <c r="I35" s="3386"/>
      <c r="J35" s="3325"/>
      <c r="K35" s="2986"/>
      <c r="L35" s="2028"/>
      <c r="M35" s="2021"/>
      <c r="N35" s="2021"/>
      <c r="O35" s="2021"/>
      <c r="P35" s="4425" t="str">
        <f>A35</f>
        <v>成交单价（元/平方米）</v>
      </c>
      <c r="Q35" s="4425"/>
      <c r="R35" s="4500">
        <f>E35</f>
        <v>0</v>
      </c>
      <c r="S35" s="4500"/>
      <c r="T35" s="4500">
        <f>G35</f>
        <v>0</v>
      </c>
      <c r="U35" s="4500"/>
      <c r="V35" s="4500">
        <f>I35</f>
        <v>0</v>
      </c>
      <c r="W35" s="4500"/>
      <c r="X35" s="266"/>
      <c r="Y35" s="496"/>
      <c r="Z35" s="266"/>
      <c r="AA35" s="266"/>
      <c r="AB35" s="266"/>
      <c r="AC35" s="266"/>
    </row>
    <row r="36" spans="1:30" ht="15.75" thickBot="1">
      <c r="A36" s="290" t="s">
        <v>1707</v>
      </c>
      <c r="B36" s="291"/>
      <c r="C36" s="3958" t="e">
        <f>R37</f>
        <v>#DIV/0!</v>
      </c>
      <c r="D36" s="4082" t="s">
        <v>2048</v>
      </c>
      <c r="E36" s="3969" t="e">
        <f>R36</f>
        <v>#DIV/0!</v>
      </c>
      <c r="F36" s="2925"/>
      <c r="G36" s="3958" t="e">
        <f>T36</f>
        <v>#DIV/0!</v>
      </c>
      <c r="H36" s="2925"/>
      <c r="I36" s="3969" t="e">
        <f>V36</f>
        <v>#DIV/0!</v>
      </c>
      <c r="J36" s="2925"/>
      <c r="K36" s="2979">
        <f>F36+H36+J36</f>
        <v>0</v>
      </c>
      <c r="L36" s="2028"/>
      <c r="M36" s="2021"/>
      <c r="N36" s="2021"/>
      <c r="O36" s="2021"/>
      <c r="P36" s="4425" t="str">
        <f>A36</f>
        <v>比较价值（元/平方米）</v>
      </c>
      <c r="Q36" s="4425"/>
      <c r="R36" s="4500" t="e">
        <f>IF(F1="售价",ROUND(PRODUCT(R35,AA7:AA34),0),ROUND(PRODUCT(R35,AA7:AA34),1))</f>
        <v>#DIV/0!</v>
      </c>
      <c r="S36" s="4500"/>
      <c r="T36" s="4500" t="e">
        <f>IF(F1="售价",ROUND(PRODUCT(T35,AB7:AB34),0),ROUND(PRODUCT(T35,AB7:AB34),1))</f>
        <v>#DIV/0!</v>
      </c>
      <c r="U36" s="4500"/>
      <c r="V36" s="4500" t="e">
        <f>IF(F1="售价",ROUND(PRODUCT(V35,AC7:AC34),0),ROUND(PRODUCT(V35,AC7:AC34),1))</f>
        <v>#DIV/0!</v>
      </c>
      <c r="W36" s="4500"/>
      <c r="X36" s="266"/>
      <c r="Y36" s="266"/>
      <c r="Z36" s="266"/>
      <c r="AA36" s="266"/>
      <c r="AB36" s="266"/>
      <c r="AC36" s="266"/>
    </row>
    <row r="37" spans="1:30" ht="15.75" thickBot="1">
      <c r="A37" s="292" t="s">
        <v>1708</v>
      </c>
      <c r="B37" s="293"/>
      <c r="C37" s="3970" t="e">
        <f>R37</f>
        <v>#DIV/0!</v>
      </c>
      <c r="D37" s="242"/>
      <c r="E37" s="242"/>
      <c r="F37" s="242"/>
      <c r="G37" s="242"/>
      <c r="H37" s="242"/>
      <c r="I37" s="242"/>
      <c r="J37" s="242"/>
      <c r="K37" s="497"/>
      <c r="L37" s="2028"/>
      <c r="M37" s="2021"/>
      <c r="N37" s="2021"/>
      <c r="O37" s="2021"/>
      <c r="P37" s="4538" t="str">
        <f>A37</f>
        <v>估价对象XX用房的比较价值（楼面单价，元/平方米）</v>
      </c>
      <c r="Q37" s="4539"/>
      <c r="R37" s="4540" t="e">
        <f>IF(F1="售价",ROUND(IF(D36="简单平均",AVERAGE(R36:W36),R36*F36+T36*H36+V36*J36),0),ROUND(IF(D36="简单平均",AVERAGE(R36:V36),R36*F36+T36*H36+V36*J36),1))</f>
        <v>#DIV/0!</v>
      </c>
      <c r="S37" s="4540"/>
      <c r="T37" s="4540"/>
      <c r="U37" s="4540"/>
      <c r="V37" s="4540"/>
      <c r="W37" s="4540"/>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1709</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1710</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1711</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1712</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1593</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1630</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1595</v>
      </c>
      <c r="B49" s="308"/>
      <c r="C49" s="320" t="s">
        <v>1690</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1633</v>
      </c>
      <c r="B51" s="323" t="s">
        <v>1599</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1602</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1604</v>
      </c>
      <c r="B61" s="323" t="s">
        <v>1640</v>
      </c>
      <c r="C61" s="365" t="s">
        <v>1635</v>
      </c>
      <c r="D61" s="365" t="s">
        <v>1636</v>
      </c>
      <c r="E61" s="365" t="s">
        <v>1637</v>
      </c>
      <c r="F61" s="365" t="s">
        <v>1638</v>
      </c>
      <c r="G61" s="365" t="s">
        <v>1639</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1777</v>
      </c>
      <c r="C63" s="369" t="s">
        <v>1635</v>
      </c>
      <c r="D63" s="369" t="s">
        <v>1636</v>
      </c>
      <c r="E63" s="369" t="s">
        <v>1637</v>
      </c>
      <c r="F63" s="369" t="s">
        <v>1638</v>
      </c>
      <c r="G63" s="369" t="s">
        <v>1639</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1727</v>
      </c>
      <c r="C65" s="436" t="s">
        <v>1713</v>
      </c>
      <c r="D65" s="436" t="s">
        <v>1714</v>
      </c>
      <c r="E65" s="436" t="s">
        <v>1715</v>
      </c>
      <c r="F65" s="436" t="s">
        <v>1716</v>
      </c>
      <c r="G65" s="436" t="s">
        <v>1717</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1647</v>
      </c>
      <c r="C67" s="369" t="s">
        <v>1635</v>
      </c>
      <c r="D67" s="369" t="s">
        <v>1636</v>
      </c>
      <c r="E67" s="369" t="s">
        <v>1637</v>
      </c>
      <c r="F67" s="369" t="s">
        <v>1638</v>
      </c>
      <c r="G67" s="369" t="s">
        <v>1639</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1766</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1608</v>
      </c>
      <c r="B77" s="323" t="s">
        <v>1654</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1769</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1770</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1778</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1779</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1780</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E2" xr:uid="{00000000-0002-0000-2700-00000E000000}">
      <formula1>"需扣减承租人权益,——"</formula1>
    </dataValidation>
    <dataValidation type="list" allowBlank="1" showInputMessage="1" showErrorMessage="1" sqref="H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1831</v>
      </c>
      <c r="D1" s="480"/>
      <c r="E1" s="480"/>
      <c r="F1" s="479" t="s">
        <v>1681</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t="e">
        <f>ROUND(IF(D3="",B2*10000/'数据-汇总表'!E3,B2*10000/D3),0)</f>
        <v>#DIV/0!</v>
      </c>
      <c r="C3" s="99" t="s">
        <v>1783</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3653</v>
      </c>
      <c r="B4" s="3576" t="e">
        <f>IF(B43="单位面积地价",C45,ROUND(B2*10000/'数据-汇总表'!D3,0))</f>
        <v>#DIV/0!</v>
      </c>
      <c r="C4" s="1373" t="s">
        <v>3655</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3654</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1683</v>
      </c>
      <c r="B6" s="3332"/>
      <c r="C6" s="4389" t="s">
        <v>1684</v>
      </c>
      <c r="D6" s="4390"/>
      <c r="E6" s="4391" t="s">
        <v>1685</v>
      </c>
      <c r="F6" s="4392"/>
      <c r="G6" s="4389" t="s">
        <v>1686</v>
      </c>
      <c r="H6" s="4390"/>
      <c r="I6" s="4389" t="s">
        <v>1687</v>
      </c>
      <c r="J6" s="4390"/>
      <c r="K6" s="397" t="s">
        <v>1688</v>
      </c>
      <c r="L6" s="2020"/>
      <c r="M6" s="2021"/>
      <c r="N6" s="2021"/>
      <c r="O6" s="2021"/>
      <c r="P6" s="4393" t="s">
        <v>1689</v>
      </c>
      <c r="Q6" s="4394"/>
      <c r="R6" s="4375" t="s">
        <v>1685</v>
      </c>
      <c r="S6" s="4376"/>
      <c r="T6" s="4375" t="s">
        <v>1686</v>
      </c>
      <c r="U6" s="4376"/>
      <c r="V6" s="4401" t="s">
        <v>1687</v>
      </c>
      <c r="W6" s="4401"/>
      <c r="X6" s="946"/>
      <c r="Y6" s="4404" t="s">
        <v>1689</v>
      </c>
      <c r="Z6" s="4405"/>
      <c r="AA6" s="4370" t="s">
        <v>1685</v>
      </c>
      <c r="AB6" s="4371" t="s">
        <v>1686</v>
      </c>
      <c r="AC6" s="4370" t="s">
        <v>1687</v>
      </c>
    </row>
    <row r="7" spans="1:29" ht="15">
      <c r="A7" s="3268"/>
      <c r="B7" s="3333"/>
      <c r="C7" s="4381" t="s">
        <v>1587</v>
      </c>
      <c r="D7" s="4382"/>
      <c r="E7" s="4379" t="s">
        <v>1588</v>
      </c>
      <c r="F7" s="4380"/>
      <c r="G7" s="4381" t="s">
        <v>1589</v>
      </c>
      <c r="H7" s="4382"/>
      <c r="I7" s="4381" t="s">
        <v>1590</v>
      </c>
      <c r="J7" s="4382"/>
      <c r="K7" s="397"/>
      <c r="L7" s="2020"/>
      <c r="M7" s="2021"/>
      <c r="N7" s="2021"/>
      <c r="O7" s="2021"/>
      <c r="P7" s="4395"/>
      <c r="Q7" s="4396"/>
      <c r="R7" s="4377"/>
      <c r="S7" s="4378"/>
      <c r="T7" s="4377"/>
      <c r="U7" s="4378"/>
      <c r="V7" s="4401"/>
      <c r="W7" s="4401"/>
      <c r="X7" s="946"/>
      <c r="Y7" s="4406"/>
      <c r="Z7" s="4407"/>
      <c r="AA7" s="4371"/>
      <c r="AB7" s="4371"/>
      <c r="AC7" s="4371"/>
    </row>
    <row r="8" spans="1:29" ht="15.75" thickBot="1">
      <c r="A8" s="3334"/>
      <c r="B8" s="3335"/>
      <c r="C8" s="4541" t="s">
        <v>1832</v>
      </c>
      <c r="D8" s="4542"/>
      <c r="E8" s="4543" t="s">
        <v>1832</v>
      </c>
      <c r="F8" s="4544"/>
      <c r="G8" s="4541" t="s">
        <v>1832</v>
      </c>
      <c r="H8" s="4542"/>
      <c r="I8" s="4541" t="s">
        <v>1832</v>
      </c>
      <c r="J8" s="4542"/>
      <c r="K8" s="397" t="s">
        <v>1592</v>
      </c>
      <c r="L8" s="2020"/>
      <c r="M8" s="2021"/>
      <c r="N8" s="2021"/>
      <c r="O8" s="2021"/>
      <c r="P8" s="4397"/>
      <c r="Q8" s="4398"/>
      <c r="R8" s="4377"/>
      <c r="S8" s="4378"/>
      <c r="T8" s="4399"/>
      <c r="U8" s="4400"/>
      <c r="V8" s="4401"/>
      <c r="W8" s="4401"/>
      <c r="X8" s="946"/>
      <c r="Y8" s="4408"/>
      <c r="Z8" s="4409"/>
      <c r="AA8" s="4372"/>
      <c r="AB8" s="4372"/>
      <c r="AC8" s="4372"/>
    </row>
    <row r="9" spans="1:29" s="46" customFormat="1" ht="15.75" thickBot="1">
      <c r="A9" s="3260" t="s">
        <v>1593</v>
      </c>
      <c r="B9" s="3261"/>
      <c r="C9" s="2935">
        <f>'数据-取费表'!B2</f>
        <v>46043</v>
      </c>
      <c r="D9" s="3009">
        <v>100</v>
      </c>
      <c r="E9" s="2964"/>
      <c r="F9" s="3942">
        <f>SUMIF(67:67,YEAR(E9)&amp;"-"&amp;INT((MONTH(E9)+2)/3),68:68)</f>
        <v>0</v>
      </c>
      <c r="G9" s="3291"/>
      <c r="H9" s="3954">
        <f>SUMIF(67:67,YEAR(G9)&amp;"-"&amp;INT((MONTH(G9)+2)/3),68:68)</f>
        <v>0</v>
      </c>
      <c r="I9" s="3291"/>
      <c r="J9" s="3954">
        <f>SUMIF(67:67,YEAR(I9)&amp;"-"&amp;INT((MONTH(I9)+2)/3),68:68)</f>
        <v>0</v>
      </c>
      <c r="K9" s="22"/>
      <c r="L9" s="2022"/>
      <c r="M9" s="1973"/>
      <c r="N9" s="1973"/>
      <c r="O9" s="1973"/>
      <c r="P9" s="4402" t="s">
        <v>1594</v>
      </c>
      <c r="Q9" s="4410"/>
      <c r="R9" s="3984" t="s">
        <v>13</v>
      </c>
      <c r="S9" s="3755">
        <f t="shared" ref="S9:S17" si="0">F9</f>
        <v>0</v>
      </c>
      <c r="T9" s="3984" t="s">
        <v>13</v>
      </c>
      <c r="U9" s="3755">
        <f t="shared" ref="U9:U17" si="1">H9</f>
        <v>0</v>
      </c>
      <c r="V9" s="3984" t="s">
        <v>13</v>
      </c>
      <c r="W9" s="3755">
        <f t="shared" ref="W9:W17" si="2">J9</f>
        <v>0</v>
      </c>
      <c r="X9" s="493"/>
      <c r="Y9" s="4373" t="s">
        <v>1594</v>
      </c>
      <c r="Z9" s="4374"/>
      <c r="AA9" s="28" t="e">
        <f>D9/F9</f>
        <v>#DIV/0!</v>
      </c>
      <c r="AB9" s="28" t="e">
        <f>D9/H9</f>
        <v>#DIV/0!</v>
      </c>
      <c r="AC9" s="28" t="e">
        <f>D9/J9</f>
        <v>#DIV/0!</v>
      </c>
    </row>
    <row r="10" spans="1:29" s="46" customFormat="1" ht="15.75" thickBot="1">
      <c r="A10" s="3260" t="s">
        <v>1595</v>
      </c>
      <c r="B10" s="3261"/>
      <c r="C10" s="2936" t="s">
        <v>1596</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402" t="s">
        <v>1597</v>
      </c>
      <c r="Q10" s="4403"/>
      <c r="R10" s="3984" t="s">
        <v>13</v>
      </c>
      <c r="S10" s="3755">
        <f t="shared" si="0"/>
        <v>0</v>
      </c>
      <c r="T10" s="3984" t="s">
        <v>13</v>
      </c>
      <c r="U10" s="3755">
        <f t="shared" si="1"/>
        <v>0</v>
      </c>
      <c r="V10" s="3984" t="s">
        <v>13</v>
      </c>
      <c r="W10" s="3755">
        <f t="shared" si="2"/>
        <v>0</v>
      </c>
      <c r="X10" s="493"/>
      <c r="Y10" s="4373" t="s">
        <v>1597</v>
      </c>
      <c r="Z10" s="4374"/>
      <c r="AA10" s="28" t="e">
        <f t="shared" ref="AA10:AA42" si="3">D10/F10</f>
        <v>#DIV/0!</v>
      </c>
      <c r="AB10" s="28" t="e">
        <f t="shared" ref="AB10:AB42" si="4">D10/H10</f>
        <v>#DIV/0!</v>
      </c>
      <c r="AC10" s="28" t="e">
        <f t="shared" ref="AC10:AC42" si="5">D10/J10</f>
        <v>#DIV/0!</v>
      </c>
    </row>
    <row r="11" spans="1:29" s="46" customFormat="1">
      <c r="A11" s="3195" t="s">
        <v>1598</v>
      </c>
      <c r="B11" s="2916" t="s">
        <v>1599</v>
      </c>
      <c r="C11" s="3262"/>
      <c r="D11" s="3010">
        <v>100</v>
      </c>
      <c r="E11" s="3262"/>
      <c r="F11" s="3955">
        <f>SUMIF(72:72,E11,73:73)-SUMIF(72:72,C11,73:73)+100</f>
        <v>100</v>
      </c>
      <c r="G11" s="3262"/>
      <c r="H11" s="3955">
        <f>SUMIF(72:72,G11,73:73)-SUMIF(72:72,C11,73:73)+100</f>
        <v>100</v>
      </c>
      <c r="I11" s="3262"/>
      <c r="J11" s="3955">
        <f>SUMIF(72:72,I11,73:73)-SUMIF(72:72,C11,73:73)+100</f>
        <v>100</v>
      </c>
      <c r="K11" s="22"/>
      <c r="L11" s="2022"/>
      <c r="M11" s="1973"/>
      <c r="N11" s="1973"/>
      <c r="O11" s="2074"/>
      <c r="P11" s="4387" t="s">
        <v>1600</v>
      </c>
      <c r="Q11" s="1742" t="str">
        <f t="shared" ref="Q11:Q17" si="6">B11</f>
        <v>用途</v>
      </c>
      <c r="R11" s="3984" t="s">
        <v>13</v>
      </c>
      <c r="S11" s="3755">
        <f t="shared" si="0"/>
        <v>100</v>
      </c>
      <c r="T11" s="3984" t="s">
        <v>13</v>
      </c>
      <c r="U11" s="3755">
        <f t="shared" si="1"/>
        <v>100</v>
      </c>
      <c r="V11" s="3984" t="s">
        <v>13</v>
      </c>
      <c r="W11" s="3755">
        <f t="shared" si="2"/>
        <v>100</v>
      </c>
      <c r="X11" s="493"/>
      <c r="Y11" s="4388"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40"/>
      <c r="F12" s="3956">
        <f>ROUND(100/'数据-取费表'!G16,1)</f>
        <v>100.4</v>
      </c>
      <c r="G12" s="2940"/>
      <c r="H12" s="3956">
        <f>ROUND(100/'数据-取费表'!G16,1)</f>
        <v>100.4</v>
      </c>
      <c r="I12" s="2940"/>
      <c r="J12" s="3956">
        <f>ROUND(100/'数据-取费表'!G16,1)</f>
        <v>100.4</v>
      </c>
      <c r="K12" s="445"/>
      <c r="L12" s="2023"/>
      <c r="M12" s="2024"/>
      <c r="N12" s="2024"/>
      <c r="O12" s="2075"/>
      <c r="P12" s="4387"/>
      <c r="Q12" s="1742" t="str">
        <f t="shared" si="6"/>
        <v>土地使用年限（年）</v>
      </c>
      <c r="R12" s="3984" t="s">
        <v>13</v>
      </c>
      <c r="S12" s="3755">
        <f t="shared" si="0"/>
        <v>100.4</v>
      </c>
      <c r="T12" s="3984" t="s">
        <v>13</v>
      </c>
      <c r="U12" s="3755">
        <f t="shared" si="1"/>
        <v>100.4</v>
      </c>
      <c r="V12" s="3984" t="s">
        <v>13</v>
      </c>
      <c r="W12" s="3755">
        <f t="shared" si="2"/>
        <v>100.4</v>
      </c>
      <c r="X12" s="493"/>
      <c r="Y12" s="4388"/>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387"/>
      <c r="Q13" s="1742" t="str">
        <f t="shared" si="6"/>
        <v>容积率</v>
      </c>
      <c r="R13" s="3984" t="s">
        <v>13</v>
      </c>
      <c r="S13" s="3755" t="e">
        <f t="shared" si="0"/>
        <v>#N/A</v>
      </c>
      <c r="T13" s="3984" t="s">
        <v>13</v>
      </c>
      <c r="U13" s="3755" t="e">
        <f t="shared" si="1"/>
        <v>#N/A</v>
      </c>
      <c r="V13" s="3984" t="s">
        <v>13</v>
      </c>
      <c r="W13" s="3755" t="e">
        <f t="shared" si="2"/>
        <v>#N/A</v>
      </c>
      <c r="X13" s="493"/>
      <c r="Y13" s="4388"/>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6">
        <f>SUMIF(79:79,E14,80:80)-SUMIF(79:79,C14,80:80)+100</f>
        <v>100</v>
      </c>
      <c r="G14" s="3272"/>
      <c r="H14" s="3956">
        <f>SUMIF(79:79,G14,80:80)-SUMIF(79:79,C14,80:80)+100</f>
        <v>100</v>
      </c>
      <c r="I14" s="3286"/>
      <c r="J14" s="3956">
        <f>SUMIF(79:79,I14,80:80)-SUMIF(79:79,C14,80:80)+100</f>
        <v>100</v>
      </c>
      <c r="K14" s="445"/>
      <c r="L14" s="2022"/>
      <c r="M14" s="1973"/>
      <c r="N14" s="1973"/>
      <c r="O14" s="2074"/>
      <c r="P14" s="4387"/>
      <c r="Q14" s="1742">
        <f t="shared" si="6"/>
        <v>111</v>
      </c>
      <c r="R14" s="3984" t="s">
        <v>13</v>
      </c>
      <c r="S14" s="3755">
        <f t="shared" si="0"/>
        <v>100</v>
      </c>
      <c r="T14" s="3984" t="s">
        <v>13</v>
      </c>
      <c r="U14" s="3755">
        <f t="shared" si="1"/>
        <v>100</v>
      </c>
      <c r="V14" s="3984" t="s">
        <v>13</v>
      </c>
      <c r="W14" s="3755">
        <f t="shared" si="2"/>
        <v>100</v>
      </c>
      <c r="X14" s="493"/>
      <c r="Y14" s="4388"/>
      <c r="Z14" s="28">
        <f t="shared" si="7"/>
        <v>111</v>
      </c>
      <c r="AA14" s="28">
        <f>D14/F14</f>
        <v>1</v>
      </c>
      <c r="AB14" s="28">
        <f>D14/H14</f>
        <v>1</v>
      </c>
      <c r="AC14" s="28">
        <f>D14/J14</f>
        <v>1</v>
      </c>
    </row>
    <row r="15" spans="1:29" ht="15">
      <c r="A15" s="3264"/>
      <c r="B15" s="2917">
        <v>111</v>
      </c>
      <c r="C15" s="2941"/>
      <c r="D15" s="3013">
        <v>100</v>
      </c>
      <c r="E15" s="3286"/>
      <c r="F15" s="3956">
        <f>SUMIF(81:81,E15,82:82)-SUMIF(81:81,C15,82:82)+100</f>
        <v>100</v>
      </c>
      <c r="G15" s="3272"/>
      <c r="H15" s="3950">
        <f>SUMIF(81:81,G15,82:82)-SUMIF(81:81,C15,82:82)+100</f>
        <v>100</v>
      </c>
      <c r="I15" s="3286"/>
      <c r="J15" s="3950">
        <f>SUMIF(81:81,I15,82:82)-SUMIF(81:81,C15,82:82)+100</f>
        <v>100</v>
      </c>
      <c r="K15" s="445"/>
      <c r="L15" s="2026"/>
      <c r="M15" s="2021"/>
      <c r="N15" s="2021"/>
      <c r="O15" s="2076"/>
      <c r="P15" s="4387"/>
      <c r="Q15" s="1742">
        <f t="shared" si="6"/>
        <v>111</v>
      </c>
      <c r="R15" s="3984" t="s">
        <v>13</v>
      </c>
      <c r="S15" s="3755">
        <f t="shared" si="0"/>
        <v>100</v>
      </c>
      <c r="T15" s="3984" t="s">
        <v>13</v>
      </c>
      <c r="U15" s="3755">
        <f t="shared" si="1"/>
        <v>100</v>
      </c>
      <c r="V15" s="3984" t="s">
        <v>13</v>
      </c>
      <c r="W15" s="3755">
        <f t="shared" si="2"/>
        <v>100</v>
      </c>
      <c r="X15" s="493"/>
      <c r="Y15" s="4388"/>
      <c r="Z15" s="28">
        <f t="shared" si="7"/>
        <v>111</v>
      </c>
      <c r="AA15" s="28">
        <f t="shared" si="3"/>
        <v>1</v>
      </c>
      <c r="AB15" s="28">
        <f t="shared" si="4"/>
        <v>1</v>
      </c>
      <c r="AC15" s="28">
        <f t="shared" si="5"/>
        <v>1</v>
      </c>
    </row>
    <row r="16" spans="1:29" ht="15.75" thickBot="1">
      <c r="A16" s="3266"/>
      <c r="B16" s="2918">
        <v>111</v>
      </c>
      <c r="C16" s="2942"/>
      <c r="D16" s="3014">
        <v>100</v>
      </c>
      <c r="E16" s="3286"/>
      <c r="F16" s="3952">
        <f>SUMIF(83:83,E16,84:84)-SUMIF(83:83,C16,84:84)+100</f>
        <v>100</v>
      </c>
      <c r="G16" s="3272"/>
      <c r="H16" s="3952">
        <f>SUMIF(83:83,G16,84:84)-SUMIF(83:83,C16,84:84)+100</f>
        <v>100</v>
      </c>
      <c r="I16" s="3286"/>
      <c r="J16" s="3952">
        <f>SUMIF(83:83,I16,84:84)-SUMIF(83:83,C16,84:84)+100</f>
        <v>100</v>
      </c>
      <c r="K16" s="445"/>
      <c r="L16" s="2026"/>
      <c r="M16" s="2021"/>
      <c r="N16" s="2021"/>
      <c r="O16" s="2076"/>
      <c r="P16" s="4387"/>
      <c r="Q16" s="1742">
        <f t="shared" si="6"/>
        <v>111</v>
      </c>
      <c r="R16" s="3984" t="s">
        <v>13</v>
      </c>
      <c r="S16" s="3755">
        <f t="shared" si="0"/>
        <v>100</v>
      </c>
      <c r="T16" s="3984" t="s">
        <v>13</v>
      </c>
      <c r="U16" s="3755">
        <f t="shared" si="1"/>
        <v>100</v>
      </c>
      <c r="V16" s="3984" t="s">
        <v>13</v>
      </c>
      <c r="W16" s="3755">
        <f t="shared" si="2"/>
        <v>100</v>
      </c>
      <c r="X16" s="493"/>
      <c r="Y16" s="4388"/>
      <c r="Z16" s="28">
        <f t="shared" si="7"/>
        <v>111</v>
      </c>
      <c r="AA16" s="28">
        <f t="shared" si="3"/>
        <v>1</v>
      </c>
      <c r="AB16" s="28">
        <f t="shared" si="4"/>
        <v>1</v>
      </c>
      <c r="AC16" s="28">
        <f t="shared" si="5"/>
        <v>1</v>
      </c>
    </row>
    <row r="17" spans="1:29" ht="15">
      <c r="A17" s="3267" t="s">
        <v>1604</v>
      </c>
      <c r="B17" s="3336" t="s">
        <v>1833</v>
      </c>
      <c r="C17" s="3345">
        <f>估价对象房地状况!G15</f>
        <v>0</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411" t="s">
        <v>1605</v>
      </c>
      <c r="Q17" s="1544" t="str">
        <f t="shared" si="6"/>
        <v>产业集聚程度</v>
      </c>
      <c r="R17" s="3985" t="s">
        <v>13</v>
      </c>
      <c r="S17" s="3987">
        <f t="shared" si="0"/>
        <v>100</v>
      </c>
      <c r="T17" s="3985" t="s">
        <v>13</v>
      </c>
      <c r="U17" s="3987">
        <f t="shared" si="1"/>
        <v>100</v>
      </c>
      <c r="V17" s="3985" t="s">
        <v>13</v>
      </c>
      <c r="W17" s="3987">
        <f t="shared" si="2"/>
        <v>100</v>
      </c>
      <c r="X17" s="946"/>
      <c r="Y17" s="4413" t="s">
        <v>1605</v>
      </c>
      <c r="Z17" s="944" t="str">
        <f t="shared" si="7"/>
        <v>产业集聚程度</v>
      </c>
      <c r="AA17" s="944">
        <f t="shared" si="3"/>
        <v>1</v>
      </c>
      <c r="AB17" s="944">
        <f t="shared" si="4"/>
        <v>1</v>
      </c>
      <c r="AC17" s="944">
        <f t="shared" si="5"/>
        <v>1</v>
      </c>
    </row>
    <row r="18" spans="1:29" ht="15">
      <c r="A18" s="3264"/>
      <c r="B18" s="3337"/>
      <c r="C18" s="2944"/>
      <c r="D18" s="3016"/>
      <c r="E18" s="2994"/>
      <c r="F18" s="3947"/>
      <c r="G18" s="2994"/>
      <c r="H18" s="3948"/>
      <c r="I18" s="2994"/>
      <c r="J18" s="3947"/>
      <c r="K18" s="445"/>
      <c r="L18" s="2026"/>
      <c r="M18" s="2021"/>
      <c r="N18" s="2021"/>
      <c r="O18" s="2076"/>
      <c r="P18" s="4412"/>
      <c r="Q18" s="1544"/>
      <c r="R18" s="3985"/>
      <c r="S18" s="3987"/>
      <c r="T18" s="3985"/>
      <c r="U18" s="3987"/>
      <c r="V18" s="3985"/>
      <c r="W18" s="3987"/>
      <c r="X18" s="946"/>
      <c r="Y18" s="4414"/>
      <c r="Z18" s="944"/>
      <c r="AA18" s="944">
        <v>1</v>
      </c>
      <c r="AB18" s="944">
        <v>1</v>
      </c>
      <c r="AC18" s="944">
        <v>1</v>
      </c>
    </row>
    <row r="19" spans="1:29" ht="15">
      <c r="A19" s="3264"/>
      <c r="B19" s="3338" t="s">
        <v>1747</v>
      </c>
      <c r="C19" s="2945">
        <f>估价对象房地状况!G16</f>
        <v>0</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412"/>
      <c r="Q19" s="1544" t="str">
        <f>B19</f>
        <v>交通便捷度</v>
      </c>
      <c r="R19" s="3985" t="s">
        <v>13</v>
      </c>
      <c r="S19" s="3987">
        <f>F19</f>
        <v>100</v>
      </c>
      <c r="T19" s="3985" t="s">
        <v>13</v>
      </c>
      <c r="U19" s="3987">
        <f>H19</f>
        <v>100</v>
      </c>
      <c r="V19" s="3985" t="s">
        <v>13</v>
      </c>
      <c r="W19" s="3987">
        <f>J19</f>
        <v>100</v>
      </c>
      <c r="X19" s="946"/>
      <c r="Y19" s="4414"/>
      <c r="Z19" s="944" t="str">
        <f>Q19</f>
        <v>交通便捷度</v>
      </c>
      <c r="AA19" s="944">
        <f t="shared" si="3"/>
        <v>1</v>
      </c>
      <c r="AB19" s="944">
        <f t="shared" si="4"/>
        <v>1</v>
      </c>
      <c r="AC19" s="944">
        <f t="shared" si="5"/>
        <v>1</v>
      </c>
    </row>
    <row r="20" spans="1:29" ht="15">
      <c r="A20" s="3264"/>
      <c r="B20" s="3339"/>
      <c r="C20" s="2944"/>
      <c r="D20" s="3016"/>
      <c r="E20" s="2972"/>
      <c r="F20" s="3947"/>
      <c r="G20" s="2972"/>
      <c r="H20" s="3947"/>
      <c r="I20" s="2978"/>
      <c r="J20" s="3947"/>
      <c r="K20" s="445"/>
      <c r="L20" s="2026"/>
      <c r="M20" s="2021"/>
      <c r="N20" s="2021"/>
      <c r="O20" s="2076"/>
      <c r="P20" s="4412"/>
      <c r="Q20" s="1544"/>
      <c r="R20" s="3985"/>
      <c r="S20" s="3987"/>
      <c r="T20" s="3985"/>
      <c r="U20" s="3987"/>
      <c r="V20" s="3985"/>
      <c r="W20" s="3987"/>
      <c r="X20" s="946"/>
      <c r="Y20" s="4414"/>
      <c r="Z20" s="944"/>
      <c r="AA20" s="944">
        <v>1</v>
      </c>
      <c r="AB20" s="944">
        <v>1</v>
      </c>
      <c r="AC20" s="944">
        <v>1</v>
      </c>
    </row>
    <row r="21" spans="1:29" ht="15">
      <c r="A21" s="3264"/>
      <c r="B21" s="3338" t="s">
        <v>1784</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412"/>
      <c r="Q21" s="1544" t="str">
        <f t="shared" ref="Q21:Q35" si="8">B21</f>
        <v>区域土地利用方向</v>
      </c>
      <c r="R21" s="3985" t="s">
        <v>13</v>
      </c>
      <c r="S21" s="3987">
        <f>F21</f>
        <v>100</v>
      </c>
      <c r="T21" s="3985" t="s">
        <v>13</v>
      </c>
      <c r="U21" s="3987">
        <f>H21</f>
        <v>100</v>
      </c>
      <c r="V21" s="3985" t="s">
        <v>13</v>
      </c>
      <c r="W21" s="3987">
        <f>J21</f>
        <v>100</v>
      </c>
      <c r="X21" s="946"/>
      <c r="Y21" s="4414"/>
      <c r="Z21" s="944" t="str">
        <f>Q21</f>
        <v>区域土地利用方向</v>
      </c>
      <c r="AA21" s="944">
        <f t="shared" si="3"/>
        <v>1</v>
      </c>
      <c r="AB21" s="944">
        <f t="shared" si="4"/>
        <v>1</v>
      </c>
      <c r="AC21" s="944">
        <f t="shared" si="5"/>
        <v>1</v>
      </c>
    </row>
    <row r="22" spans="1:29" ht="15">
      <c r="A22" s="3268"/>
      <c r="B22" s="3339"/>
      <c r="C22" s="2944"/>
      <c r="D22" s="3016"/>
      <c r="E22" s="2972"/>
      <c r="F22" s="3947"/>
      <c r="G22" s="2972"/>
      <c r="H22" s="3947"/>
      <c r="I22" s="2972"/>
      <c r="J22" s="3947"/>
      <c r="K22" s="513"/>
      <c r="L22" s="2026"/>
      <c r="M22" s="2021"/>
      <c r="N22" s="2021"/>
      <c r="O22" s="2076"/>
      <c r="P22" s="4412"/>
      <c r="Q22" s="1544"/>
      <c r="R22" s="3985"/>
      <c r="S22" s="3987"/>
      <c r="T22" s="3985"/>
      <c r="U22" s="3987"/>
      <c r="V22" s="3985"/>
      <c r="W22" s="3987"/>
      <c r="X22" s="946"/>
      <c r="Y22" s="4414"/>
      <c r="Z22" s="944"/>
      <c r="AA22" s="944"/>
      <c r="AB22" s="944"/>
      <c r="AC22" s="944"/>
    </row>
    <row r="23" spans="1:29" ht="15">
      <c r="A23" s="3268"/>
      <c r="B23" s="3338" t="s">
        <v>1834</v>
      </c>
      <c r="C23" s="2945">
        <f>估价对象房地状况!G18</f>
        <v>0</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412"/>
      <c r="Q23" s="1544" t="str">
        <f t="shared" si="8"/>
        <v>环境状况</v>
      </c>
      <c r="R23" s="3985" t="s">
        <v>13</v>
      </c>
      <c r="S23" s="3987">
        <f>F23</f>
        <v>100</v>
      </c>
      <c r="T23" s="3985" t="s">
        <v>13</v>
      </c>
      <c r="U23" s="3987">
        <f>H23</f>
        <v>100</v>
      </c>
      <c r="V23" s="3985" t="s">
        <v>13</v>
      </c>
      <c r="W23" s="3987">
        <f>J23</f>
        <v>100</v>
      </c>
      <c r="X23" s="946"/>
      <c r="Y23" s="4414"/>
      <c r="Z23" s="944" t="str">
        <f>Q23</f>
        <v>环境状况</v>
      </c>
      <c r="AA23" s="944">
        <f t="shared" si="3"/>
        <v>1</v>
      </c>
      <c r="AB23" s="944">
        <f t="shared" si="4"/>
        <v>1</v>
      </c>
      <c r="AC23" s="944">
        <f t="shared" si="5"/>
        <v>1</v>
      </c>
    </row>
    <row r="24" spans="1:29" ht="15">
      <c r="A24" s="3268"/>
      <c r="B24" s="3339"/>
      <c r="C24" s="2944"/>
      <c r="D24" s="3016"/>
      <c r="E24" s="2994"/>
      <c r="F24" s="3947"/>
      <c r="G24" s="2994"/>
      <c r="H24" s="3947"/>
      <c r="I24" s="2944"/>
      <c r="J24" s="3947"/>
      <c r="K24" s="445"/>
      <c r="L24" s="2026"/>
      <c r="M24" s="2021"/>
      <c r="N24" s="2021"/>
      <c r="O24" s="2076"/>
      <c r="P24" s="4412"/>
      <c r="Q24" s="1544"/>
      <c r="R24" s="3985"/>
      <c r="S24" s="3987"/>
      <c r="T24" s="3985"/>
      <c r="U24" s="3987"/>
      <c r="V24" s="3985"/>
      <c r="W24" s="3987"/>
      <c r="X24" s="946"/>
      <c r="Y24" s="4414"/>
      <c r="Z24" s="944"/>
      <c r="AA24" s="944">
        <v>1</v>
      </c>
      <c r="AB24" s="944">
        <v>1</v>
      </c>
      <c r="AC24" s="944">
        <v>1</v>
      </c>
    </row>
    <row r="25" spans="1:29" s="46" customFormat="1" ht="15">
      <c r="A25" s="3270"/>
      <c r="B25" s="3340" t="s">
        <v>1692</v>
      </c>
      <c r="C25" s="2945">
        <f>估价对象房地状况!G19</f>
        <v>0</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412"/>
      <c r="Q25" s="1742" t="str">
        <f t="shared" si="8"/>
        <v>公共配套设施</v>
      </c>
      <c r="R25" s="3984" t="s">
        <v>13</v>
      </c>
      <c r="S25" s="3755">
        <f>F25</f>
        <v>100</v>
      </c>
      <c r="T25" s="3984" t="s">
        <v>13</v>
      </c>
      <c r="U25" s="3755">
        <f>H25</f>
        <v>100</v>
      </c>
      <c r="V25" s="3984" t="s">
        <v>13</v>
      </c>
      <c r="W25" s="3755">
        <f>J25</f>
        <v>100</v>
      </c>
      <c r="X25" s="493"/>
      <c r="Y25" s="4414"/>
      <c r="Z25" s="28" t="str">
        <f>Q25</f>
        <v>公共配套设施</v>
      </c>
      <c r="AA25" s="944">
        <f>D25/F25</f>
        <v>1</v>
      </c>
      <c r="AB25" s="944">
        <f>D25/H25</f>
        <v>1</v>
      </c>
      <c r="AC25" s="944">
        <f>D25/J25</f>
        <v>1</v>
      </c>
    </row>
    <row r="26" spans="1:29" s="46" customFormat="1" ht="15">
      <c r="A26" s="3270"/>
      <c r="B26" s="3339"/>
      <c r="C26" s="3271"/>
      <c r="D26" s="3016"/>
      <c r="E26" s="2994"/>
      <c r="F26" s="3947"/>
      <c r="G26" s="2994"/>
      <c r="H26" s="3947"/>
      <c r="I26" s="2944"/>
      <c r="J26" s="3947"/>
      <c r="K26" s="445"/>
      <c r="L26" s="2022"/>
      <c r="M26" s="1973"/>
      <c r="N26" s="1973"/>
      <c r="O26" s="2074"/>
      <c r="P26" s="4412"/>
      <c r="Q26" s="1742"/>
      <c r="R26" s="3984"/>
      <c r="S26" s="3755"/>
      <c r="T26" s="3984"/>
      <c r="U26" s="3755"/>
      <c r="V26" s="3984"/>
      <c r="W26" s="3755"/>
      <c r="X26" s="493"/>
      <c r="Y26" s="4414"/>
      <c r="Z26" s="28"/>
      <c r="AA26" s="28">
        <v>1</v>
      </c>
      <c r="AB26" s="28">
        <v>1</v>
      </c>
      <c r="AC26" s="28">
        <v>1</v>
      </c>
    </row>
    <row r="27" spans="1:29" s="46" customFormat="1" ht="15">
      <c r="A27" s="3270"/>
      <c r="B27" s="3340" t="s">
        <v>1693</v>
      </c>
      <c r="C27" s="2945">
        <f>估价对象房地状况!G20</f>
        <v>0</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412"/>
      <c r="Q27" s="1742" t="str">
        <f t="shared" ref="Q27" si="9">B27</f>
        <v>基础设施水平</v>
      </c>
      <c r="R27" s="3984" t="s">
        <v>13</v>
      </c>
      <c r="S27" s="3755">
        <f>F27</f>
        <v>100</v>
      </c>
      <c r="T27" s="3984" t="s">
        <v>13</v>
      </c>
      <c r="U27" s="3755">
        <f>H27</f>
        <v>100</v>
      </c>
      <c r="V27" s="3984" t="s">
        <v>13</v>
      </c>
      <c r="W27" s="3755">
        <f>J27</f>
        <v>100</v>
      </c>
      <c r="X27" s="493"/>
      <c r="Y27" s="4414"/>
      <c r="Z27" s="28" t="str">
        <f>Q27</f>
        <v>基础设施水平</v>
      </c>
      <c r="AA27" s="944">
        <f>D27/F27</f>
        <v>1</v>
      </c>
      <c r="AB27" s="944">
        <f>D27/H27</f>
        <v>1</v>
      </c>
      <c r="AC27" s="944">
        <f>D27/J27</f>
        <v>1</v>
      </c>
    </row>
    <row r="28" spans="1:29" s="46" customFormat="1" ht="15">
      <c r="A28" s="3270"/>
      <c r="B28" s="3339"/>
      <c r="C28" s="3271"/>
      <c r="D28" s="3016"/>
      <c r="E28" s="3287"/>
      <c r="F28" s="3947"/>
      <c r="G28" s="3287"/>
      <c r="H28" s="3947"/>
      <c r="I28" s="3287"/>
      <c r="J28" s="3947"/>
      <c r="K28" s="445"/>
      <c r="L28" s="2022"/>
      <c r="M28" s="1973"/>
      <c r="N28" s="1973"/>
      <c r="O28" s="2074"/>
      <c r="P28" s="4412"/>
      <c r="Q28" s="1742"/>
      <c r="R28" s="3984"/>
      <c r="S28" s="3755"/>
      <c r="T28" s="3984"/>
      <c r="U28" s="3755"/>
      <c r="V28" s="3984"/>
      <c r="W28" s="3755"/>
      <c r="X28" s="493"/>
      <c r="Y28" s="4414"/>
      <c r="Z28" s="28"/>
      <c r="AA28" s="28">
        <v>1</v>
      </c>
      <c r="AB28" s="28">
        <v>1</v>
      </c>
      <c r="AC28" s="28">
        <v>1</v>
      </c>
    </row>
    <row r="29" spans="1:29" ht="15">
      <c r="A29" s="3264"/>
      <c r="B29" s="3339" t="s">
        <v>1694</v>
      </c>
      <c r="C29" s="2960"/>
      <c r="D29" s="3013">
        <v>100</v>
      </c>
      <c r="E29" s="3288"/>
      <c r="F29" s="3950">
        <f>SUMIF(97:97,E29,98:98)-SUMIF(97:97,C29,98:98)+100</f>
        <v>100</v>
      </c>
      <c r="G29" s="3288"/>
      <c r="H29" s="3950">
        <f>SUMIF(97:97,G29,98:98)-SUMIF(97:97,C29,98:98)+100</f>
        <v>100</v>
      </c>
      <c r="I29" s="3288"/>
      <c r="J29" s="3950">
        <f>SUMIF(97:97,I29,98:98)-SUMIF(97:97,C29,98:98)+100</f>
        <v>100</v>
      </c>
      <c r="K29" s="446"/>
      <c r="L29" s="2026"/>
      <c r="M29" s="2021"/>
      <c r="N29" s="2021"/>
      <c r="O29" s="2076"/>
      <c r="P29" s="4412"/>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414"/>
      <c r="Z29" s="944" t="str">
        <f t="shared" ref="Z29:Z42" si="13">Q29</f>
        <v>临街状况</v>
      </c>
      <c r="AA29" s="944">
        <f t="shared" si="3"/>
        <v>1</v>
      </c>
      <c r="AB29" s="944">
        <f t="shared" si="4"/>
        <v>1</v>
      </c>
      <c r="AC29" s="944">
        <f t="shared" si="5"/>
        <v>1</v>
      </c>
    </row>
    <row r="30" spans="1:29" ht="27">
      <c r="A30" s="3264"/>
      <c r="B30" s="3340" t="s">
        <v>1729</v>
      </c>
      <c r="C30" s="3346">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412"/>
      <c r="Q30" s="1544" t="str">
        <f t="shared" si="8"/>
        <v>毗邻道路的类型与等级</v>
      </c>
      <c r="R30" s="3985" t="s">
        <v>13</v>
      </c>
      <c r="S30" s="3987">
        <f t="shared" si="10"/>
        <v>100</v>
      </c>
      <c r="T30" s="3985" t="s">
        <v>13</v>
      </c>
      <c r="U30" s="3987">
        <f t="shared" si="11"/>
        <v>100</v>
      </c>
      <c r="V30" s="3985" t="s">
        <v>13</v>
      </c>
      <c r="W30" s="3987">
        <f t="shared" si="12"/>
        <v>100</v>
      </c>
      <c r="X30" s="946"/>
      <c r="Y30" s="4414"/>
      <c r="Z30" s="944" t="str">
        <f t="shared" si="13"/>
        <v>毗邻道路的类型与等级</v>
      </c>
      <c r="AA30" s="944">
        <f t="shared" si="3"/>
        <v>1</v>
      </c>
      <c r="AB30" s="944">
        <f t="shared" si="4"/>
        <v>1</v>
      </c>
      <c r="AC30" s="944">
        <f t="shared" si="5"/>
        <v>1</v>
      </c>
    </row>
    <row r="31" spans="1:29" ht="15">
      <c r="A31" s="3264"/>
      <c r="B31" s="3339"/>
      <c r="C31" s="2944"/>
      <c r="D31" s="3016"/>
      <c r="E31" s="2994"/>
      <c r="F31" s="3947"/>
      <c r="G31" s="2994"/>
      <c r="H31" s="3947"/>
      <c r="I31" s="2994"/>
      <c r="J31" s="3947"/>
      <c r="K31" s="399"/>
      <c r="L31" s="2026"/>
      <c r="M31" s="2021"/>
      <c r="N31" s="2021"/>
      <c r="O31" s="2076"/>
      <c r="P31" s="4412"/>
      <c r="Q31" s="1544"/>
      <c r="R31" s="3985"/>
      <c r="S31" s="3987"/>
      <c r="T31" s="3985"/>
      <c r="U31" s="3987"/>
      <c r="V31" s="3985"/>
      <c r="W31" s="3987"/>
      <c r="X31" s="946"/>
      <c r="Y31" s="4414"/>
      <c r="Z31" s="944"/>
      <c r="AA31" s="944">
        <v>1</v>
      </c>
      <c r="AB31" s="944">
        <v>1</v>
      </c>
      <c r="AC31" s="944">
        <v>1</v>
      </c>
    </row>
    <row r="32" spans="1:29" ht="15">
      <c r="A32" s="3264"/>
      <c r="B32" s="3341" t="s">
        <v>1786</v>
      </c>
      <c r="C32" s="3269">
        <f>估价对象房地状况!G23</f>
        <v>0</v>
      </c>
      <c r="D32" s="3013">
        <v>100</v>
      </c>
      <c r="E32" s="3288"/>
      <c r="F32" s="3950">
        <f>SUMIF(101:101,E32,102:102)-SUMIF(101:101,C32,102:102)+100</f>
        <v>100</v>
      </c>
      <c r="G32" s="3288"/>
      <c r="H32" s="3950">
        <f>SUMIF(101:101,G32,102:102)-SUMIF(101:101,C32,102:102)+100</f>
        <v>100</v>
      </c>
      <c r="I32" s="3288"/>
      <c r="J32" s="3950">
        <f>SUMIF(101:101,I32,102:102)-SUMIF(101:101,C32,102:102)+100</f>
        <v>100</v>
      </c>
      <c r="K32" s="398"/>
      <c r="L32" s="2026"/>
      <c r="M32" s="2021"/>
      <c r="N32" s="2021"/>
      <c r="O32" s="2076"/>
      <c r="P32" s="4412"/>
      <c r="Q32" s="1544" t="str">
        <f t="shared" si="8"/>
        <v>土地级别</v>
      </c>
      <c r="R32" s="3985" t="s">
        <v>13</v>
      </c>
      <c r="S32" s="3987">
        <f t="shared" si="10"/>
        <v>100</v>
      </c>
      <c r="T32" s="3985" t="s">
        <v>13</v>
      </c>
      <c r="U32" s="3987">
        <f t="shared" si="11"/>
        <v>100</v>
      </c>
      <c r="V32" s="3985" t="s">
        <v>13</v>
      </c>
      <c r="W32" s="3987">
        <f t="shared" si="12"/>
        <v>100</v>
      </c>
      <c r="X32" s="946"/>
      <c r="Y32" s="4414"/>
      <c r="Z32" s="944" t="str">
        <f t="shared" si="13"/>
        <v>土地级别</v>
      </c>
      <c r="AA32" s="944">
        <f t="shared" si="3"/>
        <v>1</v>
      </c>
      <c r="AB32" s="944">
        <f t="shared" si="4"/>
        <v>1</v>
      </c>
      <c r="AC32" s="944">
        <f t="shared" si="5"/>
        <v>1</v>
      </c>
    </row>
    <row r="33" spans="1:31" ht="15">
      <c r="A33" s="3268"/>
      <c r="B33" s="3342">
        <v>111</v>
      </c>
      <c r="C33" s="3272"/>
      <c r="D33" s="3013">
        <v>100</v>
      </c>
      <c r="E33" s="3289"/>
      <c r="F33" s="3950">
        <f>SUMIF(103:103,E33,104:104)-SUMIF(103:103,C33,104:104)+100</f>
        <v>100</v>
      </c>
      <c r="G33" s="3289"/>
      <c r="H33" s="3950">
        <f>SUMIF(103:103,G33,104:104)-SUMIF(103:103,C33,104:104)+100</f>
        <v>100</v>
      </c>
      <c r="I33" s="3286"/>
      <c r="J33" s="3950">
        <f>SUMIF(103:103,I33,104:104)-SUMIF(103:103,C33,104:104)+100</f>
        <v>100</v>
      </c>
      <c r="K33" s="399"/>
      <c r="L33" s="2026"/>
      <c r="M33" s="2021"/>
      <c r="N33" s="2021"/>
      <c r="O33" s="2076"/>
      <c r="P33" s="4412"/>
      <c r="Q33" s="1544">
        <f t="shared" si="8"/>
        <v>111</v>
      </c>
      <c r="R33" s="3985" t="s">
        <v>13</v>
      </c>
      <c r="S33" s="3987">
        <f t="shared" si="10"/>
        <v>100</v>
      </c>
      <c r="T33" s="3985" t="s">
        <v>13</v>
      </c>
      <c r="U33" s="3987">
        <f t="shared" si="11"/>
        <v>100</v>
      </c>
      <c r="V33" s="3985" t="s">
        <v>13</v>
      </c>
      <c r="W33" s="3987">
        <f t="shared" si="12"/>
        <v>100</v>
      </c>
      <c r="X33" s="946"/>
      <c r="Y33" s="4414"/>
      <c r="Z33" s="944">
        <f t="shared" si="13"/>
        <v>111</v>
      </c>
      <c r="AA33" s="944">
        <f t="shared" si="3"/>
        <v>1</v>
      </c>
      <c r="AB33" s="944">
        <f t="shared" si="4"/>
        <v>1</v>
      </c>
      <c r="AC33" s="944">
        <f t="shared" si="5"/>
        <v>1</v>
      </c>
    </row>
    <row r="34" spans="1:31" ht="15">
      <c r="A34" s="3273"/>
      <c r="B34" s="3343">
        <v>111</v>
      </c>
      <c r="C34" s="3272"/>
      <c r="D34" s="3013">
        <v>100</v>
      </c>
      <c r="E34" s="3289"/>
      <c r="F34" s="3950">
        <f>SUMIF(105:105,E35,106:106)-SUMIF(105:105,C35,106:106)+100</f>
        <v>100</v>
      </c>
      <c r="G34" s="3289"/>
      <c r="H34" s="3950">
        <f>SUMIF(105:105,G34,106:106)-SUMIF(105:105,C34,106:106)+100</f>
        <v>100</v>
      </c>
      <c r="I34" s="3272"/>
      <c r="J34" s="3950">
        <f>SUMIF(105:105,I34,106:106)-SUMIF(105:105,C34,106:106)+100</f>
        <v>100</v>
      </c>
      <c r="K34" s="399"/>
      <c r="L34" s="2026"/>
      <c r="M34" s="2021"/>
      <c r="N34" s="2021"/>
      <c r="O34" s="2076"/>
      <c r="P34" s="4415" t="s">
        <v>1610</v>
      </c>
      <c r="Q34" s="1544">
        <f t="shared" si="8"/>
        <v>111</v>
      </c>
      <c r="R34" s="3985" t="s">
        <v>13</v>
      </c>
      <c r="S34" s="3987">
        <f t="shared" si="10"/>
        <v>100</v>
      </c>
      <c r="T34" s="3985" t="s">
        <v>13</v>
      </c>
      <c r="U34" s="3987">
        <f t="shared" si="11"/>
        <v>100</v>
      </c>
      <c r="V34" s="3985" t="s">
        <v>13</v>
      </c>
      <c r="W34" s="3987">
        <f t="shared" si="12"/>
        <v>100</v>
      </c>
      <c r="X34" s="946"/>
      <c r="Y34" s="4417" t="s">
        <v>1610</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2">
        <f>SUMIF(107:107,E35,108:108)-SUMIF(107:107,C35,108:108)+100</f>
        <v>100</v>
      </c>
      <c r="G35" s="3290"/>
      <c r="H35" s="3952">
        <f>SUMIF(107:107,G35,108:108)-SUMIF(107:107,C35,108:108)+100</f>
        <v>100</v>
      </c>
      <c r="I35" s="3277"/>
      <c r="J35" s="3952">
        <f>SUMIF(107:107,I35,108:108)-SUMIF(107:107,C35,108:108)+100</f>
        <v>100</v>
      </c>
      <c r="K35" s="399"/>
      <c r="L35" s="2025"/>
      <c r="M35" s="2027"/>
      <c r="N35" s="2027"/>
      <c r="O35" s="2077"/>
      <c r="P35" s="4416"/>
      <c r="Q35" s="1544">
        <f t="shared" si="8"/>
        <v>111</v>
      </c>
      <c r="R35" s="3986" t="s">
        <v>13</v>
      </c>
      <c r="S35" s="3988">
        <f t="shared" si="10"/>
        <v>100</v>
      </c>
      <c r="T35" s="3986" t="s">
        <v>13</v>
      </c>
      <c r="U35" s="3988">
        <f t="shared" si="11"/>
        <v>100</v>
      </c>
      <c r="V35" s="3986" t="s">
        <v>13</v>
      </c>
      <c r="W35" s="3988">
        <f t="shared" si="12"/>
        <v>100</v>
      </c>
      <c r="X35" s="494"/>
      <c r="Y35" s="4417"/>
      <c r="Z35" s="495">
        <f t="shared" si="13"/>
        <v>111</v>
      </c>
      <c r="AA35" s="944">
        <f t="shared" si="3"/>
        <v>1</v>
      </c>
      <c r="AB35" s="944">
        <f t="shared" si="4"/>
        <v>1</v>
      </c>
      <c r="AC35" s="944">
        <f t="shared" si="5"/>
        <v>1</v>
      </c>
    </row>
    <row r="36" spans="1:31" ht="15">
      <c r="A36" s="3267" t="s">
        <v>1608</v>
      </c>
      <c r="B36" s="2922" t="s">
        <v>1787</v>
      </c>
      <c r="C36" s="3279"/>
      <c r="D36" s="3020">
        <v>100</v>
      </c>
      <c r="E36" s="3279"/>
      <c r="F36" s="3957" t="e">
        <f>LOOKUP(E36,110:110,111:111)-LOOKUP(C36,110:110,111:111)+100</f>
        <v>#N/A</v>
      </c>
      <c r="G36" s="3279"/>
      <c r="H36" s="3957" t="e">
        <f>LOOKUP(G36,110:110,111:111)-LOOKUP(C36,110:110,111:111)+100</f>
        <v>#N/A</v>
      </c>
      <c r="I36" s="3292"/>
      <c r="J36" s="3957" t="e">
        <f>LOOKUP(I36,110:110,111:111)-LOOKUP(C36,110:110,111:111)+100</f>
        <v>#N/A</v>
      </c>
      <c r="K36" s="399"/>
      <c r="L36" s="2026"/>
      <c r="M36" s="2021"/>
      <c r="N36" s="2021"/>
      <c r="O36" s="2076"/>
      <c r="P36" s="4416"/>
      <c r="Q36" s="1544" t="str">
        <f>B36</f>
        <v>宗地面积</v>
      </c>
      <c r="R36" s="3985" t="s">
        <v>13</v>
      </c>
      <c r="S36" s="3987" t="e">
        <f t="shared" si="10"/>
        <v>#N/A</v>
      </c>
      <c r="T36" s="3985" t="s">
        <v>13</v>
      </c>
      <c r="U36" s="3987" t="e">
        <f t="shared" si="11"/>
        <v>#N/A</v>
      </c>
      <c r="V36" s="3985" t="s">
        <v>13</v>
      </c>
      <c r="W36" s="3987" t="e">
        <f t="shared" si="12"/>
        <v>#N/A</v>
      </c>
      <c r="X36" s="946"/>
      <c r="Y36" s="4417"/>
      <c r="Z36" s="944" t="str">
        <f t="shared" si="13"/>
        <v>宗地面积</v>
      </c>
      <c r="AA36" s="944" t="e">
        <f t="shared" si="3"/>
        <v>#N/A</v>
      </c>
      <c r="AB36" s="944" t="e">
        <f t="shared" si="4"/>
        <v>#N/A</v>
      </c>
      <c r="AC36" s="944" t="e">
        <f t="shared" si="5"/>
        <v>#N/A</v>
      </c>
    </row>
    <row r="37" spans="1:31" ht="15">
      <c r="A37" s="3278"/>
      <c r="B37" s="2913" t="s">
        <v>1788</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416"/>
      <c r="Q37" s="1544" t="str">
        <f t="shared" ref="Q37:Q42" si="14">B37</f>
        <v>宗地形状</v>
      </c>
      <c r="R37" s="3985" t="s">
        <v>13</v>
      </c>
      <c r="S37" s="3987">
        <f t="shared" si="10"/>
        <v>100</v>
      </c>
      <c r="T37" s="3985" t="s">
        <v>13</v>
      </c>
      <c r="U37" s="3987">
        <f t="shared" si="11"/>
        <v>100</v>
      </c>
      <c r="V37" s="3985" t="s">
        <v>13</v>
      </c>
      <c r="W37" s="3987">
        <f t="shared" si="12"/>
        <v>100</v>
      </c>
      <c r="X37" s="946"/>
      <c r="Y37" s="4417"/>
      <c r="Z37" s="944" t="str">
        <f t="shared" si="13"/>
        <v>宗地形状</v>
      </c>
      <c r="AA37" s="944">
        <f t="shared" si="3"/>
        <v>1</v>
      </c>
      <c r="AB37" s="944">
        <f t="shared" si="4"/>
        <v>1</v>
      </c>
      <c r="AC37" s="944">
        <f t="shared" si="5"/>
        <v>1</v>
      </c>
    </row>
    <row r="38" spans="1:31" s="46" customFormat="1" ht="15">
      <c r="A38" s="3280"/>
      <c r="B38" s="2913" t="s">
        <v>1790</v>
      </c>
      <c r="C38" s="3281"/>
      <c r="D38" s="3011">
        <v>100</v>
      </c>
      <c r="E38" s="3281"/>
      <c r="F38" s="3950">
        <f>SUMIF(114:114,E38,115:115)-SUMIF(114:114,C38,115:115)+100</f>
        <v>100</v>
      </c>
      <c r="G38" s="3281"/>
      <c r="H38" s="3950">
        <f>SUMIF(114:114,G38,115:115)-SUMIF(114:114,C38,115:115)+100</f>
        <v>100</v>
      </c>
      <c r="I38" s="3281"/>
      <c r="J38" s="3950">
        <f>SUMIF(114:114,I38,115:115)-SUMIF(114:114,C38,115:115)+100</f>
        <v>100</v>
      </c>
      <c r="K38" s="398"/>
      <c r="L38" s="2022"/>
      <c r="M38" s="1973"/>
      <c r="N38" s="1973"/>
      <c r="O38" s="2074"/>
      <c r="P38" s="4416"/>
      <c r="Q38" s="1544" t="str">
        <f t="shared" si="14"/>
        <v>宗地开发程度</v>
      </c>
      <c r="R38" s="3984" t="s">
        <v>13</v>
      </c>
      <c r="S38" s="3755">
        <f t="shared" si="10"/>
        <v>100</v>
      </c>
      <c r="T38" s="3984" t="s">
        <v>13</v>
      </c>
      <c r="U38" s="3755">
        <f t="shared" si="11"/>
        <v>100</v>
      </c>
      <c r="V38" s="3984" t="s">
        <v>13</v>
      </c>
      <c r="W38" s="3755">
        <f t="shared" si="12"/>
        <v>100</v>
      </c>
      <c r="X38" s="493"/>
      <c r="Y38" s="4417"/>
      <c r="Z38" s="28" t="str">
        <f t="shared" si="13"/>
        <v>宗地开发程度</v>
      </c>
      <c r="AA38" s="28">
        <f t="shared" si="3"/>
        <v>1</v>
      </c>
      <c r="AB38" s="28">
        <f t="shared" si="4"/>
        <v>1</v>
      </c>
      <c r="AC38" s="28">
        <f t="shared" si="5"/>
        <v>1</v>
      </c>
    </row>
    <row r="39" spans="1:31" ht="15">
      <c r="A39" s="3278"/>
      <c r="B39" s="2913" t="s">
        <v>1791</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416" t="s">
        <v>1610</v>
      </c>
      <c r="Q39" s="1544" t="str">
        <f t="shared" si="14"/>
        <v>工程地质条件</v>
      </c>
      <c r="R39" s="3985" t="s">
        <v>13</v>
      </c>
      <c r="S39" s="3987">
        <f t="shared" si="10"/>
        <v>100</v>
      </c>
      <c r="T39" s="3985" t="s">
        <v>13</v>
      </c>
      <c r="U39" s="3987">
        <f t="shared" si="11"/>
        <v>100</v>
      </c>
      <c r="V39" s="3985" t="s">
        <v>13</v>
      </c>
      <c r="W39" s="3987">
        <f t="shared" si="12"/>
        <v>100</v>
      </c>
      <c r="X39" s="946"/>
      <c r="Y39" s="4417" t="s">
        <v>1610</v>
      </c>
      <c r="Z39" s="944" t="str">
        <f t="shared" si="13"/>
        <v>工程地质条件</v>
      </c>
      <c r="AA39" s="944">
        <f t="shared" si="3"/>
        <v>1</v>
      </c>
      <c r="AB39" s="944">
        <f t="shared" si="4"/>
        <v>1</v>
      </c>
      <c r="AC39" s="944">
        <f t="shared" si="5"/>
        <v>1</v>
      </c>
    </row>
    <row r="40" spans="1:31" ht="15">
      <c r="A40" s="3278"/>
      <c r="B40" s="3274">
        <v>111</v>
      </c>
      <c r="C40" s="3272"/>
      <c r="D40" s="3013">
        <v>100</v>
      </c>
      <c r="E40" s="3272"/>
      <c r="F40" s="3950">
        <f>SUMIF(118:118,E40,119:119)-SUMIF(118:118,C40,119:119)+100</f>
        <v>100</v>
      </c>
      <c r="G40" s="3272"/>
      <c r="H40" s="3950">
        <f>SUMIF(118:118,G40,119:119)-SUMIF(118:118,C40,119:119)+100</f>
        <v>100</v>
      </c>
      <c r="I40" s="3286"/>
      <c r="J40" s="3950">
        <f>SUMIF(118:118,I40,119:119)-SUMIF(118:118,C40,119:119)+100</f>
        <v>100</v>
      </c>
      <c r="K40" s="399"/>
      <c r="L40" s="2026"/>
      <c r="M40" s="2021"/>
      <c r="N40" s="2021"/>
      <c r="O40" s="2076"/>
      <c r="P40" s="4416"/>
      <c r="Q40" s="1544">
        <f t="shared" si="14"/>
        <v>111</v>
      </c>
      <c r="R40" s="3985" t="s">
        <v>13</v>
      </c>
      <c r="S40" s="3987">
        <f t="shared" si="10"/>
        <v>100</v>
      </c>
      <c r="T40" s="3985" t="s">
        <v>13</v>
      </c>
      <c r="U40" s="3987">
        <f t="shared" si="11"/>
        <v>100</v>
      </c>
      <c r="V40" s="3985" t="s">
        <v>13</v>
      </c>
      <c r="W40" s="3987">
        <f t="shared" si="12"/>
        <v>100</v>
      </c>
      <c r="X40" s="946"/>
      <c r="Y40" s="4417"/>
      <c r="Z40" s="944">
        <f t="shared" si="13"/>
        <v>111</v>
      </c>
      <c r="AA40" s="944">
        <f t="shared" si="3"/>
        <v>1</v>
      </c>
      <c r="AB40" s="944">
        <f t="shared" si="4"/>
        <v>1</v>
      </c>
      <c r="AC40" s="944">
        <f t="shared" si="5"/>
        <v>1</v>
      </c>
    </row>
    <row r="41" spans="1:31" ht="15">
      <c r="A41" s="3278"/>
      <c r="B41" s="3274">
        <v>111</v>
      </c>
      <c r="C41" s="3272"/>
      <c r="D41" s="3013">
        <v>100</v>
      </c>
      <c r="E41" s="3272"/>
      <c r="F41" s="3950">
        <f>SUMIF(120:120,E41,121:121)-SUMIF(120:120,C41,121:121)+100</f>
        <v>100</v>
      </c>
      <c r="G41" s="3272"/>
      <c r="H41" s="3950">
        <f>SUMIF(120:120,G41,121:121)-SUMIF(120:120,C41,121:121)+100</f>
        <v>100</v>
      </c>
      <c r="I41" s="3286"/>
      <c r="J41" s="3950">
        <f>SUMIF(120:120,I41,121:121)-SUMIF(120:120,C41,121:121)+100</f>
        <v>100</v>
      </c>
      <c r="K41" s="399"/>
      <c r="L41" s="2026"/>
      <c r="M41" s="2021"/>
      <c r="N41" s="2021"/>
      <c r="O41" s="2076"/>
      <c r="P41" s="4416"/>
      <c r="Q41" s="1544">
        <f t="shared" si="14"/>
        <v>111</v>
      </c>
      <c r="R41" s="3985" t="s">
        <v>13</v>
      </c>
      <c r="S41" s="3987">
        <f t="shared" si="10"/>
        <v>100</v>
      </c>
      <c r="T41" s="3985" t="s">
        <v>13</v>
      </c>
      <c r="U41" s="3987">
        <f t="shared" si="11"/>
        <v>100</v>
      </c>
      <c r="V41" s="3985" t="s">
        <v>13</v>
      </c>
      <c r="W41" s="3987">
        <f t="shared" si="12"/>
        <v>100</v>
      </c>
      <c r="X41" s="946"/>
      <c r="Y41" s="4417"/>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2">
        <f>SUMIF(122:122,E42,123:123)-SUMIF(122:122,C42,123:123)+100</f>
        <v>100</v>
      </c>
      <c r="G42" s="3272"/>
      <c r="H42" s="3952">
        <f>SUMIF(122:122,G42,123:123)-SUMIF(122:122,C42,123:123)+100</f>
        <v>100</v>
      </c>
      <c r="I42" s="3286"/>
      <c r="J42" s="3952">
        <f>SUMIF(122:122,I42,123:123)-SUMIF(122:122,C42,123:123)+100</f>
        <v>100</v>
      </c>
      <c r="K42" s="449"/>
      <c r="L42" s="2025"/>
      <c r="M42" s="2027"/>
      <c r="N42" s="2027"/>
      <c r="O42" s="2077"/>
      <c r="P42" s="4416"/>
      <c r="Q42" s="1544">
        <f t="shared" si="14"/>
        <v>111</v>
      </c>
      <c r="R42" s="3986" t="s">
        <v>13</v>
      </c>
      <c r="S42" s="3988">
        <f t="shared" si="10"/>
        <v>100</v>
      </c>
      <c r="T42" s="3986" t="s">
        <v>13</v>
      </c>
      <c r="U42" s="3988">
        <f t="shared" si="11"/>
        <v>100</v>
      </c>
      <c r="V42" s="3986" t="s">
        <v>13</v>
      </c>
      <c r="W42" s="3988">
        <f t="shared" si="12"/>
        <v>100</v>
      </c>
      <c r="X42" s="494"/>
      <c r="Y42" s="4417"/>
      <c r="Z42" s="495">
        <f t="shared" si="13"/>
        <v>111</v>
      </c>
      <c r="AA42" s="944">
        <f t="shared" si="3"/>
        <v>1</v>
      </c>
      <c r="AB42" s="944">
        <f t="shared" si="4"/>
        <v>1</v>
      </c>
      <c r="AC42" s="944">
        <f t="shared" si="5"/>
        <v>1</v>
      </c>
    </row>
    <row r="43" spans="1:31" ht="15">
      <c r="A43" s="287" t="s">
        <v>1758</v>
      </c>
      <c r="B43" s="1467" t="s">
        <v>1835</v>
      </c>
      <c r="C43" s="450" t="s">
        <v>0</v>
      </c>
      <c r="D43" s="3347"/>
      <c r="E43" s="3386"/>
      <c r="F43" s="3324"/>
      <c r="G43" s="3387"/>
      <c r="H43" s="3325"/>
      <c r="I43" s="3386"/>
      <c r="J43" s="3325"/>
      <c r="K43" s="2986"/>
      <c r="L43" s="2028"/>
      <c r="M43" s="2021"/>
      <c r="N43" s="2021"/>
      <c r="O43" s="2021"/>
      <c r="P43" s="4387" t="str">
        <f>A43</f>
        <v>成交单价</v>
      </c>
      <c r="Q43" s="4387"/>
      <c r="R43" s="4418">
        <f>E43</f>
        <v>0</v>
      </c>
      <c r="S43" s="4418"/>
      <c r="T43" s="4418">
        <f>G43</f>
        <v>0</v>
      </c>
      <c r="U43" s="4418"/>
      <c r="V43" s="4418">
        <f>I43</f>
        <v>0</v>
      </c>
      <c r="W43" s="4418"/>
      <c r="X43" s="266"/>
      <c r="Y43" s="496"/>
      <c r="Z43" s="266"/>
      <c r="AA43" s="266"/>
      <c r="AB43" s="266"/>
      <c r="AC43" s="266"/>
    </row>
    <row r="44" spans="1:31" ht="15.75" thickBot="1">
      <c r="A44" s="290" t="s">
        <v>1707</v>
      </c>
      <c r="B44" s="451"/>
      <c r="C44" s="3969" t="e">
        <f>R45</f>
        <v>#DIV/0!</v>
      </c>
      <c r="D44" s="4085" t="s">
        <v>2048</v>
      </c>
      <c r="E44" s="3969" t="e">
        <f>R44</f>
        <v>#DIV/0!</v>
      </c>
      <c r="F44" s="2925"/>
      <c r="G44" s="3958" t="e">
        <f>T44</f>
        <v>#DIV/0!</v>
      </c>
      <c r="H44" s="2925"/>
      <c r="I44" s="3969" t="e">
        <f>V44</f>
        <v>#DIV/0!</v>
      </c>
      <c r="J44" s="2925"/>
      <c r="K44" s="2979">
        <f>F44+H44+J44</f>
        <v>0</v>
      </c>
      <c r="L44" s="2028"/>
      <c r="M44" s="2021"/>
      <c r="N44" s="2021"/>
      <c r="O44" s="2021"/>
      <c r="P44" s="4387" t="str">
        <f>A44</f>
        <v>比较价值（元/平方米）</v>
      </c>
      <c r="Q44" s="4387"/>
      <c r="R44" s="4418" t="e">
        <f>ROUND(PRODUCT(R43,AA9:AA42),0)</f>
        <v>#DIV/0!</v>
      </c>
      <c r="S44" s="4418"/>
      <c r="T44" s="4418" t="e">
        <f>ROUND(PRODUCT(T43,AB9:AB42),0)</f>
        <v>#DIV/0!</v>
      </c>
      <c r="U44" s="4418"/>
      <c r="V44" s="4418" t="e">
        <f>ROUND(PRODUCT(V43,AC9:AC42),0)</f>
        <v>#DIV/0!</v>
      </c>
      <c r="W44" s="4418"/>
      <c r="X44" s="266"/>
      <c r="Y44" s="266"/>
      <c r="Z44" s="266"/>
      <c r="AA44" s="266"/>
      <c r="AB44" s="266"/>
      <c r="AC44" s="266"/>
    </row>
    <row r="45" spans="1:31" ht="15.75" thickBot="1">
      <c r="A45" s="292" t="s">
        <v>1708</v>
      </c>
      <c r="B45" s="293"/>
      <c r="C45" s="3970" t="e">
        <f>R45</f>
        <v>#DIV/0!</v>
      </c>
      <c r="D45" s="3326"/>
      <c r="E45" s="3326"/>
      <c r="F45" s="3326"/>
      <c r="G45" s="3326"/>
      <c r="H45" s="3326"/>
      <c r="I45" s="3326"/>
      <c r="J45" s="3326"/>
      <c r="K45" s="3348"/>
      <c r="L45" s="2028"/>
      <c r="M45" s="2021"/>
      <c r="N45" s="2021"/>
      <c r="O45" s="2021"/>
      <c r="P45" s="4419" t="str">
        <f>A45</f>
        <v>估价对象XX用房的比较价值（楼面单价，元/平方米）</v>
      </c>
      <c r="Q45" s="4420"/>
      <c r="R45" s="4421" t="e">
        <f>ROUND(IF(D44="简单平均",AVERAGE(R44:W44),R44*F44+T44*H44+V44*J44),0)</f>
        <v>#DIV/0!</v>
      </c>
      <c r="S45" s="4421"/>
      <c r="T45" s="4421"/>
      <c r="U45" s="4421"/>
      <c r="V45" s="4421"/>
      <c r="W45" s="4421"/>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1709</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1710</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1711</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22" t="s">
        <v>1800</v>
      </c>
      <c r="H52" s="4423"/>
      <c r="I52" s="3196" t="s">
        <v>1836</v>
      </c>
      <c r="J52" s="3196">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8" t="e">
        <f>C45</f>
        <v>#DIV/0!</v>
      </c>
      <c r="C53" s="3259">
        <v>1</v>
      </c>
      <c r="D53" s="3236">
        <v>1</v>
      </c>
      <c r="E53" s="3235">
        <f>'数据-汇总表'!E8+'数据-汇总表'!E9</f>
        <v>10800.690000000002</v>
      </c>
      <c r="F53" s="3238" t="e">
        <f t="shared" ref="F53:F62" si="15">ROUND(B53*E53/10000,0)</f>
        <v>#DIV/0!</v>
      </c>
      <c r="G53" s="4424"/>
      <c r="H53" s="4425"/>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8" t="e">
        <f>ROUND($C$45*C54*D54,0)</f>
        <v>#DIV/0!</v>
      </c>
      <c r="C54" s="3234">
        <f t="shared" ref="C54:C62" si="16">IF($C$52="北京市系数",I54,J54)</f>
        <v>0</v>
      </c>
      <c r="D54" s="3237">
        <v>0.25</v>
      </c>
      <c r="E54" s="3239"/>
      <c r="F54" s="3238" t="e">
        <f t="shared" si="15"/>
        <v>#DIV/0!</v>
      </c>
      <c r="G54" s="3246" t="s">
        <v>1805</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8"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8"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8" t="e">
        <f t="shared" si="17"/>
        <v>#DIV/0!</v>
      </c>
      <c r="C58" s="3234">
        <f t="shared" si="16"/>
        <v>0</v>
      </c>
      <c r="D58" s="3237">
        <v>0.25</v>
      </c>
      <c r="E58" s="3240">
        <f>'数据-汇总表'!E11</f>
        <v>0</v>
      </c>
      <c r="F58" s="3238" t="e">
        <f t="shared" si="15"/>
        <v>#DIV/0!</v>
      </c>
      <c r="G58" s="3249" t="s">
        <v>1809</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8" t="e">
        <f t="shared" si="17"/>
        <v>#DIV/0!</v>
      </c>
      <c r="C59" s="3234">
        <f t="shared" si="16"/>
        <v>0</v>
      </c>
      <c r="D59" s="3237">
        <v>0.25</v>
      </c>
      <c r="E59" s="3240">
        <f>'数据-汇总表'!E12</f>
        <v>4951.4299999999994</v>
      </c>
      <c r="F59" s="3238" t="e">
        <f t="shared" si="15"/>
        <v>#DIV/0!</v>
      </c>
      <c r="G59" s="3250" t="s">
        <v>1811</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8" t="e">
        <f t="shared" si="17"/>
        <v>#DIV/0!</v>
      </c>
      <c r="C60" s="3234">
        <f t="shared" si="16"/>
        <v>0.15</v>
      </c>
      <c r="D60" s="3237">
        <v>0.25</v>
      </c>
      <c r="E60" s="3240">
        <f>'数据-汇总表'!E13</f>
        <v>9216.07</v>
      </c>
      <c r="F60" s="3238" t="e">
        <f t="shared" si="15"/>
        <v>#DIV/0!</v>
      </c>
      <c r="G60" s="3250" t="s">
        <v>1813</v>
      </c>
      <c r="H60" s="3243" t="str">
        <f>IF(G60="商业",项目基本情况!B37,IF(G60="办公",项目基本情况!C37,IF(G60="住宅",项目基本情况!D37,项目基本情况!E37)))</f>
        <v>五级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8" t="e">
        <f t="shared" si="17"/>
        <v>#DIV/0!</v>
      </c>
      <c r="C61" s="3234">
        <f t="shared" si="16"/>
        <v>0</v>
      </c>
      <c r="D61" s="3237">
        <v>0.25</v>
      </c>
      <c r="E61" s="3240">
        <f>'数据-汇总表'!E14</f>
        <v>0</v>
      </c>
      <c r="F61" s="3238" t="e">
        <f t="shared" si="15"/>
        <v>#DIV/0!</v>
      </c>
      <c r="G61" s="3249" t="s">
        <v>1805</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8" t="e">
        <f t="shared" si="17"/>
        <v>#DIV/0!</v>
      </c>
      <c r="C62" s="3234">
        <f t="shared" si="16"/>
        <v>0</v>
      </c>
      <c r="D62" s="3237">
        <v>0.25</v>
      </c>
      <c r="E62" s="3240">
        <f>'数据-汇总表'!E15</f>
        <v>0</v>
      </c>
      <c r="F62" s="3238" t="e">
        <f t="shared" si="15"/>
        <v>#DIV/0!</v>
      </c>
      <c r="G62" s="3251" t="s">
        <v>1809</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1">
        <f>IF(B43="楼面地价",SUM(E53:E62),'数据-汇总表'!D3)</f>
        <v>7720.15</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1712</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1630</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1595</v>
      </c>
      <c r="B70" s="308"/>
      <c r="C70" s="320" t="s">
        <v>1690</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1633</v>
      </c>
      <c r="B72" s="323" t="s">
        <v>1599</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1602</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1603</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1604</v>
      </c>
      <c r="B85" s="323" t="s">
        <v>1743</v>
      </c>
      <c r="C85" s="365" t="s">
        <v>1635</v>
      </c>
      <c r="D85" s="365" t="s">
        <v>1636</v>
      </c>
      <c r="E85" s="365" t="s">
        <v>1637</v>
      </c>
      <c r="F85" s="365" t="s">
        <v>1638</v>
      </c>
      <c r="G85" s="365" t="s">
        <v>1639</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1640</v>
      </c>
      <c r="C87" s="369" t="s">
        <v>1635</v>
      </c>
      <c r="D87" s="369" t="s">
        <v>1636</v>
      </c>
      <c r="E87" s="369" t="s">
        <v>1637</v>
      </c>
      <c r="F87" s="369" t="s">
        <v>1638</v>
      </c>
      <c r="G87" s="369" t="s">
        <v>1639</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1635</v>
      </c>
      <c r="D89" s="365" t="s">
        <v>1636</v>
      </c>
      <c r="E89" s="365" t="s">
        <v>1637</v>
      </c>
      <c r="F89" s="365" t="s">
        <v>1638</v>
      </c>
      <c r="G89" s="365" t="s">
        <v>1639</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1635</v>
      </c>
      <c r="D91" s="365" t="s">
        <v>1636</v>
      </c>
      <c r="E91" s="365" t="s">
        <v>1637</v>
      </c>
      <c r="F91" s="365" t="s">
        <v>1638</v>
      </c>
      <c r="G91" s="365" t="s">
        <v>1639</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1692</v>
      </c>
      <c r="C93" s="365" t="s">
        <v>1635</v>
      </c>
      <c r="D93" s="365" t="s">
        <v>1636</v>
      </c>
      <c r="E93" s="365" t="s">
        <v>1637</v>
      </c>
      <c r="F93" s="365" t="s">
        <v>1638</v>
      </c>
      <c r="G93" s="365" t="s">
        <v>1639</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1713</v>
      </c>
      <c r="D95" s="436" t="s">
        <v>1714</v>
      </c>
      <c r="E95" s="436" t="s">
        <v>1715</v>
      </c>
      <c r="F95" s="436" t="s">
        <v>1716</v>
      </c>
      <c r="G95" s="436" t="s">
        <v>1717</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1729</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1608</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800-000000000000}">
      <formula1>单价内涵</formula1>
    </dataValidation>
    <dataValidation type="list" allowBlank="1" showInputMessage="1" showErrorMessage="1" sqref="C24 E24 G24 I24" xr:uid="{00000000-0002-0000-2800-000001000000}">
      <formula1>环境</formula1>
    </dataValidation>
    <dataValidation type="list" allowBlank="1" showInputMessage="1" showErrorMessage="1" sqref="E20 C20 G20 I20" xr:uid="{00000000-0002-0000-2800-000002000000}">
      <formula1>交通便捷度</formula1>
    </dataValidation>
    <dataValidation type="list" allowBlank="1" showInputMessage="1" showErrorMessage="1" sqref="E26 C26 G26 I26" xr:uid="{00000000-0002-0000-2800-000003000000}">
      <formula1>公共配套设施</formula1>
    </dataValidation>
    <dataValidation type="list" allowBlank="1" showInputMessage="1" showErrorMessage="1" sqref="C10 E10 G10 I10" xr:uid="{00000000-0002-0000-2800-000004000000}">
      <formula1>套工交易情况</formula1>
    </dataValidation>
    <dataValidation type="list" allowBlank="1" showInputMessage="1" showErrorMessage="1" sqref="C11 E11 G11 I11" xr:uid="{00000000-0002-0000-2800-000005000000}">
      <formula1>套工用途</formula1>
    </dataValidation>
    <dataValidation type="list" allowBlank="1" showInputMessage="1" showErrorMessage="1" sqref="I32 E32 G32" xr:uid="{00000000-0002-0000-2800-000006000000}">
      <formula1>套工土地级别</formula1>
    </dataValidation>
    <dataValidation type="list" allowBlank="1" showInputMessage="1" showErrorMessage="1" sqref="C29 E29 G29 I29" xr:uid="{00000000-0002-0000-2800-000007000000}">
      <formula1>临街状况</formula1>
    </dataValidation>
    <dataValidation type="list" allowBlank="1" showInputMessage="1" showErrorMessage="1" sqref="E22 G22 I22 C22" xr:uid="{00000000-0002-0000-2800-000008000000}">
      <formula1>区域土地利用方向</formula1>
    </dataValidation>
    <dataValidation type="list" allowBlank="1" showInputMessage="1" showErrorMessage="1" sqref="C52" xr:uid="{00000000-0002-0000-2800-000009000000}">
      <formula1>"北京市系数,其他省市系数"</formula1>
    </dataValidation>
    <dataValidation type="list" allowBlank="1" showInputMessage="1" showErrorMessage="1" sqref="C18 E18 G18 I18" xr:uid="{00000000-0002-0000-2800-00000A000000}">
      <formula1>产业集聚程度</formula1>
    </dataValidation>
    <dataValidation type="list" allowBlank="1" showInputMessage="1" showErrorMessage="1" sqref="C31 E31 G31 I31" xr:uid="{00000000-0002-0000-2800-00000B000000}">
      <formula1>套工道路等级</formula1>
    </dataValidation>
    <dataValidation type="list" allowBlank="1" showInputMessage="1" showErrorMessage="1" sqref="C37 E37 G37 I37" xr:uid="{00000000-0002-0000-2800-00000C000000}">
      <formula1>套工宗地形状</formula1>
    </dataValidation>
    <dataValidation type="list" allowBlank="1" showInputMessage="1" showErrorMessage="1" sqref="C38 E38 G38 I38" xr:uid="{00000000-0002-0000-2800-00000D000000}">
      <formula1>套工宗地开发程度</formula1>
    </dataValidation>
    <dataValidation type="list" allowBlank="1" showInputMessage="1" showErrorMessage="1" sqref="C39 E39 G39 I39" xr:uid="{00000000-0002-0000-2800-00000E000000}">
      <formula1>套工地质条件</formula1>
    </dataValidation>
    <dataValidation type="list" allowBlank="1" showInputMessage="1" showErrorMessage="1" sqref="G60" xr:uid="{00000000-0002-0000-2800-00000F000000}">
      <formula1>"住宅,工业"</formula1>
    </dataValidation>
    <dataValidation type="list" allowBlank="1" showInputMessage="1" showErrorMessage="1" sqref="G59" xr:uid="{00000000-0002-0000-2800-000010000000}">
      <formula1>"商业,办公,住宅,工业"</formula1>
    </dataValidation>
    <dataValidation type="list" allowBlank="1" showInputMessage="1" showErrorMessage="1" sqref="D54:D62" xr:uid="{00000000-0002-0000-2800-000011000000}">
      <formula1>"25%,1"</formula1>
    </dataValidation>
    <dataValidation type="list" allowBlank="1" showInputMessage="1" showErrorMessage="1" sqref="C28 E28 G28 I28" xr:uid="{00000000-0002-0000-2800-000012000000}">
      <formula1>基础设施水平</formula1>
    </dataValidation>
    <dataValidation type="list" allowBlank="1" showInputMessage="1" showErrorMessage="1" sqref="D44"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8">
        <f ca="1">SUMIF(B6:B13,"&lt;&gt;#ref!",B6:B13)</f>
        <v>0</v>
      </c>
      <c r="C2" s="1613" t="s">
        <v>1987</v>
      </c>
      <c r="D2" s="1613" t="s">
        <v>1988</v>
      </c>
      <c r="E2" s="3049">
        <f ca="1">SUMIF(E6:E13,"&lt;&gt;#ref!",E6:E13)</f>
        <v>0</v>
      </c>
      <c r="F2" s="2078"/>
      <c r="G2" s="2078"/>
      <c r="H2" s="2078"/>
      <c r="I2" s="2078"/>
      <c r="J2" s="2078"/>
      <c r="K2" s="2078"/>
      <c r="L2" s="2078"/>
      <c r="M2" s="2078"/>
      <c r="N2" s="2078"/>
      <c r="O2" s="2078"/>
      <c r="P2" s="2078"/>
    </row>
    <row r="3" spans="1:16" ht="15.75">
      <c r="A3" s="1613" t="s">
        <v>1989</v>
      </c>
      <c r="B3" s="3048"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8">
        <f ca="1">SUMIF(INDIRECT("'"&amp;A6&amp;"'"&amp;"!A:A"),"总价",INDIRECT("'"&amp;A6&amp;"'"&amp;"!B:B"))</f>
        <v>0</v>
      </c>
      <c r="C6" s="1613" t="s">
        <v>1987</v>
      </c>
      <c r="D6" s="2078"/>
      <c r="E6" s="3049">
        <f ca="1">SUMIF(INDIRECT("'"&amp;A6&amp;"'"&amp;"!C:C"),"建筑面积",INDIRECT("'"&amp;A6&amp;"'"&amp;"!D:D"))</f>
        <v>0</v>
      </c>
      <c r="F6" s="2078"/>
      <c r="G6" s="2078"/>
      <c r="H6" s="2078"/>
      <c r="I6" s="2078"/>
      <c r="J6" s="2078"/>
      <c r="K6" s="2078"/>
      <c r="L6" s="2078"/>
      <c r="M6" s="2078"/>
      <c r="N6" s="2078"/>
      <c r="O6" s="2078"/>
      <c r="P6" s="2078"/>
    </row>
    <row r="7" spans="1:16" ht="15.75">
      <c r="A7" s="1930"/>
      <c r="B7" s="3048" t="e">
        <f ca="1">SUMIF(INDIRECT("'"&amp;A7&amp;"'"&amp;"!A:A"),"总价",INDIRECT("'"&amp;A7&amp;"'"&amp;"!B:B"))</f>
        <v>#REF!</v>
      </c>
      <c r="C7" s="1613" t="s">
        <v>1987</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1987</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1987</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1987</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1987</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1987</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1987</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A4" zoomScaleNormal="80" zoomScaleSheetLayoutView="100" workbookViewId="0">
      <selection activeCell="C21" sqref="C21"/>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f>C30</f>
        <v>0</v>
      </c>
      <c r="C2" s="1478" t="s">
        <v>1848</v>
      </c>
      <c r="D2" s="68" t="s">
        <v>1849</v>
      </c>
      <c r="E2" s="2555" t="s">
        <v>3276</v>
      </c>
      <c r="F2" s="68" t="s">
        <v>1850</v>
      </c>
      <c r="G2" s="69" t="str">
        <f>IF(E2="商业",项目基本情况!B37,IF(E2="办公",项目基本情况!C37,IF(E2="住宅",项目基本情况!D37,IF(E2="工业",项目基本情况!E37,项目基本情况!F37))))</f>
        <v>五级</v>
      </c>
      <c r="H2" s="68" t="s">
        <v>1851</v>
      </c>
      <c r="I2" s="69" t="str">
        <f>IF(E2="商业",项目基本情况!B38,IF(E2="办公",项目基本情况!C38,IF(E2="住宅",项目基本情况!D38,IF(E2="工业",项目基本情况!E38,项目基本情况!F38))))</f>
        <v>Ⅴ-04</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0</v>
      </c>
      <c r="U2" s="837"/>
      <c r="V2" s="2498">
        <f>ROUND(T2*U2/10000,0)</f>
        <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t="s">
        <v>3284</v>
      </c>
      <c r="F3" s="1480"/>
      <c r="G3" s="3050">
        <f>IF(F3="宗地容积率",'数据-汇总表'!I4,IF(F3="估价对象容积率",'数据-汇总表'!I6,'数据-汇总表'!I7))</f>
        <v>2.1</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0</v>
      </c>
      <c r="U3" s="837"/>
      <c r="V3" s="2498">
        <f t="shared" ref="V3:V16" si="1">ROUND(T3*U3/10000,0)</f>
        <v>0</v>
      </c>
      <c r="W3" s="840"/>
      <c r="X3" s="840"/>
      <c r="Y3" s="840"/>
      <c r="Z3" s="840"/>
      <c r="AA3" s="840"/>
      <c r="AB3" s="840"/>
      <c r="AC3" s="841"/>
      <c r="AD3" s="842"/>
      <c r="AE3" s="842"/>
      <c r="AF3" s="842"/>
      <c r="AG3" s="842"/>
      <c r="AH3" s="842"/>
      <c r="AI3" s="842"/>
      <c r="AJ3" s="843"/>
    </row>
    <row r="4" spans="1:36" ht="15.75">
      <c r="A4" s="3582" t="s">
        <v>3656</v>
      </c>
      <c r="B4" s="3581" t="e">
        <f>ROUND(B2*10000/F1,0)</f>
        <v>#DIV/0!</v>
      </c>
      <c r="C4" s="3580" t="s">
        <v>3657</v>
      </c>
      <c r="D4" s="3581" t="e">
        <f>ROUND(B2/(F1/666.67),0)</f>
        <v>#DIV/0!</v>
      </c>
      <c r="E4" s="3580" t="s">
        <v>3658</v>
      </c>
      <c r="F4" s="3578"/>
      <c r="G4" s="3578"/>
      <c r="H4" s="3578"/>
      <c r="I4" s="3578"/>
      <c r="J4" s="3579"/>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0</v>
      </c>
      <c r="U4" s="837"/>
      <c r="V4" s="249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1">
        <f>ROUND(IF(E2="商业",C6*C7*C17+C20,(IF(E2="住宅",C6*C13*C17+C20,IF(E2="办公",C6*C12*C17+C20,C6+C20)))),0)</f>
        <v>-126</v>
      </c>
      <c r="D5" s="3052">
        <f>ROUND(C6*C17+C20,0)</f>
        <v>18444</v>
      </c>
      <c r="E5" s="932"/>
      <c r="F5" s="1483"/>
      <c r="G5" s="1484"/>
      <c r="H5" s="1484"/>
      <c r="I5" s="1484"/>
      <c r="J5" s="1485"/>
      <c r="K5" s="1486"/>
      <c r="L5" s="1479" t="s">
        <v>1861</v>
      </c>
      <c r="M5" s="580">
        <f>SUMPRODUCT((区片价!B87:B126=I2)*(区片价!C3:G3=E2)*(区片价!C87:G126))</f>
        <v>18570</v>
      </c>
      <c r="N5" s="582">
        <f>SUMPRODUCT((因素修正幅度!B87:B126=I2)*(因素修正幅度!C3:G3=E2)*(因素修正幅度!C87:G126))</f>
        <v>0.1</v>
      </c>
      <c r="O5" s="783"/>
      <c r="P5" s="783"/>
      <c r="Q5" s="783"/>
      <c r="R5" s="836">
        <v>4</v>
      </c>
      <c r="S5" s="2498">
        <f>ROUND(SUMPRODUCT((B106:B110=R5)*(C105:N105=G2)*(C106:N110)),4)</f>
        <v>0.88239999999999996</v>
      </c>
      <c r="T5" s="2498">
        <f t="shared" si="0"/>
        <v>0</v>
      </c>
      <c r="U5" s="837"/>
      <c r="V5" s="2498">
        <f t="shared" si="1"/>
        <v>0</v>
      </c>
      <c r="W5" s="840"/>
      <c r="X5" s="840"/>
      <c r="Y5" s="840"/>
      <c r="Z5" s="840"/>
      <c r="AA5" s="840"/>
      <c r="AB5" s="840"/>
      <c r="AC5" s="1487"/>
      <c r="AD5" s="1488"/>
      <c r="AE5" s="1488"/>
      <c r="AF5" s="1488"/>
      <c r="AG5" s="1488"/>
      <c r="AH5" s="1488"/>
      <c r="AI5" s="1488"/>
      <c r="AJ5" s="1489"/>
    </row>
    <row r="6" spans="1:36" ht="15.75" thickBot="1">
      <c r="A6" s="1491" t="s">
        <v>1862</v>
      </c>
      <c r="B6" s="1492" t="s">
        <v>1863</v>
      </c>
      <c r="C6" s="3053">
        <f>SUMIF(L1:L12,G2,M1:M12)</f>
        <v>18570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0.84799999999999998</v>
      </c>
      <c r="T6" s="2498">
        <f t="shared" si="0"/>
        <v>0</v>
      </c>
      <c r="U6" s="837"/>
      <c r="V6" s="2498">
        <f t="shared" si="1"/>
        <v>0</v>
      </c>
      <c r="W6" s="840"/>
      <c r="X6" s="840"/>
      <c r="Y6" s="840"/>
      <c r="Z6" s="840"/>
      <c r="AA6" s="840"/>
      <c r="AB6" s="840"/>
      <c r="AC6" s="1487"/>
      <c r="AD6" s="1488"/>
      <c r="AE6" s="1488"/>
      <c r="AF6" s="1488"/>
      <c r="AG6" s="1488"/>
      <c r="AH6" s="1488"/>
      <c r="AI6" s="1488"/>
      <c r="AJ6" s="1489"/>
    </row>
    <row r="7" spans="1:36" ht="24.75" thickBot="1">
      <c r="A7" s="2453" t="s">
        <v>3130</v>
      </c>
      <c r="B7" s="1497" t="s">
        <v>1865</v>
      </c>
      <c r="C7" s="305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1868</v>
      </c>
      <c r="X7" s="838" t="str">
        <f>G2</f>
        <v>五级</v>
      </c>
      <c r="Y7" s="838" t="s">
        <v>1869</v>
      </c>
      <c r="Z7" s="839">
        <f>G3</f>
        <v>2.1</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9" t="s">
        <v>1873</v>
      </c>
      <c r="X8" s="4550"/>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51"/>
      <c r="X9" s="2499" t="s">
        <v>3159</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51"/>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5" thickBot="1">
      <c r="A12" s="2453" t="s">
        <v>3131</v>
      </c>
      <c r="B12" s="2454" t="s">
        <v>3132</v>
      </c>
      <c r="C12" s="3056"/>
      <c r="D12" s="2455" t="s">
        <v>3133</v>
      </c>
      <c r="E12" s="2456" t="s">
        <v>3134</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15.75" thickBot="1">
      <c r="A13" s="2453" t="s">
        <v>3135</v>
      </c>
      <c r="B13" s="1510" t="s">
        <v>1895</v>
      </c>
      <c r="C13" s="3054">
        <f>ROUND(C16*D16*E16*F16*G16*H16*I16*J16,4)</f>
        <v>0</v>
      </c>
      <c r="D13" s="1511" t="s">
        <v>1896</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3136</v>
      </c>
      <c r="G14" s="2460" t="s">
        <v>3136</v>
      </c>
      <c r="H14" s="2460" t="s">
        <v>3136</v>
      </c>
      <c r="I14" s="2460" t="s">
        <v>3136</v>
      </c>
      <c r="J14" s="2460" t="s">
        <v>3136</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3137</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75" thickBot="1">
      <c r="A16" s="2449"/>
      <c r="B16" s="2464" t="s">
        <v>1902</v>
      </c>
      <c r="C16" s="3057"/>
      <c r="D16" s="3057"/>
      <c r="E16" s="3057"/>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c r="A17" s="2472" t="s">
        <v>3138</v>
      </c>
      <c r="B17" s="2465" t="s">
        <v>3139</v>
      </c>
      <c r="C17" s="3059">
        <f>ROUND(IF(OR(E2="工业",E2="公共服务"),1,IF(AND(E18=0,E19=0),1,IF(AND(E18=J24,E19=G19),0.8,IF(E19=0,1+E17*(-0.2),1+E17*G17*(-0.2))))),4)</f>
        <v>1</v>
      </c>
      <c r="D17" s="2466" t="s">
        <v>3140</v>
      </c>
      <c r="E17" s="2473">
        <f>ROUND(G18/I18,2)</f>
        <v>0</v>
      </c>
      <c r="F17" s="2466" t="s">
        <v>3143</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3141</v>
      </c>
      <c r="E18" s="2682"/>
      <c r="F18" s="2468" t="s">
        <v>3144</v>
      </c>
      <c r="G18" s="2471">
        <f>ROUND(1-(1/(POWER(1+G24,E18))),4)</f>
        <v>0</v>
      </c>
      <c r="H18" s="2468" t="s">
        <v>3146</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3142</v>
      </c>
      <c r="E19" s="3060"/>
      <c r="F19" s="2480" t="s">
        <v>3145</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52" t="s">
        <v>3147</v>
      </c>
      <c r="B20" s="66" t="s">
        <v>1907</v>
      </c>
      <c r="C20" s="3061">
        <f>ROUND(IF(F21="与级别开发程度一致",0,(G21-E21)/C21),0)</f>
        <v>-126</v>
      </c>
      <c r="D20" s="2482" t="s">
        <v>1911</v>
      </c>
      <c r="E20" s="2483"/>
      <c r="F20" s="4558" t="s">
        <v>1908</v>
      </c>
      <c r="G20" s="4559"/>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53"/>
      <c r="B21" s="1630" t="s">
        <v>1910</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46043</v>
      </c>
      <c r="H23" s="2484"/>
      <c r="I23" s="2485" t="str">
        <f>IF(H23="季度增幅（自定义）",SUMIF(N25:N28,E2,O25:O28),"")</f>
        <v/>
      </c>
      <c r="J23" s="2570"/>
      <c r="K23" s="788"/>
      <c r="L23" s="1529" t="s">
        <v>1917</v>
      </c>
      <c r="M23" s="923">
        <f>ROUND(SUMIF(地价!B2:G2,E2,地价!B16:G16),0)</f>
        <v>687</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f>ROUND(POWER(1+G24,J24-I24)*(POWER(1+G24,I24)-1)/(POWER(1+G24,J24)-1),4)</f>
        <v>0.998</v>
      </c>
      <c r="D24" s="1534" t="s">
        <v>1920</v>
      </c>
      <c r="E24" s="928">
        <f>存贷款利率!E28/100</f>
        <v>4.3499999999999997E-2</v>
      </c>
      <c r="F24" s="1534" t="s">
        <v>1912</v>
      </c>
      <c r="G24" s="533">
        <f>SUMIF(M30:Q30,E2,M33:Q33)</f>
        <v>0.05</v>
      </c>
      <c r="H24" s="1534" t="s">
        <v>1921</v>
      </c>
      <c r="I24" s="534">
        <f>SUMIF('数据-取费表'!C6:C15,E2,'数据-取费表'!F6:F15)/COUNTIF('数据-取费表'!C6:C15,E2)</f>
        <v>68.83</v>
      </c>
      <c r="J24" s="535">
        <f>IF(E2="住宅",70,IF(E2="商业",40,50))</f>
        <v>70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3148</v>
      </c>
      <c r="D26" s="3065">
        <f>IF(E26=G26,F26,IF(G3&lt;10,ROUND(F26+(H26-F26)*(G3-E26)/(G26-E26),4),"——"))</f>
        <v>1.0407999999999999</v>
      </c>
      <c r="E26" s="3065">
        <f>ROUNDDOWN(G3,1)</f>
        <v>2.1</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3065">
        <f>ROUNDUP(G3,1)</f>
        <v>2.1</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1544" t="s">
        <v>3149</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1</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70">
        <f>IF(B25="容积率修正",E33+SUM(I37:I42),SUM(V2:V16)+SUM(I37:I42))</f>
        <v>0</v>
      </c>
      <c r="D30" s="4086" t="s">
        <v>3819</v>
      </c>
      <c r="E30" s="1474"/>
      <c r="F30" s="1557"/>
      <c r="G30" s="1474"/>
      <c r="H30" s="1474"/>
      <c r="I30" s="1474"/>
      <c r="J30" s="1558"/>
      <c r="K30" s="783"/>
      <c r="L30" s="2490" t="s">
        <v>1849</v>
      </c>
      <c r="M30" s="2491" t="s">
        <v>1903</v>
      </c>
      <c r="N30" s="2491" t="s">
        <v>1904</v>
      </c>
      <c r="O30" s="2491" t="s">
        <v>1905</v>
      </c>
      <c r="P30" s="2491" t="s">
        <v>1906</v>
      </c>
      <c r="Q30" s="2494" t="s">
        <v>3153</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7">
        <f>E34+SUM(I37:I42)</f>
        <v>0</v>
      </c>
      <c r="D31" s="1560"/>
      <c r="E31" s="1561"/>
      <c r="F31" s="1562"/>
      <c r="G31" s="1561"/>
      <c r="H31" s="1561"/>
      <c r="I31" s="1561"/>
      <c r="J31" s="1563"/>
      <c r="K31" s="783"/>
      <c r="L31" s="2492" t="s">
        <v>1909</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70">
        <f>ROUND(C5*C22*C23*C24*C25*C28,0)</f>
        <v>0</v>
      </c>
      <c r="D33" s="3073"/>
      <c r="E33" s="3075">
        <f>ROUND(C33*D33/10000,0)</f>
        <v>0</v>
      </c>
      <c r="F33" s="2486" t="s">
        <v>3151</v>
      </c>
      <c r="G33" s="1571"/>
      <c r="H33" s="1571"/>
      <c r="I33" s="1571"/>
      <c r="J33" s="1572"/>
      <c r="K33" s="783"/>
      <c r="L33" s="2489" t="s">
        <v>3154</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1">
        <f>ROUND(IF(E2="工业",C33*M42,IF(B25="楼层修正",SUM(V2:V16)*M41*10000/D34,C33*M41)),0)</f>
        <v>0</v>
      </c>
      <c r="D34" s="3074"/>
      <c r="E34" s="3075">
        <f>ROUND(IF(B25="楼层修正",SUM(V2:V16)*M40,C34*D34/10000),0)</f>
        <v>0</v>
      </c>
      <c r="F34" s="1575" t="s">
        <v>1945</v>
      </c>
      <c r="G34" s="1576"/>
      <c r="H34" s="1576"/>
      <c r="I34" s="1576"/>
      <c r="J34" s="1577"/>
      <c r="K34" s="783"/>
      <c r="L34" s="2489" t="s">
        <v>3155</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3152</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3156</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6"/>
      <c r="B37" s="1584" t="s">
        <v>1949</v>
      </c>
      <c r="C37" s="3070">
        <f>ROUND(D5*C22*C23*C24*C28*F37,0)</f>
        <v>0</v>
      </c>
      <c r="D37" s="3073"/>
      <c r="E37" s="3072">
        <f>ROUND(C37*D37/10000,0)</f>
        <v>0</v>
      </c>
      <c r="F37" s="3037">
        <f>SUMIF(修正!A59:A70,G2,修正!B59:B70)</f>
        <v>0.6</v>
      </c>
      <c r="G37" s="3072">
        <f>ROUND(IF(E2="工业",C37*$M$42,C37*$M$41),0)</f>
        <v>0</v>
      </c>
      <c r="H37" s="3037">
        <f>D37</f>
        <v>0</v>
      </c>
      <c r="I37" s="3072">
        <f>ROUND(G37*H37/10000,0)</f>
        <v>0</v>
      </c>
      <c r="J37" s="2239"/>
      <c r="K37" s="2496" t="s">
        <v>3157</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7"/>
      <c r="B38" s="1516" t="s">
        <v>1950</v>
      </c>
      <c r="C38" s="3070">
        <f>ROUND(D5*C22*C23*C24*C28*F38,0)</f>
        <v>0</v>
      </c>
      <c r="D38" s="3073"/>
      <c r="E38" s="3072">
        <f t="shared" ref="E38:E42" si="4">ROUND(C38*D38/10000,0)</f>
        <v>0</v>
      </c>
      <c r="F38" s="3037">
        <f>SUMIF(修正!A59:A70,G2,修正!C59:C70)</f>
        <v>0.3</v>
      </c>
      <c r="G38" s="3072">
        <f>ROUND(IF(E2="工业",C38*$M$42,C38*$M$41),0)</f>
        <v>0</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7"/>
      <c r="B39" s="1516" t="s">
        <v>3150</v>
      </c>
      <c r="C39" s="3070">
        <f>ROUND(D5*C22*C23*C24*C28*F39,0)</f>
        <v>0</v>
      </c>
      <c r="D39" s="3073"/>
      <c r="E39" s="3072">
        <f t="shared" si="4"/>
        <v>0</v>
      </c>
      <c r="F39" s="3037">
        <f>SUMIF(修正!A59:A70,G2,修正!D59:D70)</f>
        <v>0.25</v>
      </c>
      <c r="G39" s="3072">
        <f>ROUND(IF(E2="工业",C39*$M$42,C39*$M$41),0)</f>
        <v>0</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2">
        <f>ROUND(D5*C22*C23*C24*C28*F40,0)</f>
        <v>0</v>
      </c>
      <c r="D40" s="3073"/>
      <c r="E40" s="3072">
        <f t="shared" si="4"/>
        <v>0</v>
      </c>
      <c r="F40" s="3068">
        <f>SUMIF(修正!A59:A70,G2,修正!E59:E70)</f>
        <v>0.25</v>
      </c>
      <c r="G40" s="3072">
        <f>ROUND(IF(E2="工业",C40*$M$42,C40*$M$41),0)</f>
        <v>0</v>
      </c>
      <c r="H40" s="3037">
        <f t="shared" si="5"/>
        <v>0</v>
      </c>
      <c r="I40" s="3072">
        <f t="shared" si="6"/>
        <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2">
        <f>ROUND(D5*C22*C23*C44*C28*F41,0)</f>
        <v>0</v>
      </c>
      <c r="D41" s="3073"/>
      <c r="E41" s="3072">
        <f t="shared" si="4"/>
        <v>0</v>
      </c>
      <c r="F41" s="3068">
        <f>SUMIF(修正!A59:A70,G2,修正!F59:F70)</f>
        <v>0.25</v>
      </c>
      <c r="G41" s="3072">
        <f>ROUND(IF(E2="工业",C41*$M$42,C41*$M$41),0)</f>
        <v>0</v>
      </c>
      <c r="H41" s="3037">
        <f t="shared" si="5"/>
        <v>0</v>
      </c>
      <c r="I41" s="3072">
        <f t="shared" si="6"/>
        <v>0</v>
      </c>
      <c r="J41" s="693"/>
      <c r="L41" s="2497" t="s">
        <v>3158</v>
      </c>
      <c r="M41" s="1588">
        <v>0.25</v>
      </c>
      <c r="Z41" s="784"/>
      <c r="AA41" s="784"/>
      <c r="AB41" s="784"/>
      <c r="AC41" s="784"/>
      <c r="AD41" s="784"/>
      <c r="AE41" s="784"/>
      <c r="AF41" s="784"/>
      <c r="AG41" s="784"/>
      <c r="AH41" s="784"/>
      <c r="AI41" s="784"/>
      <c r="AJ41" s="784"/>
    </row>
    <row r="42" spans="1:37" s="783" customFormat="1" ht="13.5" thickBot="1">
      <c r="A42" s="1573"/>
      <c r="B42" s="1589" t="s">
        <v>1954</v>
      </c>
      <c r="C42" s="3071">
        <f>ROUND(D5*C22*C23*C44*C28*F42,0)</f>
        <v>0</v>
      </c>
      <c r="D42" s="3074"/>
      <c r="E42" s="3071">
        <f t="shared" si="4"/>
        <v>0</v>
      </c>
      <c r="F42" s="3076">
        <f>SUMIF(修正!A59:A70,G2,修正!G59:G70)</f>
        <v>0.15</v>
      </c>
      <c r="G42" s="3071">
        <f>ROUND(IF(E2="工业",C42*$M$42,C42*$M$41),0)</f>
        <v>0</v>
      </c>
      <c r="H42" s="3069">
        <f t="shared" si="5"/>
        <v>0</v>
      </c>
      <c r="I42" s="3071">
        <f t="shared" si="6"/>
        <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f>ROUND(POWER(1+E44,H44-G44)*(POWER(1+E44,G44)-1)/(POWER(1+E44,H44)-1),4)</f>
        <v>0</v>
      </c>
      <c r="D44" s="69" t="s">
        <v>1912</v>
      </c>
      <c r="E44" s="1620">
        <f>G24</f>
        <v>0.05</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1635</v>
      </c>
      <c r="K49" s="390" t="s">
        <v>1636</v>
      </c>
      <c r="L49" s="390" t="s">
        <v>1637</v>
      </c>
      <c r="M49" s="390" t="s">
        <v>1638</v>
      </c>
      <c r="N49" s="390" t="s">
        <v>1639</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3160</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1635</v>
      </c>
      <c r="K60" s="390" t="s">
        <v>1636</v>
      </c>
      <c r="L60" s="390" t="s">
        <v>1637</v>
      </c>
      <c r="M60" s="390" t="s">
        <v>1638</v>
      </c>
      <c r="N60" s="390" t="s">
        <v>1639</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3160</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1635</v>
      </c>
      <c r="K71" s="390" t="s">
        <v>1636</v>
      </c>
      <c r="L71" s="390" t="s">
        <v>1637</v>
      </c>
      <c r="M71" s="390" t="s">
        <v>1638</v>
      </c>
      <c r="N71" s="390" t="s">
        <v>1639</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f>IF(E2="住宅",SUMIF(L1:L12,G2,N1:N12),"——")</f>
        <v>0.1</v>
      </c>
      <c r="G72" s="733"/>
      <c r="H72" s="736">
        <f t="shared" ref="H72:H80" si="18">IFERROR(ROUNDDOWN($F$72*I72/2,4),"——")</f>
        <v>0.01</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f t="shared" si="18"/>
        <v>1.2999999999999999E-2</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3160</v>
      </c>
      <c r="B74" s="942">
        <f>估价对象房地状况!C19</f>
        <v>0</v>
      </c>
      <c r="C74" s="1519"/>
      <c r="D74" s="735">
        <f t="shared" si="17"/>
        <v>0</v>
      </c>
      <c r="E74" s="520"/>
      <c r="F74" s="1338"/>
      <c r="G74" s="733"/>
      <c r="H74" s="736">
        <f t="shared" si="18"/>
        <v>5.0000000000000001E-3</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f t="shared" si="18"/>
        <v>2.5000000000000001E-3</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f t="shared" si="18"/>
        <v>4.0000000000000001E-3</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f t="shared" si="18"/>
        <v>4.4999999999999997E-3</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f t="shared" si="18"/>
        <v>2.5000000000000001E-3</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f t="shared" si="18"/>
        <v>6.0000000000000001E-3</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f t="shared" si="18"/>
        <v>2.5000000000000001E-3</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1635</v>
      </c>
      <c r="K82" s="390" t="s">
        <v>1636</v>
      </c>
      <c r="L82" s="390" t="s">
        <v>1637</v>
      </c>
      <c r="M82" s="390" t="s">
        <v>1638</v>
      </c>
      <c r="N82" s="390" t="s">
        <v>1639</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3161</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2505</v>
      </c>
      <c r="B91" s="2514">
        <f>1+E93</f>
        <v>1</v>
      </c>
      <c r="C91" s="2507"/>
      <c r="D91" s="2508"/>
      <c r="E91" s="1338"/>
      <c r="F91" s="1338"/>
      <c r="G91" s="2509"/>
      <c r="H91" s="2510"/>
      <c r="I91" s="2511"/>
      <c r="J91" s="2512"/>
      <c r="K91" s="2512"/>
      <c r="L91" s="2512"/>
      <c r="M91" s="2512"/>
      <c r="N91" s="2512"/>
    </row>
    <row r="92" spans="1:37" ht="24.75">
      <c r="A92" s="2515" t="s">
        <v>3162</v>
      </c>
      <c r="B92" s="1892"/>
      <c r="C92" s="1892" t="s">
        <v>3171</v>
      </c>
      <c r="D92" s="1892" t="s">
        <v>3172</v>
      </c>
      <c r="E92" s="2488" t="s">
        <v>3173</v>
      </c>
      <c r="F92" s="2517" t="s">
        <v>3174</v>
      </c>
      <c r="G92" s="1892" t="s">
        <v>3175</v>
      </c>
      <c r="H92" s="2524" t="s">
        <v>3178</v>
      </c>
      <c r="I92" s="1892" t="s">
        <v>3179</v>
      </c>
      <c r="J92" s="1742" t="s">
        <v>3180</v>
      </c>
      <c r="K92" s="1742" t="s">
        <v>3181</v>
      </c>
      <c r="L92" s="1742" t="s">
        <v>3182</v>
      </c>
      <c r="M92" s="1742" t="s">
        <v>3183</v>
      </c>
      <c r="N92" s="1742" t="s">
        <v>3184</v>
      </c>
    </row>
    <row r="93" spans="1:37" ht="24">
      <c r="A93" s="2505" t="s">
        <v>3163</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3164</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3160</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3165</v>
      </c>
      <c r="B96" s="2521" t="s">
        <v>3176</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3166</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3167</v>
      </c>
      <c r="B98" s="2522" t="s">
        <v>3177</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3168</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3169</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3170</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54" t="s">
        <v>3185</v>
      </c>
      <c r="B103" s="4554"/>
      <c r="C103" s="4554"/>
      <c r="D103" s="4554"/>
      <c r="E103" s="4554"/>
      <c r="F103" s="4554"/>
      <c r="G103" s="4554"/>
      <c r="H103" s="4554"/>
      <c r="I103" s="4554"/>
      <c r="J103" s="4554"/>
      <c r="K103" s="1330"/>
      <c r="L103" s="1330"/>
      <c r="M103" s="1330"/>
      <c r="N103" s="1330"/>
    </row>
    <row r="104" spans="1:14">
      <c r="A104" s="4555" t="s">
        <v>3186</v>
      </c>
      <c r="B104" s="4555" t="s">
        <v>3187</v>
      </c>
      <c r="C104" s="2525" t="s">
        <v>3188</v>
      </c>
      <c r="D104" s="2526"/>
      <c r="E104" s="2526"/>
      <c r="F104" s="2526"/>
      <c r="G104" s="2526"/>
      <c r="H104" s="2526"/>
      <c r="I104" s="2526"/>
      <c r="J104" s="2527"/>
      <c r="K104" s="2528"/>
      <c r="L104" s="2528"/>
      <c r="M104" s="2528"/>
      <c r="N104" s="2528"/>
    </row>
    <row r="105" spans="1:14">
      <c r="A105" s="4555"/>
      <c r="B105" s="4555"/>
      <c r="C105" s="2529" t="s">
        <v>3189</v>
      </c>
      <c r="D105" s="2529" t="s">
        <v>3190</v>
      </c>
      <c r="E105" s="2529" t="s">
        <v>3191</v>
      </c>
      <c r="F105" s="2529" t="s">
        <v>3192</v>
      </c>
      <c r="G105" s="2529" t="s">
        <v>3193</v>
      </c>
      <c r="H105" s="2529" t="s">
        <v>3194</v>
      </c>
      <c r="I105" s="2529" t="s">
        <v>3195</v>
      </c>
      <c r="J105" s="2529" t="s">
        <v>3196</v>
      </c>
      <c r="K105" s="2529" t="s">
        <v>3197</v>
      </c>
      <c r="L105" s="2529" t="s">
        <v>3198</v>
      </c>
      <c r="M105" s="2529" t="s">
        <v>3199</v>
      </c>
      <c r="N105" s="2529" t="s">
        <v>3200</v>
      </c>
    </row>
    <row r="106" spans="1:14">
      <c r="A106" s="4545" t="s">
        <v>3201</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6"/>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6"/>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6"/>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6"/>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6"/>
      <c r="B111" s="2529" t="s">
        <v>3159</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7"/>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8" t="s">
        <v>3202</v>
      </c>
      <c r="B113" s="4548"/>
      <c r="C113" s="4548"/>
      <c r="D113" s="4548"/>
      <c r="E113" s="4548"/>
      <c r="F113" s="4548"/>
      <c r="G113" s="4548"/>
      <c r="H113" s="4548"/>
      <c r="I113" s="4548"/>
      <c r="J113" s="4548"/>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3203</v>
      </c>
      <c r="B116" s="2549">
        <f>G3</f>
        <v>2.1</v>
      </c>
      <c r="C116" s="2534" t="s">
        <v>3204</v>
      </c>
      <c r="D116" s="2535">
        <f>SUMPRODUCT((A118:A122=F116)*(B117:M117=H116)*B118:M122)</f>
        <v>0.90659999999999996</v>
      </c>
      <c r="E116" s="68" t="s">
        <v>3205</v>
      </c>
      <c r="F116" s="2536" t="str">
        <f>E2</f>
        <v>住宅</v>
      </c>
      <c r="G116" s="68" t="s">
        <v>3206</v>
      </c>
      <c r="H116" s="2536" t="str">
        <f>G2</f>
        <v>五级</v>
      </c>
      <c r="I116" s="68"/>
      <c r="J116" s="2537"/>
      <c r="K116" s="2537"/>
      <c r="L116" s="2537"/>
      <c r="M116" s="2537"/>
      <c r="N116" s="2532"/>
    </row>
    <row r="117" spans="1:14">
      <c r="A117" s="2538"/>
      <c r="B117" s="2539" t="s">
        <v>3207</v>
      </c>
      <c r="C117" s="2539" t="s">
        <v>3208</v>
      </c>
      <c r="D117" s="2539" t="s">
        <v>3209</v>
      </c>
      <c r="E117" s="2540" t="s">
        <v>3210</v>
      </c>
      <c r="F117" s="2540" t="s">
        <v>3211</v>
      </c>
      <c r="G117" s="2540" t="s">
        <v>3212</v>
      </c>
      <c r="H117" s="2541" t="s">
        <v>3213</v>
      </c>
      <c r="I117" s="2541" t="s">
        <v>3214</v>
      </c>
      <c r="J117" s="2542" t="s">
        <v>3215</v>
      </c>
      <c r="K117" s="2542" t="s">
        <v>3216</v>
      </c>
      <c r="L117" s="2542" t="s">
        <v>3217</v>
      </c>
      <c r="M117" s="2543" t="s">
        <v>3218</v>
      </c>
      <c r="N117" s="2532"/>
    </row>
    <row r="118" spans="1:14">
      <c r="A118" s="2492" t="s">
        <v>3219</v>
      </c>
      <c r="B118" s="2524">
        <f>ROUND(0.9968-0.011*B116,4)</f>
        <v>0.97370000000000001</v>
      </c>
      <c r="C118" s="2524">
        <f>B118</f>
        <v>0.97370000000000001</v>
      </c>
      <c r="D118" s="2524">
        <f>ROUND(0.949-0.014*B116,4)</f>
        <v>0.91959999999999997</v>
      </c>
      <c r="E118" s="2524">
        <f>D118</f>
        <v>0.91959999999999997</v>
      </c>
      <c r="F118" s="2524">
        <f>E118</f>
        <v>0.91959999999999997</v>
      </c>
      <c r="G118" s="2524">
        <f>F118</f>
        <v>0.91959999999999997</v>
      </c>
      <c r="H118" s="2524">
        <f>G118</f>
        <v>0.91959999999999997</v>
      </c>
      <c r="I118" s="2524">
        <f>ROUND(0.8486-0.018*B116,4)</f>
        <v>0.81079999999999997</v>
      </c>
      <c r="J118" s="2524">
        <f t="shared" ref="J118:M122" si="35">I118</f>
        <v>0.81079999999999997</v>
      </c>
      <c r="K118" s="2524">
        <f t="shared" si="35"/>
        <v>0.81079999999999997</v>
      </c>
      <c r="L118" s="2524">
        <f t="shared" si="35"/>
        <v>0.81079999999999997</v>
      </c>
      <c r="M118" s="2544">
        <f t="shared" si="35"/>
        <v>0.81079999999999997</v>
      </c>
      <c r="N118" s="2532"/>
    </row>
    <row r="119" spans="1:14">
      <c r="A119" s="2492" t="s">
        <v>3220</v>
      </c>
      <c r="B119" s="2524">
        <f>ROUND(0.993-0.0112*B116,4)</f>
        <v>0.96950000000000003</v>
      </c>
      <c r="C119" s="2524">
        <f>B119</f>
        <v>0.96950000000000003</v>
      </c>
      <c r="D119" s="2524">
        <f>ROUND(0.9415-0.0142*B116,4)</f>
        <v>0.91169999999999995</v>
      </c>
      <c r="E119" s="2524">
        <f t="shared" ref="E119:H120" si="36">D119</f>
        <v>0.91169999999999995</v>
      </c>
      <c r="F119" s="2524">
        <f t="shared" si="36"/>
        <v>0.91169999999999995</v>
      </c>
      <c r="G119" s="2524">
        <f t="shared" si="36"/>
        <v>0.91169999999999995</v>
      </c>
      <c r="H119" s="2524">
        <f t="shared" si="36"/>
        <v>0.91169999999999995</v>
      </c>
      <c r="I119" s="2524">
        <f>ROUND(0.838-0.0182*B116,4)</f>
        <v>0.79979999999999996</v>
      </c>
      <c r="J119" s="2524">
        <f t="shared" si="35"/>
        <v>0.79979999999999996</v>
      </c>
      <c r="K119" s="2524">
        <f t="shared" si="35"/>
        <v>0.79979999999999996</v>
      </c>
      <c r="L119" s="2524">
        <f t="shared" si="35"/>
        <v>0.79979999999999996</v>
      </c>
      <c r="M119" s="2544">
        <f t="shared" si="35"/>
        <v>0.79979999999999996</v>
      </c>
      <c r="N119" s="2532"/>
    </row>
    <row r="120" spans="1:14">
      <c r="A120" s="2492" t="s">
        <v>3221</v>
      </c>
      <c r="B120" s="2524">
        <f>ROUND(0.9448-0.0115*B116,4)</f>
        <v>0.92069999999999996</v>
      </c>
      <c r="C120" s="2524">
        <f>B120</f>
        <v>0.92069999999999996</v>
      </c>
      <c r="D120" s="2524">
        <f>ROUND(0.937-0.0145*B116,4)</f>
        <v>0.90659999999999996</v>
      </c>
      <c r="E120" s="2524">
        <f t="shared" si="36"/>
        <v>0.90659999999999996</v>
      </c>
      <c r="F120" s="2524">
        <f t="shared" si="36"/>
        <v>0.90659999999999996</v>
      </c>
      <c r="G120" s="2524">
        <f t="shared" si="36"/>
        <v>0.90659999999999996</v>
      </c>
      <c r="H120" s="2524">
        <f t="shared" si="36"/>
        <v>0.90659999999999996</v>
      </c>
      <c r="I120" s="2524">
        <f>ROUND(0.7965-0.0185*B116,4)</f>
        <v>0.75770000000000004</v>
      </c>
      <c r="J120" s="2524">
        <f t="shared" si="35"/>
        <v>0.75770000000000004</v>
      </c>
      <c r="K120" s="2524">
        <f t="shared" si="35"/>
        <v>0.75770000000000004</v>
      </c>
      <c r="L120" s="2524">
        <f t="shared" si="35"/>
        <v>0.75770000000000004</v>
      </c>
      <c r="M120" s="2544">
        <f t="shared" si="35"/>
        <v>0.75770000000000004</v>
      </c>
      <c r="N120" s="2532"/>
    </row>
    <row r="121" spans="1:14" ht="13.5" thickBot="1">
      <c r="A121" s="2545" t="s">
        <v>3222</v>
      </c>
      <c r="B121" s="2546">
        <f>ROUND(0.7836-0.012*B116,4)</f>
        <v>0.75839999999999996</v>
      </c>
      <c r="C121" s="2546">
        <f>B121</f>
        <v>0.75839999999999996</v>
      </c>
      <c r="D121" s="2546">
        <f>ROUND(0.753-0.015*B116,4)</f>
        <v>0.72150000000000003</v>
      </c>
      <c r="E121" s="2546">
        <f>D121</f>
        <v>0.72150000000000003</v>
      </c>
      <c r="F121" s="2546">
        <f>E121</f>
        <v>0.72150000000000003</v>
      </c>
      <c r="G121" s="2546">
        <f>ROUND(0.6612-0.018*B116,4)</f>
        <v>0.62339999999999995</v>
      </c>
      <c r="H121" s="2546">
        <f>G121</f>
        <v>0.62339999999999995</v>
      </c>
      <c r="I121" s="2546">
        <f>ROUND(0.5905-0.019*B116,4)</f>
        <v>0.55059999999999998</v>
      </c>
      <c r="J121" s="2546">
        <f t="shared" si="35"/>
        <v>0.55059999999999998</v>
      </c>
      <c r="K121" s="2546">
        <f t="shared" si="35"/>
        <v>0.55059999999999998</v>
      </c>
      <c r="L121" s="2546">
        <f t="shared" si="35"/>
        <v>0.55059999999999998</v>
      </c>
      <c r="M121" s="2547">
        <f t="shared" si="35"/>
        <v>0.55059999999999998</v>
      </c>
      <c r="N121" s="2532"/>
    </row>
    <row r="122" spans="1:14">
      <c r="A122" s="2548" t="s">
        <v>2505</v>
      </c>
      <c r="B122" s="2524">
        <f>ROUND(0.9404-0.0106*B116,4)</f>
        <v>0.91810000000000003</v>
      </c>
      <c r="C122" s="2524">
        <f>B122</f>
        <v>0.91810000000000003</v>
      </c>
      <c r="D122" s="2524">
        <f>ROUND(0.8955-0.0135*B116,4)</f>
        <v>0.86719999999999997</v>
      </c>
      <c r="E122" s="2524">
        <f t="shared" ref="E122:H122" si="37">D122</f>
        <v>0.86719999999999997</v>
      </c>
      <c r="F122" s="2524">
        <f t="shared" si="37"/>
        <v>0.86719999999999997</v>
      </c>
      <c r="G122" s="2524">
        <f t="shared" si="37"/>
        <v>0.86719999999999997</v>
      </c>
      <c r="H122" s="2524">
        <f t="shared" si="37"/>
        <v>0.86719999999999997</v>
      </c>
      <c r="I122" s="2524">
        <f>ROUND(0.7632-0.0166*B116,4)</f>
        <v>0.72829999999999995</v>
      </c>
      <c r="J122" s="2524">
        <f t="shared" si="35"/>
        <v>0.72829999999999995</v>
      </c>
      <c r="K122" s="2524">
        <f t="shared" si="35"/>
        <v>0.72829999999999995</v>
      </c>
      <c r="L122" s="2524">
        <f t="shared" si="35"/>
        <v>0.72829999999999995</v>
      </c>
      <c r="M122" s="2544">
        <f t="shared" si="35"/>
        <v>0.72829999999999995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A00-000000000000}">
      <formula1>"500米范围内,500-1000米,1000米以外"</formula1>
    </dataValidation>
    <dataValidation type="list" allowBlank="1" showInputMessage="1" showErrorMessage="1" sqref="C15:D15" xr:uid="{00000000-0002-0000-2A00-000001000000}">
      <formula1>"有,无"</formula1>
    </dataValidation>
    <dataValidation type="list" allowBlank="1" showInputMessage="1" showErrorMessage="1" sqref="B25" xr:uid="{00000000-0002-0000-2A00-000002000000}">
      <formula1>"容积率修正,楼层修正"</formula1>
    </dataValidation>
    <dataValidation type="list" allowBlank="1" showInputMessage="1" showErrorMessage="1" sqref="F21" xr:uid="{00000000-0002-0000-2A00-000003000000}">
      <formula1>"与级别开发程度一致,与级别开发程度不一致"</formula1>
    </dataValidation>
    <dataValidation type="list" allowBlank="1" showInputMessage="1" showErrorMessage="1" sqref="F3" xr:uid="{00000000-0002-0000-2A00-000004000000}">
      <formula1>"宗地容积率,估价对象容积率,自定义容积率"</formula1>
    </dataValidation>
    <dataValidation type="list" allowBlank="1" showInputMessage="1" showErrorMessage="1" sqref="C8" xr:uid="{00000000-0002-0000-2A00-000005000000}">
      <formula1>商业街名称</formula1>
    </dataValidation>
    <dataValidation type="list" allowBlank="1" showInputMessage="1" showErrorMessage="1" sqref="E3" xr:uid="{00000000-0002-0000-2A00-000006000000}">
      <formula1>INDIRECT(E2)</formula1>
    </dataValidation>
    <dataValidation type="list" allowBlank="1" showInputMessage="1" showErrorMessage="1" sqref="C61:C69 C72:C80 C50:C58 C83:C91 C93:C101" xr:uid="{00000000-0002-0000-2A00-000007000000}">
      <formula1>五等判定</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H20:O20" xr:uid="{00000000-0002-0000-2A00-000009000000}">
      <formula1>七通一平</formula1>
    </dataValidation>
    <dataValidation type="list" allowBlank="1" showInputMessage="1" showErrorMessage="1" sqref="J23" xr:uid="{00000000-0002-0000-2A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3538</v>
      </c>
      <c r="B1" s="47"/>
      <c r="C1" s="818"/>
      <c r="D1" s="817"/>
      <c r="E1" s="2098"/>
      <c r="F1" s="2098"/>
      <c r="G1" s="1982"/>
      <c r="H1" s="2098"/>
      <c r="I1" s="2098"/>
      <c r="J1" s="2098"/>
      <c r="K1" s="2099">
        <f>MATCH(C1,'数据-取费表'!A6:A16,0)+5</f>
        <v>9</v>
      </c>
    </row>
    <row r="2" spans="1:33" ht="18" customHeight="1">
      <c r="A2" s="97" t="s">
        <v>1433</v>
      </c>
      <c r="B2" s="2611">
        <f ca="1">C34</f>
        <v>-24179</v>
      </c>
      <c r="C2" s="172" t="s">
        <v>1536</v>
      </c>
      <c r="D2" s="172"/>
      <c r="E2" s="2098"/>
      <c r="F2" s="2098"/>
      <c r="G2" s="2098"/>
      <c r="H2" s="2098"/>
      <c r="I2" s="2098"/>
      <c r="J2" s="2098"/>
      <c r="K2" s="2098"/>
    </row>
    <row r="3" spans="1:33" ht="18" customHeight="1">
      <c r="A3" s="99" t="s">
        <v>1435</v>
      </c>
      <c r="B3" s="2611">
        <f ca="1">ROUND(B2*10000/IF(C1="",'数据-汇总表'!E3,INDIRECT("'数据-取费表'!K"&amp;$K$1)),0)</f>
        <v>-9684</v>
      </c>
      <c r="C3" s="172" t="s">
        <v>1537</v>
      </c>
      <c r="D3" s="172"/>
      <c r="E3" s="2098"/>
      <c r="F3" s="2098"/>
      <c r="G3" s="2098"/>
      <c r="H3" s="2098"/>
      <c r="I3" s="2098"/>
      <c r="J3" s="2098"/>
      <c r="K3" s="2098"/>
    </row>
    <row r="4" spans="1:33" ht="18" customHeight="1">
      <c r="A4" s="3574" t="s">
        <v>3653</v>
      </c>
      <c r="B4" s="2610">
        <f ca="1">ROUND(B2*10000/IF(C1="",'数据-汇总表'!D3,INDIRECT("'数据-取费表'!R"&amp;$K$1)),0)</f>
        <v>-31319</v>
      </c>
      <c r="C4" s="1373" t="s">
        <v>3655</v>
      </c>
      <c r="D4" s="172"/>
      <c r="E4" s="2098"/>
      <c r="F4" s="2098"/>
      <c r="G4" s="2098"/>
      <c r="H4" s="2098"/>
      <c r="I4" s="2098"/>
      <c r="J4" s="2098"/>
      <c r="K4" s="2098"/>
    </row>
    <row r="5" spans="1:33" ht="18" customHeight="1" thickBot="1">
      <c r="A5" s="95"/>
      <c r="B5" s="3583">
        <f ca="1">ROUND(B2/(IF(C1="",'数据-汇总表'!D3,INDIRECT("'数据-取费表'!R"&amp;$K$1))/666.67),0)</f>
        <v>-2088</v>
      </c>
      <c r="C5" s="3577" t="s">
        <v>3654</v>
      </c>
      <c r="D5" s="172"/>
      <c r="E5" s="2098"/>
      <c r="F5" s="2098"/>
      <c r="G5" s="2098"/>
      <c r="H5" s="2098"/>
      <c r="I5" s="2098"/>
      <c r="J5" s="2098"/>
      <c r="K5" s="2098"/>
    </row>
    <row r="6" spans="1:33" s="543" customFormat="1" ht="16.5" customHeight="1">
      <c r="A6" s="2754" t="s">
        <v>3542</v>
      </c>
      <c r="B6" s="2753"/>
      <c r="C6" s="4431" t="s">
        <v>3389</v>
      </c>
      <c r="D6" s="4431"/>
      <c r="E6" s="4431"/>
      <c r="F6" s="4431"/>
      <c r="G6" s="4431"/>
      <c r="H6" s="4431"/>
      <c r="I6" s="4431"/>
      <c r="J6" s="4431"/>
      <c r="K6" s="4432"/>
    </row>
    <row r="7" spans="1:33" s="546" customFormat="1" ht="15">
      <c r="A7" s="2580" t="s">
        <v>1538</v>
      </c>
      <c r="B7" s="2761" t="s">
        <v>1539</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3386</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0" t="s">
        <v>3543</v>
      </c>
      <c r="B11" s="4561"/>
      <c r="C11" s="4561"/>
      <c r="D11" s="4561"/>
      <c r="E11" s="4561"/>
      <c r="F11" s="4561"/>
      <c r="G11" s="4561"/>
      <c r="H11" s="4561"/>
      <c r="I11" s="4561"/>
      <c r="J11" s="4561"/>
      <c r="K11" s="4562"/>
    </row>
    <row r="12" spans="1:33" s="549" customFormat="1" ht="13.5" customHeight="1">
      <c r="A12" s="3392" t="s">
        <v>3532</v>
      </c>
      <c r="B12" s="2778" t="s">
        <v>1544</v>
      </c>
      <c r="C12" s="2779" t="s">
        <v>1545</v>
      </c>
      <c r="D12" s="1201" t="s">
        <v>1546</v>
      </c>
      <c r="E12" s="1201" t="s">
        <v>1547</v>
      </c>
      <c r="F12" s="1201" t="s">
        <v>1548</v>
      </c>
      <c r="G12" s="3546" t="s">
        <v>3413</v>
      </c>
      <c r="H12" s="3547"/>
      <c r="I12" s="3547"/>
      <c r="J12" s="3547"/>
      <c r="K12" s="3548"/>
    </row>
    <row r="13" spans="1:33" s="549" customFormat="1" ht="13.5" customHeight="1">
      <c r="A13" s="2580">
        <v>1</v>
      </c>
      <c r="B13" s="2781" t="s">
        <v>3544</v>
      </c>
      <c r="C13" s="2765">
        <f>SUM(C10:K10)</f>
        <v>0</v>
      </c>
      <c r="D13" s="548"/>
      <c r="E13" s="548"/>
      <c r="F13" s="3406"/>
      <c r="G13" s="3535"/>
      <c r="H13" s="3534"/>
      <c r="I13" s="3534"/>
      <c r="J13" s="3534"/>
      <c r="K13" s="3549"/>
    </row>
    <row r="14" spans="1:33" s="549" customFormat="1" ht="13.5" customHeight="1">
      <c r="A14" s="2580">
        <v>2</v>
      </c>
      <c r="B14" s="2782" t="s">
        <v>3647</v>
      </c>
      <c r="C14" s="2765">
        <v>0</v>
      </c>
      <c r="D14" s="2782"/>
      <c r="E14" s="2782"/>
      <c r="F14" s="2686">
        <v>0</v>
      </c>
      <c r="G14" s="3742" t="s">
        <v>3698</v>
      </c>
      <c r="H14" s="3534"/>
      <c r="I14" s="3534"/>
      <c r="J14" s="3534"/>
      <c r="K14" s="3549"/>
    </row>
    <row r="15" spans="1:33" s="551" customFormat="1" ht="13.5" customHeight="1">
      <c r="A15" s="2580">
        <v>3</v>
      </c>
      <c r="B15" s="558" t="s">
        <v>3617</v>
      </c>
      <c r="C15" s="2622">
        <f ca="1">C32-C33</f>
        <v>24179</v>
      </c>
      <c r="D15" s="558"/>
      <c r="E15" s="174"/>
      <c r="F15" s="3407"/>
      <c r="G15" s="3536" t="s">
        <v>3562</v>
      </c>
      <c r="H15" s="554"/>
      <c r="I15" s="554"/>
      <c r="J15" s="554"/>
      <c r="K15" s="555"/>
    </row>
    <row r="16" spans="1:33" s="551" customFormat="1" ht="13.5" customHeight="1">
      <c r="A16" s="3550" t="s">
        <v>3612</v>
      </c>
      <c r="B16" s="3411" t="s">
        <v>3545</v>
      </c>
      <c r="C16" s="3412">
        <f ca="1">SUM(C17:C22)</f>
        <v>20820</v>
      </c>
      <c r="D16" s="3411"/>
      <c r="E16" s="3411"/>
      <c r="F16" s="3413"/>
      <c r="G16" s="2728"/>
      <c r="H16" s="3534"/>
      <c r="I16" s="3534"/>
      <c r="J16" s="3534"/>
      <c r="K16" s="3549"/>
    </row>
    <row r="17" spans="1:33" s="551" customFormat="1" ht="13.5" customHeight="1">
      <c r="A17" s="3551" t="s">
        <v>3563</v>
      </c>
      <c r="B17" s="3398" t="s">
        <v>3550</v>
      </c>
      <c r="C17" s="2588">
        <f ca="1">IF(C1="",'数据-取费表'!M16,INDIRECT("'数据-取费表'!M"&amp;$K$1)+INDIRECT("'数据-取费表'!ap"&amp;$K$1))</f>
        <v>18593</v>
      </c>
      <c r="D17" s="3414"/>
      <c r="E17" s="3415"/>
      <c r="F17" s="3427"/>
      <c r="G17" s="3537"/>
      <c r="H17" s="3534"/>
      <c r="I17" s="3534"/>
      <c r="J17" s="3534"/>
      <c r="K17" s="3549"/>
    </row>
    <row r="18" spans="1:33" s="551" customFormat="1" ht="13.5" customHeight="1">
      <c r="A18" s="3551" t="s">
        <v>3551</v>
      </c>
      <c r="B18" s="3399" t="s">
        <v>3552</v>
      </c>
      <c r="C18" s="2588">
        <f ca="1">ROUND(C17*F18,0)</f>
        <v>465</v>
      </c>
      <c r="D18" s="3411"/>
      <c r="E18" s="3411"/>
      <c r="F18" s="3428">
        <f>'数据-取费表'!B33</f>
        <v>2.5000000000000001E-2</v>
      </c>
      <c r="G18" s="2728"/>
      <c r="H18" s="3534"/>
      <c r="I18" s="3534"/>
      <c r="J18" s="3534"/>
      <c r="K18" s="3549"/>
    </row>
    <row r="19" spans="1:33" s="551" customFormat="1" ht="13.5" customHeight="1">
      <c r="A19" s="3551" t="s">
        <v>3564</v>
      </c>
      <c r="B19" s="3400" t="s">
        <v>3520</v>
      </c>
      <c r="C19" s="2588">
        <f ca="1">ROUND(IF(C1="",SUMIF('数据-取费表'!C:C,"住宅",'数据-取费表'!M:M)*F19,IF(INDIRECT("'数据-取费表'!c"&amp;$K$1)="住宅",INDIRECT("'数据-取费表'!M"&amp;$K$1)*F19,0)),0)</f>
        <v>324</v>
      </c>
      <c r="D19" s="3416"/>
      <c r="E19" s="3416"/>
      <c r="F19" s="3428">
        <f>'数据-取费表'!B34</f>
        <v>0.03</v>
      </c>
      <c r="G19" s="2584"/>
      <c r="H19" s="3534"/>
      <c r="I19" s="3534"/>
      <c r="J19" s="3534"/>
      <c r="K19" s="3549"/>
    </row>
    <row r="20" spans="1:33" s="551" customFormat="1" ht="13.5" customHeight="1">
      <c r="A20" s="3551" t="s">
        <v>3565</v>
      </c>
      <c r="B20" s="3400" t="s">
        <v>3573</v>
      </c>
      <c r="C20" s="2588">
        <f ca="1">ROUND(D20*E20/10000,0)</f>
        <v>899</v>
      </c>
      <c r="D20" s="3409">
        <f ca="1">IF(C1="",'数据-汇总表'!E3,INDIRECT("'数据-取费表'!K"&amp;$K$1)+INDIRECT("'数据-取费表'!S"&amp;$K$1))</f>
        <v>24968.190000000002</v>
      </c>
      <c r="E20" s="3410">
        <f>'数据-取费表'!B35</f>
        <v>360</v>
      </c>
      <c r="F20" s="3409"/>
      <c r="G20" s="2584"/>
      <c r="H20" s="3534"/>
      <c r="I20" s="3534"/>
      <c r="J20" s="554"/>
      <c r="K20" s="555"/>
    </row>
    <row r="21" spans="1:33" s="551" customFormat="1" ht="13.5" customHeight="1">
      <c r="A21" s="3551" t="s">
        <v>3566</v>
      </c>
      <c r="B21" s="3401" t="s">
        <v>3523</v>
      </c>
      <c r="C21" s="2588">
        <f ca="1">ROUND(C17*F21,0)</f>
        <v>242</v>
      </c>
      <c r="D21" s="3416"/>
      <c r="E21" s="3416"/>
      <c r="F21" s="3428">
        <f>'数据-取费表'!B36</f>
        <v>1.2999999999999999E-2</v>
      </c>
      <c r="G21" s="2584"/>
      <c r="H21" s="556"/>
      <c r="I21" s="556"/>
      <c r="J21" s="556"/>
      <c r="K21" s="3552"/>
    </row>
    <row r="22" spans="1:33" s="551" customFormat="1" ht="13.5" customHeight="1">
      <c r="A22" s="3551" t="s">
        <v>3567</v>
      </c>
      <c r="B22" s="3401" t="s">
        <v>3574</v>
      </c>
      <c r="C22" s="2588">
        <f ca="1">ROUND(C17*F22,0)</f>
        <v>297</v>
      </c>
      <c r="D22" s="3416"/>
      <c r="E22" s="3416"/>
      <c r="F22" s="3428">
        <f>'数据-取费表'!B37</f>
        <v>1.6E-2</v>
      </c>
      <c r="G22" s="2584"/>
      <c r="H22" s="556"/>
      <c r="I22" s="556"/>
      <c r="J22" s="556"/>
      <c r="K22" s="3552"/>
    </row>
    <row r="23" spans="1:33" s="552" customFormat="1" ht="13.5" customHeight="1">
      <c r="A23" s="3550" t="s">
        <v>3613</v>
      </c>
      <c r="B23" s="3411" t="s">
        <v>3509</v>
      </c>
      <c r="C23" s="2593">
        <f ca="1">ROUND(C16*F23,0)</f>
        <v>416</v>
      </c>
      <c r="D23" s="3417"/>
      <c r="E23" s="3417"/>
      <c r="F23" s="3429">
        <f>'数据-取费表'!B38</f>
        <v>0.02</v>
      </c>
      <c r="G23" s="2596" t="s">
        <v>3546</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3614</v>
      </c>
      <c r="B24" s="3411" t="s">
        <v>3553</v>
      </c>
      <c r="C24" s="2593" t="str">
        <f>F24&amp;"V建"</f>
        <v>0.03V建</v>
      </c>
      <c r="D24" s="3417"/>
      <c r="E24" s="3417"/>
      <c r="F24" s="3429">
        <f>'数据-取费表'!B39</f>
        <v>0.03</v>
      </c>
      <c r="G24" s="2596" t="s">
        <v>3547</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3615</v>
      </c>
      <c r="B25" s="3411" t="s">
        <v>3432</v>
      </c>
      <c r="C25" s="3418" t="str">
        <f ca="1">C26&amp;"+"&amp;C27&amp;"V建"</f>
        <v>665+0.0006V建</v>
      </c>
      <c r="D25" s="3419"/>
      <c r="E25" s="3419"/>
      <c r="F25" s="3428">
        <f ca="1">'数据-取费表'!B41</f>
        <v>3.1300000000000001E-2</v>
      </c>
      <c r="G25" s="3538" t="s">
        <v>3554</v>
      </c>
      <c r="H25" s="3539"/>
      <c r="I25" s="3539"/>
      <c r="J25" s="3539"/>
      <c r="K25" s="3553"/>
    </row>
    <row r="26" spans="1:33" s="552" customFormat="1" ht="13.5" customHeight="1">
      <c r="A26" s="3551" t="s">
        <v>3555</v>
      </c>
      <c r="B26" s="3401" t="s">
        <v>3578</v>
      </c>
      <c r="C26" s="3418">
        <f ca="1">ROUND(IF('数据-取费表'!B20&lt;=1,(C16+C23)*F25*'数据-取费表'!B20/2,(C23+C16)*(POWER((1+F25),'数据-取费表'!B20/2)-1)),0)</f>
        <v>665</v>
      </c>
      <c r="D26" s="3419"/>
      <c r="E26" s="3419"/>
      <c r="F26" s="3409"/>
      <c r="G26" s="3538" t="s">
        <v>3556</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3557</v>
      </c>
      <c r="B27" s="3401" t="s">
        <v>3579</v>
      </c>
      <c r="C27" s="3420">
        <f>ROUND(IF('数据-取费表'!B20&lt;=1,F24*F25*'数据-取费表'!B20/2,F24*(POWER((1+F23),'数据-取费表'!B20/2)-1)),4)</f>
        <v>5.9999999999999995E-4</v>
      </c>
      <c r="D27" s="3196"/>
      <c r="E27" s="3196"/>
      <c r="F27" s="3427"/>
      <c r="G27" s="3540"/>
      <c r="H27" s="3534"/>
      <c r="I27" s="3534"/>
      <c r="J27" s="3534"/>
      <c r="K27" s="3549"/>
    </row>
    <row r="28" spans="1:33" s="551" customFormat="1" ht="13.5" customHeight="1">
      <c r="A28" s="3550" t="s">
        <v>3558</v>
      </c>
      <c r="B28" s="3411" t="s">
        <v>3575</v>
      </c>
      <c r="C28" s="2751" t="str">
        <f ca="1">C29&amp;"+"&amp;C30&amp;"V建"</f>
        <v>1487+0.0021V建</v>
      </c>
      <c r="D28" s="1048"/>
      <c r="E28" s="1048"/>
      <c r="F28" s="3430">
        <f ca="1">IF(C1="",'数据-取费表'!Q16,INDIRECT("'数据-取费表'!q"&amp;$K$1))</f>
        <v>7.0000000000000007E-2</v>
      </c>
      <c r="G28" s="4563" t="s">
        <v>3559</v>
      </c>
      <c r="H28" s="3534"/>
      <c r="I28" s="3534"/>
      <c r="J28" s="3534"/>
      <c r="K28" s="3549"/>
    </row>
    <row r="29" spans="1:33" s="551" customFormat="1" ht="13.5" customHeight="1">
      <c r="A29" s="3551" t="s">
        <v>3571</v>
      </c>
      <c r="B29" s="3401" t="s">
        <v>3576</v>
      </c>
      <c r="C29" s="2752">
        <f ca="1">ROUND((C16+C23)*F28,0)</f>
        <v>1487</v>
      </c>
      <c r="D29" s="1048"/>
      <c r="E29" s="1048"/>
      <c r="F29" s="2832"/>
      <c r="G29" s="4563"/>
      <c r="H29" s="3541"/>
      <c r="I29" s="3541"/>
      <c r="J29" s="3541"/>
      <c r="K29" s="3554"/>
    </row>
    <row r="30" spans="1:33" s="559" customFormat="1" ht="13.5" customHeight="1">
      <c r="A30" s="3551" t="s">
        <v>3572</v>
      </c>
      <c r="B30" s="3401" t="s">
        <v>3577</v>
      </c>
      <c r="C30" s="2588">
        <f ca="1">ROUND(F24*F28,4)</f>
        <v>2.0999999999999999E-3</v>
      </c>
      <c r="D30" s="3421"/>
      <c r="E30" s="3419"/>
      <c r="F30" s="3409"/>
      <c r="G30" s="3542"/>
      <c r="H30" s="554"/>
      <c r="I30" s="554"/>
      <c r="J30" s="554"/>
      <c r="K30" s="555"/>
    </row>
    <row r="31" spans="1:33" s="559" customFormat="1" ht="13.5" customHeight="1">
      <c r="A31" s="3550" t="s">
        <v>3568</v>
      </c>
      <c r="B31" s="3411" t="s">
        <v>3580</v>
      </c>
      <c r="C31" s="2588">
        <v>0</v>
      </c>
      <c r="D31" s="3422"/>
      <c r="E31" s="3423"/>
      <c r="F31" s="3409"/>
      <c r="G31" s="3543" t="s">
        <v>3548</v>
      </c>
      <c r="H31" s="554"/>
      <c r="I31" s="554"/>
      <c r="J31" s="554"/>
      <c r="K31" s="555"/>
    </row>
    <row r="32" spans="1:33" s="551" customFormat="1" ht="13.5" customHeight="1">
      <c r="A32" s="3550" t="s">
        <v>3569</v>
      </c>
      <c r="B32" s="3411" t="s">
        <v>3616</v>
      </c>
      <c r="C32" s="3412">
        <f ca="1">ROUND((C16+C23+C26+C29)/(1-F24-C27-C30),0)</f>
        <v>24179</v>
      </c>
      <c r="D32" s="3422"/>
      <c r="E32" s="3423"/>
      <c r="F32" s="3409"/>
      <c r="G32" s="3544" t="s">
        <v>3549</v>
      </c>
      <c r="H32" s="3545"/>
      <c r="I32" s="3545"/>
      <c r="J32" s="3545"/>
      <c r="K32" s="3555"/>
    </row>
    <row r="33" spans="1:11" s="177" customFormat="1" ht="13.5" customHeight="1">
      <c r="A33" s="3550" t="s">
        <v>3570</v>
      </c>
      <c r="B33" s="3424" t="s">
        <v>3560</v>
      </c>
      <c r="C33" s="3425">
        <f ca="1">ROUND(C32*(1-F33),0)</f>
        <v>0</v>
      </c>
      <c r="D33" s="3426"/>
      <c r="E33" s="3196"/>
      <c r="F33" s="3429">
        <f>IF('数据-取费表'!B24=0,'数据-取费表'!N16,1)</f>
        <v>1</v>
      </c>
      <c r="G33" s="3536" t="s">
        <v>3561</v>
      </c>
      <c r="H33" s="3541"/>
      <c r="I33" s="3541"/>
      <c r="J33" s="3541"/>
      <c r="K33" s="3554"/>
    </row>
    <row r="34" spans="1:11" s="549" customFormat="1" ht="15.75" thickBot="1">
      <c r="A34" s="3556">
        <v>4</v>
      </c>
      <c r="B34" s="3557" t="s">
        <v>3618</v>
      </c>
      <c r="C34" s="3558">
        <f ca="1">C13-C15</f>
        <v>-24179</v>
      </c>
      <c r="D34" s="3557"/>
      <c r="E34" s="3557"/>
      <c r="F34" s="3559"/>
      <c r="G34" s="3560" t="s">
        <v>3646</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B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3539</v>
      </c>
      <c r="B1" s="3405"/>
      <c r="C1" s="2952"/>
      <c r="D1" s="94"/>
      <c r="E1" s="94"/>
      <c r="F1" s="94"/>
      <c r="G1" s="789">
        <f>MATCH(C1,'数据-取费表'!A6:A16,0)+5</f>
        <v>9</v>
      </c>
    </row>
    <row r="2" spans="1:7" s="96" customFormat="1" ht="15.75">
      <c r="A2" s="97" t="s">
        <v>1433</v>
      </c>
      <c r="B2" s="2610">
        <f ca="1">C34</f>
        <v>1261</v>
      </c>
      <c r="C2" s="95" t="s">
        <v>1434</v>
      </c>
      <c r="D2" s="95"/>
      <c r="E2" s="2597"/>
      <c r="F2" s="95"/>
      <c r="G2" s="95"/>
    </row>
    <row r="3" spans="1:7" s="96" customFormat="1" ht="15.75">
      <c r="A3" s="99" t="s">
        <v>1435</v>
      </c>
      <c r="B3" s="2611">
        <f ca="1">ROUND(B2*10000/(IF(C1="",'数据-汇总表'!E3,INDIRECT("'数据-取费表'!k"&amp;$G$1))),0)</f>
        <v>505</v>
      </c>
      <c r="C3" s="95" t="s">
        <v>1436</v>
      </c>
      <c r="D3" s="95"/>
      <c r="E3" s="2597"/>
      <c r="F3" s="95"/>
      <c r="G3" s="95"/>
    </row>
    <row r="4" spans="1:7" s="96" customFormat="1" ht="15.75">
      <c r="A4" s="3574" t="s">
        <v>3653</v>
      </c>
      <c r="B4" s="2610">
        <f ca="1">ROUND(B2*10000/'数据-汇总表'!D3,0)</f>
        <v>1633</v>
      </c>
      <c r="C4" s="97" t="s">
        <v>3655</v>
      </c>
      <c r="D4" s="95"/>
      <c r="E4" s="2597"/>
      <c r="F4" s="95"/>
      <c r="G4" s="95"/>
    </row>
    <row r="5" spans="1:7" s="96" customFormat="1" ht="16.5" thickBot="1">
      <c r="A5" s="95"/>
      <c r="B5" s="3583">
        <f ca="1">ROUND(B2/('数据-汇总表'!D3/666.67),0)</f>
        <v>109</v>
      </c>
      <c r="C5" s="3568" t="s">
        <v>3654</v>
      </c>
      <c r="D5" s="95"/>
      <c r="E5" s="2597"/>
      <c r="F5" s="95"/>
      <c r="G5" s="95"/>
    </row>
    <row r="6" spans="1:7" s="96" customFormat="1" ht="15.75">
      <c r="A6" s="3449" t="s">
        <v>3334</v>
      </c>
      <c r="B6" s="3450" t="s">
        <v>3335</v>
      </c>
      <c r="C6" s="3451" t="s">
        <v>3336</v>
      </c>
      <c r="D6" s="3452" t="s">
        <v>3342</v>
      </c>
      <c r="E6" s="3453" t="s">
        <v>3343</v>
      </c>
      <c r="F6" s="3453" t="s">
        <v>3344</v>
      </c>
      <c r="G6" s="3454" t="s">
        <v>3337</v>
      </c>
    </row>
    <row r="7" spans="1:7" s="104" customFormat="1" ht="15.75">
      <c r="A7" s="3455" t="s">
        <v>3333</v>
      </c>
      <c r="B7" s="2590" t="s">
        <v>3598</v>
      </c>
      <c r="C7" s="2613">
        <f>IF(G7="征收国有地",C8,IF(G7="征收集体地",C11,C17))</f>
        <v>0</v>
      </c>
      <c r="D7" s="3437"/>
      <c r="E7" s="3437"/>
      <c r="F7" s="3437"/>
      <c r="G7" s="3516"/>
    </row>
    <row r="8" spans="1:7" s="110" customFormat="1">
      <c r="A8" s="3456" t="s">
        <v>3622</v>
      </c>
      <c r="B8" s="3444" t="s">
        <v>3593</v>
      </c>
      <c r="C8" s="2650">
        <f>C9+C10</f>
        <v>0</v>
      </c>
      <c r="D8" s="3403"/>
      <c r="E8" s="3403"/>
      <c r="F8" s="3403"/>
      <c r="G8" s="3435"/>
    </row>
    <row r="9" spans="1:7" s="110" customFormat="1">
      <c r="A9" s="2671" t="s">
        <v>1453</v>
      </c>
      <c r="B9" s="125" t="s">
        <v>3581</v>
      </c>
      <c r="C9" s="3595">
        <f>ROUND(D9*E9/10000,0)</f>
        <v>0</v>
      </c>
      <c r="D9" s="3433"/>
      <c r="E9" s="3433"/>
      <c r="F9" s="3403"/>
      <c r="G9" s="3457"/>
    </row>
    <row r="10" spans="1:7" s="110" customFormat="1">
      <c r="A10" s="2671" t="s">
        <v>1456</v>
      </c>
      <c r="B10" s="125" t="s">
        <v>3582</v>
      </c>
      <c r="C10" s="3595">
        <f>ROUND(D10*E10/10000,0)</f>
        <v>0</v>
      </c>
      <c r="D10" s="3433"/>
      <c r="E10" s="3433"/>
      <c r="F10" s="3403"/>
      <c r="G10" s="3457"/>
    </row>
    <row r="11" spans="1:7" s="110" customFormat="1" ht="13.5">
      <c r="A11" s="3404" t="s">
        <v>3604</v>
      </c>
      <c r="B11" s="3511" t="s">
        <v>3594</v>
      </c>
      <c r="C11" s="137">
        <f>C12+C15+C16</f>
        <v>0</v>
      </c>
      <c r="D11" s="3403"/>
      <c r="E11" s="3403"/>
      <c r="F11" s="3403"/>
      <c r="G11" s="3457"/>
    </row>
    <row r="12" spans="1:7" s="110" customFormat="1">
      <c r="A12" s="2671" t="s">
        <v>1453</v>
      </c>
      <c r="B12" s="125" t="s">
        <v>3583</v>
      </c>
      <c r="C12" s="125">
        <f>C13+C14</f>
        <v>0</v>
      </c>
      <c r="D12" s="1031"/>
      <c r="E12" s="1031"/>
      <c r="F12" s="3403"/>
      <c r="G12" s="3458" t="s">
        <v>3584</v>
      </c>
    </row>
    <row r="13" spans="1:7" s="110" customFormat="1">
      <c r="A13" s="3512" t="s">
        <v>3606</v>
      </c>
      <c r="B13" s="3513" t="s">
        <v>3605</v>
      </c>
      <c r="C13" s="3595">
        <f>ROUND(D13*E13/10000,0)</f>
        <v>0</v>
      </c>
      <c r="D13" s="3433"/>
      <c r="E13" s="3433"/>
      <c r="F13" s="3403"/>
      <c r="G13" s="3459" t="s">
        <v>3686</v>
      </c>
    </row>
    <row r="14" spans="1:7" s="110" customFormat="1">
      <c r="A14" s="3512" t="s">
        <v>3608</v>
      </c>
      <c r="B14" s="3513" t="s">
        <v>3607</v>
      </c>
      <c r="C14" s="3433">
        <v>0</v>
      </c>
      <c r="D14" s="1031"/>
      <c r="E14" s="1031"/>
      <c r="F14" s="3403"/>
      <c r="G14" s="3459"/>
    </row>
    <row r="15" spans="1:7" s="110" customFormat="1">
      <c r="A15" s="2671" t="s">
        <v>1456</v>
      </c>
      <c r="B15" s="125" t="s">
        <v>3585</v>
      </c>
      <c r="C15" s="3595">
        <f t="shared" ref="C15" si="0">ROUND(D15*E15/10000,0)</f>
        <v>0</v>
      </c>
      <c r="D15" s="3433"/>
      <c r="E15" s="3433"/>
      <c r="F15" s="3403"/>
      <c r="G15" s="3459" t="s">
        <v>3586</v>
      </c>
    </row>
    <row r="16" spans="1:7" s="110" customFormat="1">
      <c r="A16" s="2671" t="s">
        <v>3597</v>
      </c>
      <c r="B16" s="3445" t="s">
        <v>3587</v>
      </c>
      <c r="C16" s="3595">
        <f>C13*F16</f>
        <v>0</v>
      </c>
      <c r="D16" s="3433"/>
      <c r="E16" s="3433"/>
      <c r="F16" s="3596">
        <v>0.25</v>
      </c>
      <c r="G16" s="3526" t="s">
        <v>3588</v>
      </c>
    </row>
    <row r="17" spans="1:9" s="110" customFormat="1" ht="13.5">
      <c r="A17" s="3404" t="s">
        <v>337</v>
      </c>
      <c r="B17" s="3444" t="s">
        <v>3595</v>
      </c>
      <c r="C17" s="2609">
        <f>C18+C19</f>
        <v>0</v>
      </c>
      <c r="D17" s="3518"/>
      <c r="E17" s="3519"/>
      <c r="F17" s="2641"/>
      <c r="G17" s="3527"/>
    </row>
    <row r="18" spans="1:9" s="110" customFormat="1">
      <c r="A18" s="3402" t="s">
        <v>347</v>
      </c>
      <c r="B18" s="3445" t="s">
        <v>1444</v>
      </c>
      <c r="C18" s="3171"/>
      <c r="D18" s="3520"/>
      <c r="E18" s="3519"/>
      <c r="F18" s="2640"/>
      <c r="G18" s="3597" t="s">
        <v>3687</v>
      </c>
    </row>
    <row r="19" spans="1:9" s="110" customFormat="1">
      <c r="A19" s="3402" t="s">
        <v>1445</v>
      </c>
      <c r="B19" s="3445" t="s">
        <v>1446</v>
      </c>
      <c r="C19" s="2609">
        <f>ROUND(C18*F19,0)</f>
        <v>0</v>
      </c>
      <c r="D19" s="3518"/>
      <c r="E19" s="3519"/>
      <c r="F19" s="2641">
        <f>IF(项目基本情况!B8="出让",0,'数据-取费表'!B49+'数据-取费表'!B50)</f>
        <v>3.0499999999999999E-2</v>
      </c>
      <c r="G19" s="3527"/>
    </row>
    <row r="20" spans="1:9" s="2621" customFormat="1" ht="15.75">
      <c r="A20" s="3455" t="s">
        <v>3623</v>
      </c>
      <c r="B20" s="2590" t="s">
        <v>3596</v>
      </c>
      <c r="C20" s="2622">
        <f ca="1">C21+C24+C25</f>
        <v>1149</v>
      </c>
      <c r="D20" s="3521"/>
      <c r="E20" s="3522"/>
      <c r="F20" s="2645"/>
      <c r="G20" s="3528"/>
    </row>
    <row r="21" spans="1:9" s="119" customFormat="1" ht="15">
      <c r="A21" s="3460" t="s">
        <v>3619</v>
      </c>
      <c r="B21" s="3438" t="s">
        <v>3326</v>
      </c>
      <c r="C21" s="2650">
        <f>IF(G21="已包含在土地购买价格中","0",IF(C1="",'数据-取费表'!B29,IF(G22="全部缴纳",C22+C23,H22)))</f>
        <v>0</v>
      </c>
      <c r="D21" s="3523"/>
      <c r="E21" s="3524"/>
      <c r="F21" s="3434"/>
      <c r="G21" s="1375"/>
    </row>
    <row r="22" spans="1:9" s="110" customFormat="1">
      <c r="A22" s="2592" t="s">
        <v>3602</v>
      </c>
      <c r="B22" s="3439" t="s">
        <v>1449</v>
      </c>
      <c r="C22" s="2649">
        <f ca="1">ROUND(D22*E22/10000,0)</f>
        <v>173</v>
      </c>
      <c r="D22" s="3431">
        <f ca="1">IF(C1="",'数据-汇总表'!E5,IF(INDIRECT("'数据-取费表'!c"&amp;$G$1)="住宅",INDIRECT("'数据-取费表'!k"&amp;$G$1),0))</f>
        <v>10800.690000000002</v>
      </c>
      <c r="E22" s="3431">
        <f>'数据-取费表'!B27</f>
        <v>160</v>
      </c>
      <c r="F22" s="2641"/>
      <c r="G22" s="1376"/>
      <c r="H22" s="795"/>
      <c r="I22" s="1377" t="s">
        <v>1450</v>
      </c>
    </row>
    <row r="23" spans="1:9" s="110" customFormat="1">
      <c r="A23" s="2592" t="s">
        <v>3603</v>
      </c>
      <c r="B23" s="3439" t="s">
        <v>1451</v>
      </c>
      <c r="C23" s="2649">
        <f ca="1">ROUND(D23*E23/10000,0)</f>
        <v>283</v>
      </c>
      <c r="D23" s="3431">
        <f ca="1">IF(C1="",'数据-汇总表'!E6,IF(INDIRECT("'数据-取费表'!c"&amp;$G$1)="住宅",INDIRECT("'数据-取费表'!s"&amp;$G$1),INDIRECT("'数据-取费表'!k"&amp;$G$1)+INDIRECT("'数据-取费表'!s"&amp;$G$1)))</f>
        <v>14167.5</v>
      </c>
      <c r="E23" s="3431">
        <f>'数据-取费表'!B28</f>
        <v>200</v>
      </c>
      <c r="F23" s="2641"/>
      <c r="G23" s="3529"/>
    </row>
    <row r="24" spans="1:9" s="110" customFormat="1" ht="13.5">
      <c r="A24" s="3404" t="s">
        <v>3604</v>
      </c>
      <c r="B24" s="3440" t="s">
        <v>3620</v>
      </c>
      <c r="C24" s="2650">
        <f ca="1">IF(G24="已包含在土地取得成本中","0",ROUND(D24*E24/10000,0))</f>
        <v>250</v>
      </c>
      <c r="D24" s="3432">
        <f ca="1">D22+D23</f>
        <v>24968.190000000002</v>
      </c>
      <c r="E24" s="3432">
        <f>'数据-取费表'!B31</f>
        <v>100</v>
      </c>
      <c r="F24" s="3441"/>
      <c r="G24" s="1375"/>
    </row>
    <row r="25" spans="1:9" s="110" customFormat="1" ht="13.5">
      <c r="A25" s="3404" t="s">
        <v>337</v>
      </c>
      <c r="B25" s="3440" t="s">
        <v>3621</v>
      </c>
      <c r="C25" s="2650">
        <f ca="1">ROUND(E25*D25/10000,0)</f>
        <v>899</v>
      </c>
      <c r="D25" s="3432">
        <f ca="1">D24</f>
        <v>24968.190000000002</v>
      </c>
      <c r="E25" s="3432">
        <f>'数据-取费表'!B35</f>
        <v>360</v>
      </c>
      <c r="F25" s="3434"/>
      <c r="G25" s="3530"/>
    </row>
    <row r="26" spans="1:9" s="104" customFormat="1" ht="15.75">
      <c r="A26" s="3455" t="s">
        <v>3624</v>
      </c>
      <c r="B26" s="2590" t="s">
        <v>3625</v>
      </c>
      <c r="C26" s="2610">
        <f>C27+C28</f>
        <v>0</v>
      </c>
      <c r="D26" s="3525"/>
      <c r="E26" s="3525"/>
      <c r="F26" s="3434"/>
      <c r="G26" s="3531"/>
    </row>
    <row r="27" spans="1:9" s="110" customFormat="1">
      <c r="A27" s="3456" t="s">
        <v>3622</v>
      </c>
      <c r="B27" s="3442" t="s">
        <v>3589</v>
      </c>
      <c r="C27" s="2650">
        <f>ROUND(E27*D27/10000,0)</f>
        <v>0</v>
      </c>
      <c r="D27" s="3443"/>
      <c r="E27" s="3465">
        <v>25</v>
      </c>
      <c r="F27" s="3434"/>
      <c r="G27" s="3526" t="s">
        <v>3590</v>
      </c>
    </row>
    <row r="28" spans="1:9" s="110" customFormat="1">
      <c r="A28" s="3461" t="s">
        <v>3604</v>
      </c>
      <c r="B28" s="3442" t="s">
        <v>3591</v>
      </c>
      <c r="C28" s="2650">
        <f>ROUND(E28*D28/10000,0)</f>
        <v>0</v>
      </c>
      <c r="D28" s="3443"/>
      <c r="E28" s="3465">
        <v>60.1</v>
      </c>
      <c r="F28" s="3434"/>
      <c r="G28" s="3526" t="s">
        <v>3592</v>
      </c>
    </row>
    <row r="29" spans="1:9" s="2621" customFormat="1" ht="15.75">
      <c r="A29" s="3455" t="s">
        <v>3626</v>
      </c>
      <c r="B29" s="2590" t="s">
        <v>3627</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75">
      <c r="A30" s="3455" t="s">
        <v>3628</v>
      </c>
      <c r="B30" s="2590" t="s">
        <v>3629</v>
      </c>
      <c r="C30" s="2628">
        <f ca="1">ROUND((C7+C20+C26)*F30,0)</f>
        <v>80</v>
      </c>
      <c r="D30" s="2626"/>
      <c r="E30" s="297"/>
      <c r="F30" s="3446">
        <f ca="1">IF(C1="",'数据-取费表'!Q16,INDIRECT("'数据-取费表'!q"&amp;$G$1))</f>
        <v>7.0000000000000007E-2</v>
      </c>
      <c r="G30" s="3532"/>
    </row>
    <row r="31" spans="1:9" s="110" customFormat="1" ht="15.75">
      <c r="A31" s="2591" t="s">
        <v>3609</v>
      </c>
      <c r="B31" s="2590" t="s">
        <v>3601</v>
      </c>
      <c r="C31" s="2613">
        <f ca="1">C7+C20+C29+C30</f>
        <v>1229</v>
      </c>
      <c r="D31" s="2603"/>
      <c r="E31" s="2603"/>
      <c r="F31" s="2602"/>
      <c r="G31" s="2604" t="s">
        <v>3632</v>
      </c>
    </row>
    <row r="32" spans="1:9" s="110" customFormat="1" ht="15.75">
      <c r="A32" s="2591" t="s">
        <v>3600</v>
      </c>
      <c r="B32" s="2590" t="s">
        <v>3599</v>
      </c>
      <c r="C32" s="3515">
        <f ca="1">ROUND(C31*F32,0)</f>
        <v>123</v>
      </c>
      <c r="D32" s="131"/>
      <c r="E32" s="132"/>
      <c r="F32" s="3447">
        <v>0.1</v>
      </c>
      <c r="G32" s="3533"/>
    </row>
    <row r="33" spans="1:7" s="110" customFormat="1" ht="15.75">
      <c r="A33" s="3514">
        <v>8</v>
      </c>
      <c r="B33" s="2590" t="s">
        <v>3611</v>
      </c>
      <c r="C33" s="2613">
        <f ca="1">C31+C32</f>
        <v>1352</v>
      </c>
      <c r="D33" s="2603"/>
      <c r="E33" s="2603"/>
      <c r="F33" s="3448"/>
      <c r="G33" s="2604" t="s">
        <v>3631</v>
      </c>
    </row>
    <row r="34" spans="1:7" s="119" customFormat="1" ht="16.5" thickBot="1">
      <c r="A34" s="3462">
        <v>9</v>
      </c>
      <c r="B34" s="3463" t="s">
        <v>3610</v>
      </c>
      <c r="C34" s="2613">
        <f ca="1">ROUND(C33*F34,0)</f>
        <v>1261</v>
      </c>
      <c r="D34" s="3464"/>
      <c r="E34" s="3464"/>
      <c r="F34" s="3517">
        <f>'数据-取费表'!AS16</f>
        <v>0.93300000000000005</v>
      </c>
      <c r="G34" s="2604" t="s">
        <v>3633</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C00-000000000000}">
      <formula1>"部分缴纳,全部缴纳"</formula1>
    </dataValidation>
    <dataValidation type="list" allowBlank="1" showInputMessage="1" showErrorMessage="1" sqref="C1" xr:uid="{00000000-0002-0000-2C00-000001000000}">
      <formula1>项目类型</formula1>
    </dataValidation>
    <dataValidation type="list" allowBlank="1" showInputMessage="1" showErrorMessage="1" sqref="G24" xr:uid="{00000000-0002-0000-2C00-000002000000}">
      <formula1>"已包含在土地取得成本中,未包含在土地取得成本中"</formula1>
    </dataValidation>
    <dataValidation type="list" allowBlank="1" showInputMessage="1" showErrorMessage="1" sqref="G21" xr:uid="{00000000-0002-0000-2C00-000003000000}">
      <formula1>"已包含在土地购买价格中,未包含在土地购买价格中"</formula1>
    </dataValidation>
    <dataValidation type="list" allowBlank="1" showInputMessage="1" showErrorMessage="1" sqref="G7" xr:uid="{00000000-0002-0000-2C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2487</v>
      </c>
      <c r="B1" s="2282" t="s">
        <v>2488</v>
      </c>
      <c r="C1" s="2282" t="s">
        <v>2489</v>
      </c>
      <c r="D1" s="2282" t="s">
        <v>2490</v>
      </c>
      <c r="E1" s="2282" t="s">
        <v>2491</v>
      </c>
      <c r="F1" s="2282" t="s">
        <v>2492</v>
      </c>
      <c r="G1" s="2282" t="s">
        <v>2493</v>
      </c>
      <c r="H1" s="2282" t="s">
        <v>2494</v>
      </c>
      <c r="I1" s="2282" t="s">
        <v>2495</v>
      </c>
      <c r="J1" s="2282" t="s">
        <v>2496</v>
      </c>
      <c r="K1" s="2282" t="s">
        <v>2497</v>
      </c>
      <c r="L1" s="2282" t="s">
        <v>2498</v>
      </c>
      <c r="M1" s="2283" t="s">
        <v>2499</v>
      </c>
    </row>
    <row r="2" spans="1:13" ht="19.5" customHeight="1">
      <c r="A2" s="2285" t="s">
        <v>2500</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2501</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2502</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2503</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2504</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2505</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2506</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2507</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2508</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2509</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2510</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2511</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2512</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2513</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2514</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2515</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2516</v>
      </c>
      <c r="B18" s="2294"/>
      <c r="C18" s="2295"/>
      <c r="D18" s="2295"/>
      <c r="E18" s="2294"/>
      <c r="F18" s="2295"/>
      <c r="G18" s="2295"/>
    </row>
    <row r="19" spans="1:13" ht="19.5" customHeight="1" thickBot="1">
      <c r="A19" s="2293" t="s">
        <v>2517</v>
      </c>
      <c r="B19" s="2297" t="s">
        <v>2518</v>
      </c>
      <c r="C19" s="2297" t="s">
        <v>2519</v>
      </c>
      <c r="D19" s="2298"/>
      <c r="E19" s="2293" t="s">
        <v>2520</v>
      </c>
      <c r="F19" s="2299"/>
      <c r="G19" s="2299"/>
    </row>
    <row r="20" spans="1:13" ht="19.5" customHeight="1">
      <c r="A20" s="4574" t="s">
        <v>2500</v>
      </c>
      <c r="B20" s="4564" t="s">
        <v>2521</v>
      </c>
      <c r="C20" s="2579" t="s">
        <v>2332</v>
      </c>
      <c r="D20" s="2579"/>
      <c r="E20" s="3226">
        <v>1</v>
      </c>
      <c r="F20" s="2302" t="s">
        <v>2333</v>
      </c>
      <c r="G20" s="2302"/>
    </row>
    <row r="21" spans="1:13" ht="19.5" customHeight="1">
      <c r="A21" s="4575"/>
      <c r="B21" s="4565"/>
      <c r="C21" s="2311" t="s">
        <v>2334</v>
      </c>
      <c r="D21" s="2311"/>
      <c r="E21" s="3227">
        <v>1</v>
      </c>
      <c r="F21" s="2302" t="s">
        <v>2335</v>
      </c>
      <c r="G21" s="2302"/>
    </row>
    <row r="22" spans="1:13" ht="19.5" customHeight="1">
      <c r="A22" s="4575"/>
      <c r="B22" s="4565"/>
      <c r="C22" s="2311" t="s">
        <v>2336</v>
      </c>
      <c r="D22" s="2311"/>
      <c r="E22" s="3227">
        <v>0.9</v>
      </c>
      <c r="F22" s="2302" t="s">
        <v>2337</v>
      </c>
      <c r="G22" s="2302"/>
    </row>
    <row r="23" spans="1:13" ht="19.5" customHeight="1">
      <c r="A23" s="4575"/>
      <c r="B23" s="4565"/>
      <c r="C23" s="2311" t="s">
        <v>2338</v>
      </c>
      <c r="D23" s="2311"/>
      <c r="E23" s="3227">
        <v>0.9</v>
      </c>
      <c r="F23" s="2302" t="s">
        <v>2339</v>
      </c>
      <c r="G23" s="2302"/>
    </row>
    <row r="24" spans="1:13" ht="19.5" customHeight="1">
      <c r="A24" s="4575"/>
      <c r="B24" s="4565"/>
      <c r="C24" s="2311" t="s">
        <v>2340</v>
      </c>
      <c r="D24" s="2311"/>
      <c r="E24" s="3227">
        <v>0.8</v>
      </c>
      <c r="F24" s="2302" t="s">
        <v>2341</v>
      </c>
      <c r="G24" s="2302"/>
    </row>
    <row r="25" spans="1:13" ht="19.5" customHeight="1">
      <c r="A25" s="4575"/>
      <c r="B25" s="4565"/>
      <c r="C25" s="2311" t="s">
        <v>2342</v>
      </c>
      <c r="D25" s="2311"/>
      <c r="E25" s="3227">
        <v>0.8</v>
      </c>
      <c r="F25" s="2302"/>
      <c r="G25" s="2302"/>
    </row>
    <row r="26" spans="1:13" ht="19.5" customHeight="1">
      <c r="A26" s="4575"/>
      <c r="B26" s="4565"/>
      <c r="C26" s="2311" t="s">
        <v>3281</v>
      </c>
      <c r="D26" s="2311"/>
      <c r="E26" s="3227">
        <v>0.43</v>
      </c>
      <c r="F26" s="2302"/>
      <c r="G26" s="2302"/>
    </row>
    <row r="27" spans="1:13" ht="19.5" customHeight="1" thickBot="1">
      <c r="A27" s="4576"/>
      <c r="B27" s="4566"/>
      <c r="C27" s="2576" t="s">
        <v>3282</v>
      </c>
      <c r="D27" s="2576"/>
      <c r="E27" s="3228">
        <f>E26*0.9</f>
        <v>0.38700000000000001</v>
      </c>
      <c r="F27" s="2302" t="s">
        <v>2343</v>
      </c>
      <c r="G27" s="2302"/>
    </row>
    <row r="28" spans="1:13" ht="19.5" customHeight="1" thickBot="1">
      <c r="A28" s="2575" t="s">
        <v>2522</v>
      </c>
      <c r="B28" s="2574" t="s">
        <v>2521</v>
      </c>
      <c r="C28" s="2577" t="s">
        <v>2523</v>
      </c>
      <c r="D28" s="2578"/>
      <c r="E28" s="3229">
        <v>1</v>
      </c>
      <c r="F28" s="2302" t="s">
        <v>2344</v>
      </c>
      <c r="G28" s="2302"/>
    </row>
    <row r="29" spans="1:13" ht="19.5" customHeight="1">
      <c r="A29" s="4567" t="s">
        <v>2524</v>
      </c>
      <c r="B29" s="4570" t="s">
        <v>2505</v>
      </c>
      <c r="C29" s="2300" t="s">
        <v>2345</v>
      </c>
      <c r="D29" s="2301"/>
      <c r="E29" s="3226">
        <v>1</v>
      </c>
      <c r="F29" s="2302" t="s">
        <v>2346</v>
      </c>
      <c r="G29" s="2302"/>
    </row>
    <row r="30" spans="1:13" ht="19.5" customHeight="1">
      <c r="A30" s="4568"/>
      <c r="B30" s="4571"/>
      <c r="C30" s="2303" t="s">
        <v>2347</v>
      </c>
      <c r="D30" s="2304"/>
      <c r="E30" s="3227">
        <v>1</v>
      </c>
      <c r="F30" s="2302" t="s">
        <v>2348</v>
      </c>
      <c r="G30" s="2302"/>
    </row>
    <row r="31" spans="1:13" ht="19.5" customHeight="1">
      <c r="A31" s="4568"/>
      <c r="B31" s="4571"/>
      <c r="C31" s="2303" t="s">
        <v>2349</v>
      </c>
      <c r="D31" s="2304"/>
      <c r="E31" s="3227">
        <v>0.8</v>
      </c>
      <c r="F31" s="2302" t="s">
        <v>2350</v>
      </c>
      <c r="G31" s="2302"/>
    </row>
    <row r="32" spans="1:13" ht="19.5" customHeight="1">
      <c r="A32" s="4568"/>
      <c r="B32" s="4571"/>
      <c r="C32" s="2303" t="s">
        <v>2351</v>
      </c>
      <c r="D32" s="2304"/>
      <c r="E32" s="3227">
        <v>0.8</v>
      </c>
      <c r="F32" s="2302" t="s">
        <v>2352</v>
      </c>
      <c r="G32" s="2302"/>
    </row>
    <row r="33" spans="1:7" ht="19.5" customHeight="1">
      <c r="A33" s="4568"/>
      <c r="B33" s="4571"/>
      <c r="C33" s="2303" t="s">
        <v>2353</v>
      </c>
      <c r="D33" s="2304"/>
      <c r="E33" s="3227">
        <v>0.8</v>
      </c>
      <c r="F33" s="2302" t="s">
        <v>2354</v>
      </c>
      <c r="G33" s="2302"/>
    </row>
    <row r="34" spans="1:7" ht="19.5" customHeight="1">
      <c r="A34" s="4568"/>
      <c r="B34" s="4571"/>
      <c r="C34" s="2303" t="s">
        <v>2355</v>
      </c>
      <c r="D34" s="2304"/>
      <c r="E34" s="3227">
        <v>0.7</v>
      </c>
      <c r="F34" s="2302" t="s">
        <v>2356</v>
      </c>
      <c r="G34" s="2302"/>
    </row>
    <row r="35" spans="1:7" ht="19.5" customHeight="1">
      <c r="A35" s="4568"/>
      <c r="B35" s="4571"/>
      <c r="C35" s="2303" t="s">
        <v>2357</v>
      </c>
      <c r="D35" s="2304"/>
      <c r="E35" s="3227">
        <v>0.8</v>
      </c>
      <c r="F35" s="2302" t="s">
        <v>2358</v>
      </c>
      <c r="G35" s="2302"/>
    </row>
    <row r="36" spans="1:7" ht="19.5" customHeight="1">
      <c r="A36" s="4568"/>
      <c r="B36" s="4571"/>
      <c r="C36" s="2303" t="s">
        <v>2359</v>
      </c>
      <c r="D36" s="2304"/>
      <c r="E36" s="3227">
        <v>0.6</v>
      </c>
      <c r="F36" s="2302" t="s">
        <v>2360</v>
      </c>
      <c r="G36" s="2302"/>
    </row>
    <row r="37" spans="1:7" ht="19.5" customHeight="1">
      <c r="A37" s="4568"/>
      <c r="B37" s="4571"/>
      <c r="C37" s="2303" t="s">
        <v>2361</v>
      </c>
      <c r="D37" s="2304"/>
      <c r="E37" s="3227">
        <v>0.2</v>
      </c>
      <c r="F37" s="2302" t="s">
        <v>2362</v>
      </c>
      <c r="G37" s="2302"/>
    </row>
    <row r="38" spans="1:7" ht="19.5" customHeight="1">
      <c r="A38" s="4568"/>
      <c r="B38" s="4571"/>
      <c r="C38" s="2303" t="s">
        <v>2363</v>
      </c>
      <c r="D38" s="2304"/>
      <c r="E38" s="3227">
        <v>0.2</v>
      </c>
      <c r="F38" s="2302" t="s">
        <v>2364</v>
      </c>
      <c r="G38" s="2302"/>
    </row>
    <row r="39" spans="1:7" ht="19.5" customHeight="1">
      <c r="A39" s="4568"/>
      <c r="B39" s="4572" t="s">
        <v>2525</v>
      </c>
      <c r="C39" s="2303" t="s">
        <v>2365</v>
      </c>
      <c r="D39" s="2304"/>
      <c r="E39" s="3227">
        <v>0.6</v>
      </c>
      <c r="F39" s="2302" t="s">
        <v>2366</v>
      </c>
      <c r="G39" s="2302"/>
    </row>
    <row r="40" spans="1:7" ht="19.5" customHeight="1">
      <c r="A40" s="4568"/>
      <c r="B40" s="4571"/>
      <c r="C40" s="2303" t="s">
        <v>2367</v>
      </c>
      <c r="D40" s="2304"/>
      <c r="E40" s="3227">
        <v>0.6</v>
      </c>
      <c r="F40" s="2302" t="s">
        <v>2368</v>
      </c>
      <c r="G40" s="2302"/>
    </row>
    <row r="41" spans="1:7" ht="19.5" customHeight="1" thickBot="1">
      <c r="A41" s="4569"/>
      <c r="B41" s="4573"/>
      <c r="C41" s="2305" t="s">
        <v>2369</v>
      </c>
      <c r="D41" s="2306"/>
      <c r="E41" s="3228">
        <v>0.6</v>
      </c>
      <c r="F41" s="2302" t="s">
        <v>2370</v>
      </c>
      <c r="G41" s="2302"/>
    </row>
    <row r="42" spans="1:7" ht="19.5" customHeight="1" thickBot="1">
      <c r="A42" s="2307" t="s">
        <v>2502</v>
      </c>
      <c r="B42" s="2308" t="s">
        <v>2502</v>
      </c>
      <c r="C42" s="2309" t="s">
        <v>2526</v>
      </c>
      <c r="D42" s="2310"/>
      <c r="E42" s="3230">
        <v>1</v>
      </c>
      <c r="F42" s="2302" t="s">
        <v>2371</v>
      </c>
      <c r="G42" s="2302"/>
    </row>
    <row r="43" spans="1:7" ht="19.5" customHeight="1">
      <c r="A43" s="4574" t="s">
        <v>2503</v>
      </c>
      <c r="B43" s="4570" t="s">
        <v>2527</v>
      </c>
      <c r="C43" s="2300" t="s">
        <v>2372</v>
      </c>
      <c r="D43" s="2301"/>
      <c r="E43" s="3226">
        <v>1</v>
      </c>
      <c r="F43" s="2302" t="s">
        <v>2373</v>
      </c>
      <c r="G43" s="2302"/>
    </row>
    <row r="44" spans="1:7" ht="19.5" customHeight="1">
      <c r="A44" s="4575"/>
      <c r="B44" s="4571"/>
      <c r="C44" s="2303" t="s">
        <v>2374</v>
      </c>
      <c r="D44" s="2304"/>
      <c r="E44" s="3227">
        <v>1</v>
      </c>
      <c r="F44" s="2302" t="s">
        <v>2375</v>
      </c>
      <c r="G44" s="2302"/>
    </row>
    <row r="45" spans="1:7" ht="19.5" customHeight="1">
      <c r="A45" s="4575"/>
      <c r="B45" s="4577"/>
      <c r="C45" s="2303" t="s">
        <v>2376</v>
      </c>
      <c r="D45" s="2304"/>
      <c r="E45" s="3227">
        <v>1.5</v>
      </c>
      <c r="F45" s="2302" t="s">
        <v>2377</v>
      </c>
      <c r="G45" s="2302"/>
    </row>
    <row r="46" spans="1:7" ht="19.5" customHeight="1">
      <c r="A46" s="4575"/>
      <c r="B46" s="2311" t="s">
        <v>2528</v>
      </c>
      <c r="C46" s="2303" t="s">
        <v>2529</v>
      </c>
      <c r="D46" s="2304"/>
      <c r="E46" s="3227">
        <v>2</v>
      </c>
      <c r="F46" s="2302" t="s">
        <v>2378</v>
      </c>
      <c r="G46" s="2302"/>
    </row>
    <row r="47" spans="1:7" ht="19.5" customHeight="1">
      <c r="A47" s="4575"/>
      <c r="B47" s="4572" t="s">
        <v>2530</v>
      </c>
      <c r="C47" s="2303" t="s">
        <v>2379</v>
      </c>
      <c r="D47" s="2304"/>
      <c r="E47" s="3227">
        <v>1</v>
      </c>
      <c r="F47" s="2302" t="s">
        <v>2380</v>
      </c>
      <c r="G47" s="2302"/>
    </row>
    <row r="48" spans="1:7" ht="19.5" customHeight="1">
      <c r="A48" s="4575"/>
      <c r="B48" s="4571"/>
      <c r="C48" s="2303" t="s">
        <v>2381</v>
      </c>
      <c r="D48" s="2304"/>
      <c r="E48" s="3227">
        <v>1</v>
      </c>
      <c r="F48" s="2302" t="s">
        <v>2382</v>
      </c>
      <c r="G48" s="2302"/>
    </row>
    <row r="49" spans="1:7" ht="19.5" customHeight="1">
      <c r="A49" s="4575"/>
      <c r="B49" s="4571"/>
      <c r="C49" s="2303" t="s">
        <v>2383</v>
      </c>
      <c r="D49" s="2304"/>
      <c r="E49" s="3227">
        <v>1</v>
      </c>
      <c r="F49" s="2302" t="s">
        <v>2384</v>
      </c>
      <c r="G49" s="2302"/>
    </row>
    <row r="50" spans="1:7" ht="19.5" customHeight="1">
      <c r="A50" s="4575"/>
      <c r="B50" s="4571"/>
      <c r="C50" s="2303" t="s">
        <v>2385</v>
      </c>
      <c r="D50" s="2304"/>
      <c r="E50" s="3227">
        <v>1</v>
      </c>
      <c r="F50" s="2302" t="s">
        <v>2386</v>
      </c>
      <c r="G50" s="2302"/>
    </row>
    <row r="51" spans="1:7" ht="19.5" customHeight="1">
      <c r="A51" s="4575"/>
      <c r="B51" s="4571"/>
      <c r="C51" s="2303" t="s">
        <v>2387</v>
      </c>
      <c r="D51" s="2304"/>
      <c r="E51" s="3227">
        <v>1</v>
      </c>
      <c r="F51" s="2302" t="s">
        <v>2388</v>
      </c>
      <c r="G51" s="2302"/>
    </row>
    <row r="52" spans="1:7" ht="19.5" customHeight="1">
      <c r="A52" s="4575"/>
      <c r="B52" s="4571"/>
      <c r="C52" s="2303" t="s">
        <v>2389</v>
      </c>
      <c r="D52" s="2304"/>
      <c r="E52" s="3227">
        <v>1</v>
      </c>
      <c r="F52" s="2302" t="s">
        <v>2390</v>
      </c>
      <c r="G52" s="2302"/>
    </row>
    <row r="53" spans="1:7" ht="19.5" customHeight="1" thickBot="1">
      <c r="A53" s="4576"/>
      <c r="B53" s="4573"/>
      <c r="C53" s="2305" t="s">
        <v>2391</v>
      </c>
      <c r="D53" s="2306"/>
      <c r="E53" s="3228">
        <v>1</v>
      </c>
      <c r="F53" s="2302" t="s">
        <v>2392</v>
      </c>
      <c r="G53" s="2302"/>
    </row>
    <row r="54" spans="1:7" ht="19.5" customHeight="1">
      <c r="A54" s="2312"/>
      <c r="B54" s="2312"/>
      <c r="C54" s="2312"/>
      <c r="D54" s="2312"/>
      <c r="E54" s="2312"/>
      <c r="F54" s="2312"/>
      <c r="G54" s="2312"/>
    </row>
    <row r="56" spans="1:7" ht="19.5" customHeight="1">
      <c r="A56" s="2313"/>
      <c r="B56" s="2291" t="s">
        <v>2531</v>
      </c>
      <c r="C56" s="2291" t="s">
        <v>2531</v>
      </c>
      <c r="D56" s="2291" t="s">
        <v>2531</v>
      </c>
      <c r="E56" s="2293" t="s">
        <v>2531</v>
      </c>
      <c r="F56" s="2293" t="s">
        <v>2532</v>
      </c>
      <c r="G56" s="2293" t="s">
        <v>2533</v>
      </c>
    </row>
    <row r="57" spans="1:7" ht="19.5" customHeight="1">
      <c r="A57" s="2314"/>
      <c r="B57" s="2293" t="s">
        <v>2500</v>
      </c>
      <c r="C57" s="2293" t="s">
        <v>2500</v>
      </c>
      <c r="D57" s="2293" t="s">
        <v>2500</v>
      </c>
      <c r="E57" s="2291" t="s">
        <v>2501</v>
      </c>
      <c r="F57" s="2291" t="s">
        <v>2503</v>
      </c>
      <c r="G57" s="2291" t="s">
        <v>2534</v>
      </c>
    </row>
    <row r="58" spans="1:7" ht="19.5" customHeight="1">
      <c r="A58" s="2315"/>
      <c r="B58" s="3221">
        <v>1</v>
      </c>
      <c r="C58" s="3221">
        <v>2</v>
      </c>
      <c r="D58" s="3221">
        <v>3</v>
      </c>
      <c r="E58" s="2316" t="s">
        <v>2535</v>
      </c>
      <c r="F58" s="2316" t="s">
        <v>2535</v>
      </c>
      <c r="G58" s="2316" t="s">
        <v>2535</v>
      </c>
    </row>
    <row r="59" spans="1:7" ht="19.5" customHeight="1">
      <c r="A59" s="2317" t="s">
        <v>2488</v>
      </c>
      <c r="B59" s="3218">
        <v>0.7</v>
      </c>
      <c r="C59" s="3218">
        <v>0.4</v>
      </c>
      <c r="D59" s="3218">
        <v>0.3</v>
      </c>
      <c r="E59" s="3231">
        <v>0.3</v>
      </c>
      <c r="F59" s="3218">
        <v>0.3</v>
      </c>
      <c r="G59" s="3218">
        <v>0.2</v>
      </c>
    </row>
    <row r="60" spans="1:7" ht="19.5" customHeight="1">
      <c r="A60" s="2317" t="s">
        <v>2489</v>
      </c>
      <c r="B60" s="3218">
        <v>0.7</v>
      </c>
      <c r="C60" s="3218">
        <v>0.4</v>
      </c>
      <c r="D60" s="3218">
        <v>0.3</v>
      </c>
      <c r="E60" s="3218">
        <v>0.3</v>
      </c>
      <c r="F60" s="3218">
        <v>0.3</v>
      </c>
      <c r="G60" s="3218">
        <v>0.2</v>
      </c>
    </row>
    <row r="61" spans="1:7" ht="19.5" customHeight="1">
      <c r="A61" s="2317" t="s">
        <v>2490</v>
      </c>
      <c r="B61" s="3218">
        <v>0.6</v>
      </c>
      <c r="C61" s="3218">
        <v>0.3</v>
      </c>
      <c r="D61" s="3218">
        <v>0.25</v>
      </c>
      <c r="E61" s="3218">
        <v>0.25</v>
      </c>
      <c r="F61" s="3218">
        <v>0.25</v>
      </c>
      <c r="G61" s="3218">
        <v>0.15</v>
      </c>
    </row>
    <row r="62" spans="1:7" ht="19.5" customHeight="1">
      <c r="A62" s="2317" t="s">
        <v>2491</v>
      </c>
      <c r="B62" s="3218">
        <v>0.6</v>
      </c>
      <c r="C62" s="3218">
        <v>0.3</v>
      </c>
      <c r="D62" s="3218">
        <v>0.25</v>
      </c>
      <c r="E62" s="3218">
        <v>0.25</v>
      </c>
      <c r="F62" s="3218">
        <v>0.25</v>
      </c>
      <c r="G62" s="3218">
        <v>0.15</v>
      </c>
    </row>
    <row r="63" spans="1:7" ht="19.5" customHeight="1">
      <c r="A63" s="2317" t="s">
        <v>2492</v>
      </c>
      <c r="B63" s="3218">
        <v>0.6</v>
      </c>
      <c r="C63" s="3218">
        <v>0.3</v>
      </c>
      <c r="D63" s="3218">
        <v>0.25</v>
      </c>
      <c r="E63" s="3218">
        <v>0.25</v>
      </c>
      <c r="F63" s="3218">
        <v>0.25</v>
      </c>
      <c r="G63" s="3218">
        <v>0.15</v>
      </c>
    </row>
    <row r="64" spans="1:7" ht="19.5" customHeight="1">
      <c r="A64" s="2317" t="s">
        <v>2493</v>
      </c>
      <c r="B64" s="3218">
        <v>0.6</v>
      </c>
      <c r="C64" s="3218">
        <v>0.3</v>
      </c>
      <c r="D64" s="3218">
        <v>0.25</v>
      </c>
      <c r="E64" s="3218">
        <v>0.25</v>
      </c>
      <c r="F64" s="3218">
        <v>0.25</v>
      </c>
      <c r="G64" s="3218">
        <v>0.15</v>
      </c>
    </row>
    <row r="65" spans="1:7" ht="19.5" customHeight="1">
      <c r="A65" s="2317" t="s">
        <v>2494</v>
      </c>
      <c r="B65" s="3218">
        <v>0.6</v>
      </c>
      <c r="C65" s="3218">
        <v>0.3</v>
      </c>
      <c r="D65" s="3218">
        <v>0.25</v>
      </c>
      <c r="E65" s="3218">
        <v>0.25</v>
      </c>
      <c r="F65" s="3218">
        <v>0.25</v>
      </c>
      <c r="G65" s="3218">
        <v>0.15</v>
      </c>
    </row>
    <row r="66" spans="1:7" ht="19.5" customHeight="1">
      <c r="A66" s="2317" t="s">
        <v>2495</v>
      </c>
      <c r="B66" s="3218">
        <v>0.5</v>
      </c>
      <c r="C66" s="3218">
        <v>0.2</v>
      </c>
      <c r="D66" s="3218">
        <v>0.2</v>
      </c>
      <c r="E66" s="3218">
        <v>0.2</v>
      </c>
      <c r="F66" s="3218">
        <v>0.2</v>
      </c>
      <c r="G66" s="3218">
        <v>0.1</v>
      </c>
    </row>
    <row r="67" spans="1:7" ht="19.5" customHeight="1">
      <c r="A67" s="2317" t="s">
        <v>2496</v>
      </c>
      <c r="B67" s="3218">
        <v>0.5</v>
      </c>
      <c r="C67" s="3218">
        <v>0.2</v>
      </c>
      <c r="D67" s="3218">
        <v>0.2</v>
      </c>
      <c r="E67" s="3218">
        <v>0.2</v>
      </c>
      <c r="F67" s="3218">
        <v>0.2</v>
      </c>
      <c r="G67" s="3218">
        <v>0.1</v>
      </c>
    </row>
    <row r="68" spans="1:7" ht="19.5" customHeight="1">
      <c r="A68" s="2317" t="s">
        <v>2497</v>
      </c>
      <c r="B68" s="3218">
        <v>0.5</v>
      </c>
      <c r="C68" s="3218">
        <v>0.2</v>
      </c>
      <c r="D68" s="3218">
        <v>0.2</v>
      </c>
      <c r="E68" s="3218">
        <v>0.2</v>
      </c>
      <c r="F68" s="3218">
        <v>0.2</v>
      </c>
      <c r="G68" s="3218">
        <v>0.1</v>
      </c>
    </row>
    <row r="69" spans="1:7" ht="19.5" customHeight="1">
      <c r="A69" s="2317" t="s">
        <v>2498</v>
      </c>
      <c r="B69" s="3218">
        <v>0.5</v>
      </c>
      <c r="C69" s="3218">
        <v>0.2</v>
      </c>
      <c r="D69" s="3218">
        <v>0.2</v>
      </c>
      <c r="E69" s="3218">
        <v>0.2</v>
      </c>
      <c r="F69" s="3218">
        <v>0.2</v>
      </c>
      <c r="G69" s="3218">
        <v>0.1</v>
      </c>
    </row>
    <row r="70" spans="1:7" ht="19.5" customHeight="1">
      <c r="A70" s="2317" t="s">
        <v>2499</v>
      </c>
      <c r="B70" s="3218">
        <v>0.5</v>
      </c>
      <c r="C70" s="3218">
        <v>0.2</v>
      </c>
      <c r="D70" s="3218">
        <v>0.2</v>
      </c>
      <c r="E70" s="3218">
        <v>0.2</v>
      </c>
      <c r="F70" s="3218">
        <v>0.2</v>
      </c>
      <c r="G70" s="3218">
        <v>0.1</v>
      </c>
    </row>
    <row r="72" spans="1:7" ht="19.5" customHeight="1">
      <c r="A72" s="2302"/>
      <c r="B72" s="2318"/>
      <c r="C72" s="2318"/>
      <c r="D72" s="2318" t="s">
        <v>2536</v>
      </c>
      <c r="E72" s="2318"/>
      <c r="F72" s="2318"/>
    </row>
    <row r="73" spans="1:7" ht="19.5" customHeight="1">
      <c r="A73" s="2311" t="s">
        <v>2537</v>
      </c>
      <c r="B73" s="2311" t="s">
        <v>2538</v>
      </c>
      <c r="C73" s="2311" t="s">
        <v>2539</v>
      </c>
      <c r="D73" s="2311" t="s">
        <v>2540</v>
      </c>
      <c r="E73" s="2311" t="s">
        <v>2541</v>
      </c>
      <c r="F73" s="2311" t="s">
        <v>2542</v>
      </c>
    </row>
    <row r="74" spans="1:7" ht="13.5">
      <c r="A74" s="2311"/>
      <c r="B74" s="2311"/>
      <c r="C74" s="2311" t="s">
        <v>2543</v>
      </c>
      <c r="D74" s="2311"/>
      <c r="E74" s="2311" t="s">
        <v>2514</v>
      </c>
      <c r="F74" s="2311" t="s">
        <v>2514</v>
      </c>
    </row>
    <row r="75" spans="1:7" ht="13.5">
      <c r="A75" s="2311">
        <v>1</v>
      </c>
      <c r="B75" s="4572" t="s">
        <v>2544</v>
      </c>
      <c r="C75" s="2291" t="s">
        <v>2545</v>
      </c>
      <c r="D75" s="2291" t="s">
        <v>2546</v>
      </c>
      <c r="E75" s="3232">
        <v>0.2</v>
      </c>
      <c r="F75" s="3233">
        <v>25</v>
      </c>
    </row>
    <row r="76" spans="1:7" ht="24">
      <c r="A76" s="2311">
        <v>2</v>
      </c>
      <c r="B76" s="4571"/>
      <c r="C76" s="2291" t="s">
        <v>2547</v>
      </c>
      <c r="D76" s="2291" t="s">
        <v>2548</v>
      </c>
      <c r="E76" s="3232">
        <v>0.2</v>
      </c>
      <c r="F76" s="3233">
        <v>25</v>
      </c>
    </row>
    <row r="77" spans="1:7" ht="24">
      <c r="A77" s="2311">
        <v>3</v>
      </c>
      <c r="B77" s="4571"/>
      <c r="C77" s="2291" t="s">
        <v>2549</v>
      </c>
      <c r="D77" s="2291" t="s">
        <v>2550</v>
      </c>
      <c r="E77" s="3232">
        <v>0.2</v>
      </c>
      <c r="F77" s="3233">
        <v>25</v>
      </c>
    </row>
    <row r="78" spans="1:7" ht="13.5">
      <c r="A78" s="2311">
        <v>4</v>
      </c>
      <c r="B78" s="4571"/>
      <c r="C78" s="2291" t="s">
        <v>2551</v>
      </c>
      <c r="D78" s="2291" t="s">
        <v>2552</v>
      </c>
      <c r="E78" s="3232">
        <v>0.15</v>
      </c>
      <c r="F78" s="3233">
        <v>20</v>
      </c>
    </row>
    <row r="79" spans="1:7" ht="24">
      <c r="A79" s="2311">
        <v>5</v>
      </c>
      <c r="B79" s="4571"/>
      <c r="C79" s="2291" t="s">
        <v>2553</v>
      </c>
      <c r="D79" s="2291" t="s">
        <v>2554</v>
      </c>
      <c r="E79" s="3232">
        <v>0.15</v>
      </c>
      <c r="F79" s="3233">
        <v>20</v>
      </c>
    </row>
    <row r="80" spans="1:7" ht="24">
      <c r="A80" s="2311">
        <v>6</v>
      </c>
      <c r="B80" s="4571"/>
      <c r="C80" s="2291" t="s">
        <v>2555</v>
      </c>
      <c r="D80" s="2291" t="s">
        <v>2556</v>
      </c>
      <c r="E80" s="3232">
        <v>0.15</v>
      </c>
      <c r="F80" s="3233">
        <v>20</v>
      </c>
    </row>
    <row r="81" spans="1:6" ht="24">
      <c r="A81" s="2311">
        <v>7</v>
      </c>
      <c r="B81" s="4571"/>
      <c r="C81" s="2291" t="s">
        <v>2557</v>
      </c>
      <c r="D81" s="2291" t="s">
        <v>2558</v>
      </c>
      <c r="E81" s="3232">
        <v>0.15</v>
      </c>
      <c r="F81" s="3233">
        <v>20</v>
      </c>
    </row>
    <row r="82" spans="1:6" ht="24">
      <c r="A82" s="2311">
        <v>8</v>
      </c>
      <c r="B82" s="4571"/>
      <c r="C82" s="2291" t="s">
        <v>2559</v>
      </c>
      <c r="D82" s="2291" t="s">
        <v>2560</v>
      </c>
      <c r="E82" s="3232">
        <v>0.1</v>
      </c>
      <c r="F82" s="3233">
        <v>15</v>
      </c>
    </row>
    <row r="83" spans="1:6" ht="24">
      <c r="A83" s="2311">
        <v>9</v>
      </c>
      <c r="B83" s="4571"/>
      <c r="C83" s="2291" t="s">
        <v>2561</v>
      </c>
      <c r="D83" s="2291" t="s">
        <v>2562</v>
      </c>
      <c r="E83" s="3232">
        <v>0.1</v>
      </c>
      <c r="F83" s="3233">
        <v>15</v>
      </c>
    </row>
    <row r="84" spans="1:6" ht="24">
      <c r="A84" s="2311">
        <v>10</v>
      </c>
      <c r="B84" s="4571"/>
      <c r="C84" s="2291" t="s">
        <v>2563</v>
      </c>
      <c r="D84" s="2291" t="s">
        <v>2564</v>
      </c>
      <c r="E84" s="3232">
        <v>0.1</v>
      </c>
      <c r="F84" s="3233">
        <v>15</v>
      </c>
    </row>
    <row r="85" spans="1:6" ht="24">
      <c r="A85" s="2311">
        <v>11</v>
      </c>
      <c r="B85" s="4571"/>
      <c r="C85" s="2291" t="s">
        <v>2565</v>
      </c>
      <c r="D85" s="2291" t="s">
        <v>2566</v>
      </c>
      <c r="E85" s="3232">
        <v>0.1</v>
      </c>
      <c r="F85" s="3233">
        <v>15</v>
      </c>
    </row>
    <row r="86" spans="1:6" ht="24">
      <c r="A86" s="2311">
        <v>12</v>
      </c>
      <c r="B86" s="4571"/>
      <c r="C86" s="2291" t="s">
        <v>2567</v>
      </c>
      <c r="D86" s="2291" t="s">
        <v>2568</v>
      </c>
      <c r="E86" s="3232">
        <v>0.1</v>
      </c>
      <c r="F86" s="3233">
        <v>15</v>
      </c>
    </row>
    <row r="87" spans="1:6" ht="13.5">
      <c r="A87" s="2311">
        <v>13</v>
      </c>
      <c r="B87" s="4571"/>
      <c r="C87" s="2291" t="s">
        <v>2569</v>
      </c>
      <c r="D87" s="2291" t="s">
        <v>2570</v>
      </c>
      <c r="E87" s="3232">
        <v>0.1</v>
      </c>
      <c r="F87" s="3233">
        <v>15</v>
      </c>
    </row>
    <row r="88" spans="1:6" ht="13.5">
      <c r="A88" s="2311">
        <v>14</v>
      </c>
      <c r="B88" s="4571"/>
      <c r="C88" s="2291" t="s">
        <v>2571</v>
      </c>
      <c r="D88" s="2291" t="s">
        <v>2572</v>
      </c>
      <c r="E88" s="3232">
        <v>0.1</v>
      </c>
      <c r="F88" s="3233">
        <v>15</v>
      </c>
    </row>
    <row r="89" spans="1:6" ht="13.5">
      <c r="A89" s="2311">
        <v>15</v>
      </c>
      <c r="B89" s="4571"/>
      <c r="C89" s="2291" t="s">
        <v>2573</v>
      </c>
      <c r="D89" s="2291" t="s">
        <v>2574</v>
      </c>
      <c r="E89" s="3232">
        <v>0.1</v>
      </c>
      <c r="F89" s="3233">
        <v>15</v>
      </c>
    </row>
    <row r="90" spans="1:6" ht="24">
      <c r="A90" s="2311">
        <v>16</v>
      </c>
      <c r="B90" s="4571"/>
      <c r="C90" s="2291" t="s">
        <v>2575</v>
      </c>
      <c r="D90" s="2291" t="s">
        <v>2576</v>
      </c>
      <c r="E90" s="3232">
        <v>0.1</v>
      </c>
      <c r="F90" s="3233">
        <v>15</v>
      </c>
    </row>
    <row r="91" spans="1:6" ht="24">
      <c r="A91" s="2311">
        <v>17</v>
      </c>
      <c r="B91" s="4577"/>
      <c r="C91" s="2291" t="s">
        <v>2577</v>
      </c>
      <c r="D91" s="2291" t="s">
        <v>2578</v>
      </c>
      <c r="E91" s="3232">
        <v>0.1</v>
      </c>
      <c r="F91" s="3233">
        <v>15</v>
      </c>
    </row>
    <row r="92" spans="1:6" ht="13.5">
      <c r="A92" s="2311">
        <v>18</v>
      </c>
      <c r="B92" s="4572" t="s">
        <v>2579</v>
      </c>
      <c r="C92" s="2291" t="s">
        <v>2580</v>
      </c>
      <c r="D92" s="2291" t="s">
        <v>2581</v>
      </c>
      <c r="E92" s="3232">
        <v>0.2</v>
      </c>
      <c r="F92" s="3233">
        <v>25</v>
      </c>
    </row>
    <row r="93" spans="1:6" ht="24">
      <c r="A93" s="2311">
        <v>19</v>
      </c>
      <c r="B93" s="4571"/>
      <c r="C93" s="2291" t="s">
        <v>2582</v>
      </c>
      <c r="D93" s="2291" t="s">
        <v>2583</v>
      </c>
      <c r="E93" s="3232">
        <v>0.2</v>
      </c>
      <c r="F93" s="3233">
        <v>25</v>
      </c>
    </row>
    <row r="94" spans="1:6" ht="13.5">
      <c r="A94" s="2311">
        <v>20</v>
      </c>
      <c r="B94" s="4571"/>
      <c r="C94" s="2291" t="s">
        <v>2584</v>
      </c>
      <c r="D94" s="2291" t="s">
        <v>2585</v>
      </c>
      <c r="E94" s="3232">
        <v>0.15</v>
      </c>
      <c r="F94" s="3233">
        <v>20</v>
      </c>
    </row>
    <row r="95" spans="1:6" ht="13.5">
      <c r="A95" s="2311">
        <v>21</v>
      </c>
      <c r="B95" s="4571"/>
      <c r="C95" s="2291" t="s">
        <v>2586</v>
      </c>
      <c r="D95" s="2291" t="s">
        <v>2587</v>
      </c>
      <c r="E95" s="3232">
        <v>0.15</v>
      </c>
      <c r="F95" s="3233">
        <v>20</v>
      </c>
    </row>
    <row r="96" spans="1:6" ht="13.5">
      <c r="A96" s="2311">
        <v>22</v>
      </c>
      <c r="B96" s="4571"/>
      <c r="C96" s="2291" t="s">
        <v>2588</v>
      </c>
      <c r="D96" s="2291" t="s">
        <v>2589</v>
      </c>
      <c r="E96" s="3232">
        <v>0.15</v>
      </c>
      <c r="F96" s="3233">
        <v>20</v>
      </c>
    </row>
    <row r="97" spans="1:6" ht="36">
      <c r="A97" s="2311">
        <v>23</v>
      </c>
      <c r="B97" s="4571"/>
      <c r="C97" s="2291" t="s">
        <v>2590</v>
      </c>
      <c r="D97" s="2291" t="s">
        <v>2591</v>
      </c>
      <c r="E97" s="3232">
        <v>0.15</v>
      </c>
      <c r="F97" s="3233">
        <v>20</v>
      </c>
    </row>
    <row r="98" spans="1:6" ht="13.5">
      <c r="A98" s="2311">
        <v>24</v>
      </c>
      <c r="B98" s="4571"/>
      <c r="C98" s="2291" t="s">
        <v>2592</v>
      </c>
      <c r="D98" s="2291" t="s">
        <v>2593</v>
      </c>
      <c r="E98" s="3232">
        <v>0.1</v>
      </c>
      <c r="F98" s="3233">
        <v>15</v>
      </c>
    </row>
    <row r="99" spans="1:6" ht="13.5">
      <c r="A99" s="2311">
        <v>25</v>
      </c>
      <c r="B99" s="4571"/>
      <c r="C99" s="2291" t="s">
        <v>2594</v>
      </c>
      <c r="D99" s="2291" t="s">
        <v>2595</v>
      </c>
      <c r="E99" s="3232">
        <v>0.1</v>
      </c>
      <c r="F99" s="3233">
        <v>15</v>
      </c>
    </row>
    <row r="100" spans="1:6" ht="24">
      <c r="A100" s="2311">
        <v>26</v>
      </c>
      <c r="B100" s="4571"/>
      <c r="C100" s="2291" t="s">
        <v>2596</v>
      </c>
      <c r="D100" s="2291" t="s">
        <v>2597</v>
      </c>
      <c r="E100" s="3232">
        <v>0.1</v>
      </c>
      <c r="F100" s="3233">
        <v>15</v>
      </c>
    </row>
    <row r="101" spans="1:6" ht="24">
      <c r="A101" s="2311">
        <v>27</v>
      </c>
      <c r="B101" s="4571"/>
      <c r="C101" s="2291" t="s">
        <v>2598</v>
      </c>
      <c r="D101" s="2291" t="s">
        <v>2599</v>
      </c>
      <c r="E101" s="3232">
        <v>0.1</v>
      </c>
      <c r="F101" s="3233">
        <v>15</v>
      </c>
    </row>
    <row r="102" spans="1:6" ht="13.5">
      <c r="A102" s="2311">
        <v>28</v>
      </c>
      <c r="B102" s="4571"/>
      <c r="C102" s="2291" t="s">
        <v>2600</v>
      </c>
      <c r="D102" s="2291" t="s">
        <v>2601</v>
      </c>
      <c r="E102" s="3232">
        <v>0.1</v>
      </c>
      <c r="F102" s="3233">
        <v>15</v>
      </c>
    </row>
    <row r="103" spans="1:6" ht="13.5">
      <c r="A103" s="2311">
        <v>29</v>
      </c>
      <c r="B103" s="4571"/>
      <c r="C103" s="2291" t="s">
        <v>2602</v>
      </c>
      <c r="D103" s="2291" t="s">
        <v>2603</v>
      </c>
      <c r="E103" s="3232">
        <v>0.1</v>
      </c>
      <c r="F103" s="3233">
        <v>15</v>
      </c>
    </row>
    <row r="104" spans="1:6" ht="13.5">
      <c r="A104" s="2311">
        <v>30</v>
      </c>
      <c r="B104" s="4571"/>
      <c r="C104" s="2291" t="s">
        <v>2604</v>
      </c>
      <c r="D104" s="2291" t="s">
        <v>2605</v>
      </c>
      <c r="E104" s="3232">
        <v>0.1</v>
      </c>
      <c r="F104" s="3233">
        <v>15</v>
      </c>
    </row>
    <row r="105" spans="1:6" ht="24">
      <c r="A105" s="2311">
        <v>31</v>
      </c>
      <c r="B105" s="4571"/>
      <c r="C105" s="2291" t="s">
        <v>2606</v>
      </c>
      <c r="D105" s="2291" t="s">
        <v>2607</v>
      </c>
      <c r="E105" s="3232">
        <v>0.1</v>
      </c>
      <c r="F105" s="3233">
        <v>15</v>
      </c>
    </row>
    <row r="106" spans="1:6" ht="24">
      <c r="A106" s="2311">
        <v>32</v>
      </c>
      <c r="B106" s="4571"/>
      <c r="C106" s="2291" t="s">
        <v>2608</v>
      </c>
      <c r="D106" s="2291" t="s">
        <v>2609</v>
      </c>
      <c r="E106" s="3232">
        <v>0.1</v>
      </c>
      <c r="F106" s="3233">
        <v>15</v>
      </c>
    </row>
    <row r="107" spans="1:6" ht="24">
      <c r="A107" s="2311">
        <v>33</v>
      </c>
      <c r="B107" s="4571"/>
      <c r="C107" s="2291" t="s">
        <v>2610</v>
      </c>
      <c r="D107" s="2291" t="s">
        <v>2611</v>
      </c>
      <c r="E107" s="3232">
        <v>0.1</v>
      </c>
      <c r="F107" s="3233">
        <v>15</v>
      </c>
    </row>
    <row r="108" spans="1:6" ht="24">
      <c r="A108" s="2311">
        <v>34</v>
      </c>
      <c r="B108" s="4577"/>
      <c r="C108" s="2291" t="s">
        <v>2612</v>
      </c>
      <c r="D108" s="2291" t="s">
        <v>2613</v>
      </c>
      <c r="E108" s="3232">
        <v>0.1</v>
      </c>
      <c r="F108" s="3233">
        <v>15</v>
      </c>
    </row>
    <row r="109" spans="1:6" ht="24">
      <c r="A109" s="2311">
        <v>35</v>
      </c>
      <c r="B109" s="4572" t="s">
        <v>2614</v>
      </c>
      <c r="C109" s="2311" t="s">
        <v>2615</v>
      </c>
      <c r="D109" s="2291" t="s">
        <v>2616</v>
      </c>
      <c r="E109" s="3232">
        <v>0.15</v>
      </c>
      <c r="F109" s="3233">
        <v>20</v>
      </c>
    </row>
    <row r="110" spans="1:6" ht="13.5">
      <c r="A110" s="2311">
        <v>36</v>
      </c>
      <c r="B110" s="4571"/>
      <c r="C110" s="2311" t="s">
        <v>2617</v>
      </c>
      <c r="D110" s="2291" t="s">
        <v>2618</v>
      </c>
      <c r="E110" s="3232">
        <v>0.15</v>
      </c>
      <c r="F110" s="3233">
        <v>20</v>
      </c>
    </row>
    <row r="111" spans="1:6" ht="13.5">
      <c r="A111" s="2311">
        <v>37</v>
      </c>
      <c r="B111" s="4571"/>
      <c r="C111" s="2311" t="s">
        <v>2619</v>
      </c>
      <c r="D111" s="2291" t="s">
        <v>2620</v>
      </c>
      <c r="E111" s="3232">
        <v>0.15</v>
      </c>
      <c r="F111" s="3233">
        <v>20</v>
      </c>
    </row>
    <row r="112" spans="1:6" ht="13.5">
      <c r="A112" s="2311">
        <v>38</v>
      </c>
      <c r="B112" s="4571"/>
      <c r="C112" s="2311" t="s">
        <v>2621</v>
      </c>
      <c r="D112" s="2291" t="s">
        <v>2622</v>
      </c>
      <c r="E112" s="3232">
        <v>0.1</v>
      </c>
      <c r="F112" s="3233">
        <v>15</v>
      </c>
    </row>
    <row r="113" spans="1:6" ht="24">
      <c r="A113" s="2311">
        <v>39</v>
      </c>
      <c r="B113" s="4571"/>
      <c r="C113" s="2311" t="s">
        <v>2623</v>
      </c>
      <c r="D113" s="2291" t="s">
        <v>2624</v>
      </c>
      <c r="E113" s="3232">
        <v>0.1</v>
      </c>
      <c r="F113" s="3233">
        <v>15</v>
      </c>
    </row>
    <row r="114" spans="1:6" ht="24">
      <c r="A114" s="2311">
        <v>40</v>
      </c>
      <c r="B114" s="4577"/>
      <c r="C114" s="2311" t="s">
        <v>2625</v>
      </c>
      <c r="D114" s="2291" t="s">
        <v>2626</v>
      </c>
      <c r="E114" s="3232">
        <v>0.1</v>
      </c>
      <c r="F114" s="3233">
        <v>15</v>
      </c>
    </row>
    <row r="115" spans="1:6" ht="13.5">
      <c r="A115" s="2311">
        <v>41</v>
      </c>
      <c r="B115" s="4565" t="s">
        <v>2627</v>
      </c>
      <c r="C115" s="2311" t="s">
        <v>2628</v>
      </c>
      <c r="D115" s="2291" t="s">
        <v>2629</v>
      </c>
      <c r="E115" s="3232">
        <v>0.1</v>
      </c>
      <c r="F115" s="3233">
        <v>15</v>
      </c>
    </row>
    <row r="116" spans="1:6" ht="13.5">
      <c r="A116" s="2311">
        <v>42</v>
      </c>
      <c r="B116" s="4565"/>
      <c r="C116" s="2311" t="s">
        <v>2630</v>
      </c>
      <c r="D116" s="2291" t="s">
        <v>2631</v>
      </c>
      <c r="E116" s="3232">
        <v>0.1</v>
      </c>
      <c r="F116" s="3233">
        <v>15</v>
      </c>
    </row>
    <row r="117" spans="1:6" ht="24">
      <c r="A117" s="2311">
        <v>43</v>
      </c>
      <c r="B117" s="4565"/>
      <c r="C117" s="2311" t="s">
        <v>2632</v>
      </c>
      <c r="D117" s="2291" t="s">
        <v>2633</v>
      </c>
      <c r="E117" s="3232">
        <v>0.1</v>
      </c>
      <c r="F117" s="3233">
        <v>15</v>
      </c>
    </row>
    <row r="118" spans="1:6" ht="13.5">
      <c r="A118" s="2311">
        <v>44</v>
      </c>
      <c r="B118" s="4572" t="s">
        <v>2634</v>
      </c>
      <c r="C118" s="2311" t="s">
        <v>2635</v>
      </c>
      <c r="D118" s="2291" t="s">
        <v>2636</v>
      </c>
      <c r="E118" s="3232">
        <v>0.1</v>
      </c>
      <c r="F118" s="3233">
        <v>15</v>
      </c>
    </row>
    <row r="119" spans="1:6" ht="24">
      <c r="A119" s="2311">
        <v>45</v>
      </c>
      <c r="B119" s="4577"/>
      <c r="C119" s="2291" t="s">
        <v>2637</v>
      </c>
      <c r="D119" s="2291" t="s">
        <v>2638</v>
      </c>
      <c r="E119" s="3232">
        <v>0.1</v>
      </c>
      <c r="F119" s="3233">
        <v>15</v>
      </c>
    </row>
    <row r="120" spans="1:6" ht="24">
      <c r="A120" s="2311">
        <v>46</v>
      </c>
      <c r="B120" s="4572" t="s">
        <v>2639</v>
      </c>
      <c r="C120" s="2311" t="s">
        <v>2640</v>
      </c>
      <c r="D120" s="2291" t="s">
        <v>2641</v>
      </c>
      <c r="E120" s="3232">
        <v>0.1</v>
      </c>
      <c r="F120" s="3233">
        <v>15</v>
      </c>
    </row>
    <row r="121" spans="1:6" ht="24">
      <c r="A121" s="2311">
        <v>47</v>
      </c>
      <c r="B121" s="4577"/>
      <c r="C121" s="2311" t="s">
        <v>2642</v>
      </c>
      <c r="D121" s="2291" t="s">
        <v>2643</v>
      </c>
      <c r="E121" s="3232">
        <v>0.1</v>
      </c>
      <c r="F121" s="3233">
        <v>15</v>
      </c>
    </row>
    <row r="122" spans="1:6" ht="13.5">
      <c r="A122" s="2311">
        <v>48</v>
      </c>
      <c r="B122" s="4572" t="s">
        <v>2644</v>
      </c>
      <c r="C122" s="2311" t="s">
        <v>2645</v>
      </c>
      <c r="D122" s="2291" t="s">
        <v>2646</v>
      </c>
      <c r="E122" s="3232">
        <v>0.1</v>
      </c>
      <c r="F122" s="3233">
        <v>15</v>
      </c>
    </row>
    <row r="123" spans="1:6" ht="13.5">
      <c r="A123" s="2311">
        <v>49</v>
      </c>
      <c r="B123" s="4577"/>
      <c r="C123" s="2311" t="s">
        <v>2647</v>
      </c>
      <c r="D123" s="2291" t="s">
        <v>2648</v>
      </c>
      <c r="E123" s="3232">
        <v>0.1</v>
      </c>
      <c r="F123" s="3233">
        <v>15</v>
      </c>
    </row>
    <row r="124" spans="1:6" ht="24">
      <c r="A124" s="2311">
        <v>50</v>
      </c>
      <c r="B124" s="4565" t="s">
        <v>2649</v>
      </c>
      <c r="C124" s="2311" t="s">
        <v>2650</v>
      </c>
      <c r="D124" s="2291" t="s">
        <v>2651</v>
      </c>
      <c r="E124" s="3232">
        <v>0.1</v>
      </c>
      <c r="F124" s="3233">
        <v>15</v>
      </c>
    </row>
    <row r="125" spans="1:6" ht="24">
      <c r="A125" s="2311">
        <v>51</v>
      </c>
      <c r="B125" s="4565"/>
      <c r="C125" s="2311" t="s">
        <v>2652</v>
      </c>
      <c r="D125" s="2291" t="s">
        <v>2653</v>
      </c>
      <c r="E125" s="3232">
        <v>0.1</v>
      </c>
      <c r="F125" s="3233">
        <v>15</v>
      </c>
    </row>
    <row r="126" spans="1:6" ht="24">
      <c r="A126" s="2311">
        <v>52</v>
      </c>
      <c r="B126" s="4565" t="s">
        <v>2654</v>
      </c>
      <c r="C126" s="2311" t="s">
        <v>2655</v>
      </c>
      <c r="D126" s="2291" t="s">
        <v>2656</v>
      </c>
      <c r="E126" s="3232">
        <v>0.1</v>
      </c>
      <c r="F126" s="3233">
        <v>15</v>
      </c>
    </row>
    <row r="127" spans="1:6" ht="24">
      <c r="A127" s="2311">
        <v>53</v>
      </c>
      <c r="B127" s="4565"/>
      <c r="C127" s="2311" t="s">
        <v>2657</v>
      </c>
      <c r="D127" s="2291" t="s">
        <v>2658</v>
      </c>
      <c r="E127" s="3232">
        <v>0.1</v>
      </c>
      <c r="F127" s="3233">
        <v>15</v>
      </c>
    </row>
    <row r="128" spans="1:6" ht="13.5">
      <c r="A128" s="2311">
        <v>54</v>
      </c>
      <c r="B128" s="2311" t="s">
        <v>2659</v>
      </c>
      <c r="C128" s="2311" t="s">
        <v>2660</v>
      </c>
      <c r="D128" s="2291" t="s">
        <v>2661</v>
      </c>
      <c r="E128" s="3232">
        <v>0.1</v>
      </c>
      <c r="F128" s="3233">
        <v>15</v>
      </c>
    </row>
    <row r="129" spans="1:6" ht="13.5">
      <c r="A129" s="2311">
        <v>55</v>
      </c>
      <c r="B129" s="4565" t="s">
        <v>2662</v>
      </c>
      <c r="C129" s="2311" t="s">
        <v>2663</v>
      </c>
      <c r="D129" s="2291" t="s">
        <v>2664</v>
      </c>
      <c r="E129" s="3232">
        <v>0.1</v>
      </c>
      <c r="F129" s="3233">
        <v>15</v>
      </c>
    </row>
    <row r="130" spans="1:6" ht="13.5">
      <c r="A130" s="2311">
        <v>56</v>
      </c>
      <c r="B130" s="4565"/>
      <c r="C130" s="2311" t="s">
        <v>2665</v>
      </c>
      <c r="D130" s="2291" t="s">
        <v>2666</v>
      </c>
      <c r="E130" s="3232">
        <v>0.1</v>
      </c>
      <c r="F130" s="3233">
        <v>15</v>
      </c>
    </row>
    <row r="131" spans="1:6" ht="24">
      <c r="A131" s="2311">
        <v>57</v>
      </c>
      <c r="B131" s="4565"/>
      <c r="C131" s="2311" t="s">
        <v>2667</v>
      </c>
      <c r="D131" s="2291" t="s">
        <v>2668</v>
      </c>
      <c r="E131" s="3232">
        <v>0.1</v>
      </c>
      <c r="F131" s="3233">
        <v>15</v>
      </c>
    </row>
    <row r="132" spans="1:6" ht="24">
      <c r="A132" s="2311">
        <v>58</v>
      </c>
      <c r="B132" s="4565" t="s">
        <v>2669</v>
      </c>
      <c r="C132" s="2311" t="s">
        <v>2670</v>
      </c>
      <c r="D132" s="2291" t="s">
        <v>2671</v>
      </c>
      <c r="E132" s="3232">
        <v>0.1</v>
      </c>
      <c r="F132" s="3233">
        <v>15</v>
      </c>
    </row>
    <row r="133" spans="1:6" ht="13.5">
      <c r="A133" s="2311">
        <v>59</v>
      </c>
      <c r="B133" s="4565"/>
      <c r="C133" s="2311" t="s">
        <v>2672</v>
      </c>
      <c r="D133" s="2291" t="s">
        <v>2673</v>
      </c>
      <c r="E133" s="3232">
        <v>0.1</v>
      </c>
      <c r="F133" s="3233">
        <v>15</v>
      </c>
    </row>
    <row r="134" spans="1:6" ht="13.5">
      <c r="A134" s="2311">
        <v>60</v>
      </c>
      <c r="B134" s="4572" t="s">
        <v>2674</v>
      </c>
      <c r="C134" s="2311" t="s">
        <v>2675</v>
      </c>
      <c r="D134" s="2291" t="s">
        <v>2676</v>
      </c>
      <c r="E134" s="3232">
        <v>0.1</v>
      </c>
      <c r="F134" s="3233">
        <v>15</v>
      </c>
    </row>
    <row r="135" spans="1:6" ht="13.5">
      <c r="A135" s="2311">
        <v>61</v>
      </c>
      <c r="B135" s="4577"/>
      <c r="C135" s="2311" t="s">
        <v>2677</v>
      </c>
      <c r="D135" s="2291" t="s">
        <v>2678</v>
      </c>
      <c r="E135" s="3232">
        <v>0.1</v>
      </c>
      <c r="F135" s="3233">
        <v>15</v>
      </c>
    </row>
    <row r="136" spans="1:6" ht="24">
      <c r="A136" s="2311">
        <v>62</v>
      </c>
      <c r="B136" s="2311" t="s">
        <v>2679</v>
      </c>
      <c r="C136" s="2311" t="s">
        <v>2680</v>
      </c>
      <c r="D136" s="2291" t="s">
        <v>2681</v>
      </c>
      <c r="E136" s="3232">
        <v>0.1</v>
      </c>
      <c r="F136" s="3233">
        <v>15</v>
      </c>
    </row>
    <row r="137" spans="1:6" ht="13.5">
      <c r="A137" s="2311">
        <v>63</v>
      </c>
      <c r="B137" s="4565" t="s">
        <v>2682</v>
      </c>
      <c r="C137" s="2311" t="s">
        <v>2683</v>
      </c>
      <c r="D137" s="2291" t="s">
        <v>2684</v>
      </c>
      <c r="E137" s="3232">
        <v>0.1</v>
      </c>
      <c r="F137" s="3233">
        <v>15</v>
      </c>
    </row>
    <row r="138" spans="1:6" ht="13.5">
      <c r="A138" s="2311">
        <v>64</v>
      </c>
      <c r="B138" s="4565"/>
      <c r="C138" s="2311" t="s">
        <v>2685</v>
      </c>
      <c r="D138" s="2291" t="s">
        <v>2686</v>
      </c>
      <c r="E138" s="3232">
        <v>0.1</v>
      </c>
      <c r="F138" s="3233">
        <v>15</v>
      </c>
    </row>
    <row r="139" spans="1:6" ht="13.5">
      <c r="A139" s="2311">
        <v>65</v>
      </c>
      <c r="B139" s="2311" t="s">
        <v>2687</v>
      </c>
      <c r="C139" s="2311" t="s">
        <v>2688</v>
      </c>
      <c r="D139" s="2291" t="s">
        <v>2689</v>
      </c>
      <c r="E139" s="3232">
        <v>0.1</v>
      </c>
      <c r="F139" s="3233">
        <v>15</v>
      </c>
    </row>
    <row r="140" spans="1:6" ht="13.5">
      <c r="A140" s="2311"/>
      <c r="B140" s="2311"/>
      <c r="C140" s="2311"/>
      <c r="D140" s="2311"/>
      <c r="E140" s="2311" t="s">
        <v>2690</v>
      </c>
      <c r="F140" s="2311"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topLeftCell="A181" zoomScale="90" zoomScaleNormal="90" workbookViewId="0">
      <selection activeCell="A198" sqref="A198:XFD198"/>
    </sheetView>
  </sheetViews>
  <sheetFormatPr defaultColWidth="9" defaultRowHeight="13.5"/>
  <cols>
    <col min="1" max="13" width="9" style="2333"/>
  </cols>
  <sheetData>
    <row r="1" spans="1:20" ht="15" thickBot="1">
      <c r="A1" s="2319" t="s">
        <v>2691</v>
      </c>
      <c r="B1" s="2319"/>
      <c r="C1" s="2319"/>
      <c r="D1" s="2319"/>
      <c r="E1" s="2319"/>
      <c r="F1" s="2319"/>
      <c r="G1" s="2319"/>
      <c r="H1" s="2319"/>
      <c r="I1" s="2319"/>
      <c r="J1" s="2319"/>
      <c r="K1" s="2319"/>
      <c r="L1" s="2319"/>
      <c r="M1" s="2319"/>
      <c r="N1" s="522"/>
    </row>
    <row r="2" spans="1:20">
      <c r="A2" s="2320" t="s">
        <v>2692</v>
      </c>
      <c r="B2" s="2321" t="s">
        <v>2488</v>
      </c>
      <c r="C2" s="2321" t="s">
        <v>2489</v>
      </c>
      <c r="D2" s="2321" t="s">
        <v>2490</v>
      </c>
      <c r="E2" s="2321" t="s">
        <v>2491</v>
      </c>
      <c r="F2" s="2321" t="s">
        <v>2492</v>
      </c>
      <c r="G2" s="2321" t="s">
        <v>2493</v>
      </c>
      <c r="H2" s="2322" t="s">
        <v>2494</v>
      </c>
      <c r="I2" s="2322" t="s">
        <v>2495</v>
      </c>
      <c r="J2" s="2323" t="s">
        <v>2496</v>
      </c>
      <c r="K2" s="2323" t="s">
        <v>2497</v>
      </c>
      <c r="L2" s="2323" t="s">
        <v>2498</v>
      </c>
      <c r="M2" s="2324" t="s">
        <v>2499</v>
      </c>
      <c r="Q2" s="2334" t="s">
        <v>2697</v>
      </c>
      <c r="R2" s="2334" t="s">
        <v>2698</v>
      </c>
      <c r="S2" s="2334" t="s">
        <v>2699</v>
      </c>
      <c r="T2" s="2334" t="s">
        <v>2700</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2693</v>
      </c>
      <c r="B93" s="2319"/>
      <c r="C93" s="2319"/>
      <c r="D93" s="2319"/>
      <c r="E93" s="2319"/>
      <c r="F93" s="2319"/>
      <c r="G93" s="2319"/>
      <c r="H93" s="2319"/>
      <c r="I93" s="2319"/>
      <c r="J93" s="2319"/>
      <c r="K93" s="2319"/>
      <c r="L93" s="2319"/>
      <c r="M93" s="2319"/>
    </row>
    <row r="94" spans="1:20">
      <c r="A94" s="2320" t="s">
        <v>2692</v>
      </c>
      <c r="B94" s="2321" t="s">
        <v>2488</v>
      </c>
      <c r="C94" s="2321" t="s">
        <v>2489</v>
      </c>
      <c r="D94" s="2321" t="s">
        <v>2490</v>
      </c>
      <c r="E94" s="2321" t="s">
        <v>2491</v>
      </c>
      <c r="F94" s="2321" t="s">
        <v>2492</v>
      </c>
      <c r="G94" s="2321" t="s">
        <v>2493</v>
      </c>
      <c r="H94" s="2322" t="s">
        <v>2494</v>
      </c>
      <c r="I94" s="2322" t="s">
        <v>2495</v>
      </c>
      <c r="J94" s="2323" t="s">
        <v>2496</v>
      </c>
      <c r="K94" s="2323" t="s">
        <v>2497</v>
      </c>
      <c r="L94" s="2323" t="s">
        <v>2498</v>
      </c>
      <c r="M94" s="2324" t="s">
        <v>2499</v>
      </c>
      <c r="N94">
        <f>SUMPRODUCT((A95:A184=ROUNDDOWN(基准地价修正!G3,1))*(B94:M94=基准地价修正!G2)*(B95:M184))</f>
        <v>1.0397000000000001</v>
      </c>
      <c r="Q94" s="2334" t="s">
        <v>2697</v>
      </c>
      <c r="R94" s="2334" t="s">
        <v>2698</v>
      </c>
      <c r="S94" s="2334" t="s">
        <v>2699</v>
      </c>
      <c r="T94" s="2334" t="s">
        <v>2700</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2694</v>
      </c>
      <c r="B185" s="2319"/>
      <c r="C185" s="2319"/>
      <c r="D185" s="2319"/>
      <c r="E185" s="2319"/>
      <c r="F185" s="2319"/>
      <c r="G185" s="2319"/>
      <c r="H185" s="2319"/>
      <c r="I185" s="2319"/>
      <c r="J185" s="2319"/>
      <c r="K185" s="2319"/>
      <c r="L185" s="2319"/>
      <c r="M185" s="2319"/>
    </row>
    <row r="186" spans="1:20">
      <c r="A186" s="2320" t="s">
        <v>2692</v>
      </c>
      <c r="B186" s="2321" t="s">
        <v>2488</v>
      </c>
      <c r="C186" s="2321" t="s">
        <v>2489</v>
      </c>
      <c r="D186" s="2321" t="s">
        <v>2490</v>
      </c>
      <c r="E186" s="2321" t="s">
        <v>2491</v>
      </c>
      <c r="F186" s="2321" t="s">
        <v>2492</v>
      </c>
      <c r="G186" s="2321" t="s">
        <v>2493</v>
      </c>
      <c r="H186" s="2322" t="s">
        <v>2494</v>
      </c>
      <c r="I186" s="2322" t="s">
        <v>2495</v>
      </c>
      <c r="J186" s="2323" t="s">
        <v>2496</v>
      </c>
      <c r="K186" s="2323" t="s">
        <v>2497</v>
      </c>
      <c r="L186" s="2323" t="s">
        <v>2498</v>
      </c>
      <c r="M186" s="2324" t="s">
        <v>2499</v>
      </c>
      <c r="Q186" s="2334" t="s">
        <v>2697</v>
      </c>
      <c r="R186" s="2334" t="s">
        <v>2698</v>
      </c>
      <c r="S186" s="2334" t="s">
        <v>2699</v>
      </c>
      <c r="T186" s="2334" t="s">
        <v>2700</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2695</v>
      </c>
      <c r="B277" s="2319"/>
      <c r="C277" s="2319"/>
      <c r="D277" s="2319"/>
      <c r="E277" s="2319"/>
      <c r="F277" s="2319"/>
      <c r="G277" s="2319"/>
      <c r="H277" s="2319"/>
      <c r="I277" s="2319"/>
      <c r="J277" s="2319"/>
      <c r="K277" s="2319"/>
      <c r="L277" s="2319"/>
      <c r="M277" s="2319"/>
    </row>
    <row r="278" spans="1:21">
      <c r="A278" s="2320" t="s">
        <v>2692</v>
      </c>
      <c r="B278" s="2321" t="s">
        <v>2488</v>
      </c>
      <c r="C278" s="2321" t="s">
        <v>2489</v>
      </c>
      <c r="D278" s="2321" t="s">
        <v>2490</v>
      </c>
      <c r="E278" s="2321" t="s">
        <v>2491</v>
      </c>
      <c r="F278" s="2321" t="s">
        <v>2492</v>
      </c>
      <c r="G278" s="2321" t="s">
        <v>2493</v>
      </c>
      <c r="H278" s="2322" t="s">
        <v>2494</v>
      </c>
      <c r="I278" s="2322" t="s">
        <v>2495</v>
      </c>
      <c r="J278" s="2323" t="s">
        <v>2496</v>
      </c>
      <c r="K278" s="2323" t="s">
        <v>2497</v>
      </c>
      <c r="L278" s="2323" t="s">
        <v>2498</v>
      </c>
      <c r="M278" s="2324" t="s">
        <v>2499</v>
      </c>
      <c r="Q278" s="2334" t="s">
        <v>2697</v>
      </c>
      <c r="R278" s="2334" t="s">
        <v>2698</v>
      </c>
      <c r="S278" s="2334" t="s">
        <v>2701</v>
      </c>
      <c r="T278" s="2334" t="s">
        <v>2702</v>
      </c>
      <c r="U278" s="2334" t="s">
        <v>2700</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2696</v>
      </c>
      <c r="B369" s="2332"/>
      <c r="C369" s="2332"/>
      <c r="D369" s="2332"/>
      <c r="E369" s="2332"/>
      <c r="F369" s="2332"/>
      <c r="G369" s="2332"/>
      <c r="H369" s="2332"/>
      <c r="I369" s="2332"/>
      <c r="J369" s="2332"/>
      <c r="K369" s="2332"/>
      <c r="L369" s="2332"/>
      <c r="M369" s="2332"/>
    </row>
    <row r="370" spans="1:20">
      <c r="A370" s="2320" t="s">
        <v>2692</v>
      </c>
      <c r="B370" s="2321" t="s">
        <v>2488</v>
      </c>
      <c r="C370" s="2321" t="s">
        <v>2489</v>
      </c>
      <c r="D370" s="2321" t="s">
        <v>2490</v>
      </c>
      <c r="E370" s="2321" t="s">
        <v>2491</v>
      </c>
      <c r="F370" s="2321" t="s">
        <v>2492</v>
      </c>
      <c r="G370" s="2321" t="s">
        <v>2493</v>
      </c>
      <c r="H370" s="2322" t="s">
        <v>2494</v>
      </c>
      <c r="I370" s="2322" t="s">
        <v>2495</v>
      </c>
      <c r="J370" s="2323" t="s">
        <v>2496</v>
      </c>
      <c r="K370" s="2323" t="s">
        <v>2497</v>
      </c>
      <c r="L370" s="2323" t="s">
        <v>2498</v>
      </c>
      <c r="M370" s="2324" t="s">
        <v>2499</v>
      </c>
      <c r="N370">
        <f>SUMPRODUCT((A371:A460=ROUNDDOWN(基准地价修正!G3,1))*(B370:M370=基准地价修正!G2)*(B371:M460))</f>
        <v>0.98899999999999999</v>
      </c>
      <c r="Q370" s="2334" t="s">
        <v>2697</v>
      </c>
      <c r="R370" s="2334" t="s">
        <v>2698</v>
      </c>
      <c r="S370" s="2334" t="s">
        <v>2699</v>
      </c>
      <c r="T370" s="2334" t="s">
        <v>2700</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36509</v>
      </c>
      <c r="C2" s="2" t="s">
        <v>104</v>
      </c>
      <c r="D2" s="95"/>
      <c r="E2" s="95"/>
      <c r="F2" s="95"/>
      <c r="G2" s="95"/>
    </row>
    <row r="3" spans="1:7" s="96" customFormat="1" ht="18" customHeight="1" thickBot="1">
      <c r="A3" s="99" t="s">
        <v>56</v>
      </c>
      <c r="B3" s="100">
        <f ca="1">ROUND(B2*10000/'数据-汇总表'!E3,0)</f>
        <v>14622</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173</v>
      </c>
      <c r="D9" s="566">
        <f>'数据-汇总表'!E5</f>
        <v>10800.690000000002</v>
      </c>
      <c r="E9" s="121">
        <f>'数据-取费表'!B27</f>
        <v>160</v>
      </c>
      <c r="F9" s="117"/>
      <c r="G9" s="122"/>
    </row>
    <row r="10" spans="1:7" s="110" customFormat="1" ht="13.5" customHeight="1">
      <c r="A10" s="540" t="s">
        <v>354</v>
      </c>
      <c r="B10" s="120" t="s">
        <v>65</v>
      </c>
      <c r="C10" s="121">
        <f>ROUND(D10*E10/10000,0)</f>
        <v>283</v>
      </c>
      <c r="D10" s="566">
        <f>'数据-汇总表'!E6</f>
        <v>14167.5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250</v>
      </c>
      <c r="D19" s="108">
        <f>'数据-汇总表'!E3</f>
        <v>24968.190000000002</v>
      </c>
      <c r="E19" s="107">
        <f>'数据-取费表'!B31</f>
        <v>100</v>
      </c>
      <c r="F19" s="127"/>
      <c r="G19" s="1" t="s">
        <v>430</v>
      </c>
    </row>
    <row r="20" spans="1:7" s="110" customFormat="1" ht="13.5" customHeight="1">
      <c r="A20" s="538" t="s">
        <v>413</v>
      </c>
      <c r="B20" s="106" t="s">
        <v>75</v>
      </c>
      <c r="C20" s="128">
        <f>ROUND((C5+C19)*F20,0)</f>
        <v>417</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727</v>
      </c>
      <c r="D22" s="131">
        <f ca="1">C26</f>
        <v>5.0000000000000001E-4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711</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9</v>
      </c>
      <c r="D24" s="134"/>
      <c r="E24" s="134"/>
      <c r="F24" s="135"/>
      <c r="G24" s="136" t="s">
        <v>80</v>
      </c>
    </row>
    <row r="25" spans="1:7" s="110" customFormat="1" ht="24">
      <c r="A25" s="541" t="s">
        <v>346</v>
      </c>
      <c r="B25" s="111" t="s">
        <v>414</v>
      </c>
      <c r="C25" s="774">
        <f ca="1">ROUND(IF('数据-取费表'!B22&lt;=1,C20*F22*'数据-取费表'!B23/2,C20*(POWER((1+F22),'数据-取费表'!B23/2)-1)),0)</f>
        <v>7</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819</v>
      </c>
      <c r="D27" s="131">
        <f>C29</f>
        <v>1.1999999999999999E-3</v>
      </c>
      <c r="E27" s="132" t="s">
        <v>97</v>
      </c>
      <c r="F27" s="142">
        <f>'数据-取费表'!Q16</f>
        <v>7.0000000000000007E-2</v>
      </c>
      <c r="G27" s="143" t="s">
        <v>425</v>
      </c>
    </row>
    <row r="28" spans="1:7" s="110" customFormat="1" ht="13.5" customHeight="1">
      <c r="A28" s="541" t="s">
        <v>347</v>
      </c>
      <c r="B28" s="144" t="s">
        <v>418</v>
      </c>
      <c r="C28" s="145">
        <f>ROUND((C5+C19+C20)*F27*'数据-取费表'!B21/'数据-取费表'!B20,0)</f>
        <v>819</v>
      </c>
      <c r="D28" s="131"/>
      <c r="E28" s="132"/>
      <c r="F28" s="142"/>
      <c r="G28" s="143"/>
    </row>
    <row r="29" spans="1:7" s="110" customFormat="1" ht="13.5" customHeight="1">
      <c r="A29" s="541" t="s">
        <v>345</v>
      </c>
      <c r="B29" s="144" t="s">
        <v>419</v>
      </c>
      <c r="C29" s="134">
        <f>ROUND(C21*F27*'数据-取费表'!B21/'数据-取费表'!B20,4)</f>
        <v>1.1999999999999999E-3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23570</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11288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10227</v>
      </c>
      <c r="D34" s="113"/>
      <c r="E34" s="116"/>
      <c r="F34" s="153">
        <f>IF('数据-取费表'!B24=0,1,'数据-取费表'!N16)</f>
        <v>0.55000000000000004</v>
      </c>
      <c r="G34" s="115" t="s">
        <v>87</v>
      </c>
    </row>
    <row r="35" spans="1:7" ht="13.5" customHeight="1">
      <c r="A35" s="541" t="s">
        <v>349</v>
      </c>
      <c r="B35" s="111" t="s">
        <v>31</v>
      </c>
      <c r="C35" s="116">
        <f>ROUND(C34*F35,0)</f>
        <v>256</v>
      </c>
      <c r="D35" s="116"/>
      <c r="E35" s="116"/>
      <c r="F35" s="155">
        <f>'数据-取费表'!B33</f>
        <v>2.5000000000000001E-2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178</v>
      </c>
      <c r="D36" s="116"/>
      <c r="E36" s="116"/>
      <c r="F36" s="155">
        <f>'数据-取费表'!B34</f>
        <v>0.03</v>
      </c>
      <c r="G36" s="156" t="s">
        <v>33</v>
      </c>
    </row>
    <row r="37" spans="1:7" s="154" customFormat="1" ht="13.5" customHeight="1">
      <c r="A37" s="541" t="s">
        <v>351</v>
      </c>
      <c r="B37" s="111" t="s">
        <v>89</v>
      </c>
      <c r="C37" s="145">
        <f>ROUND(E37*D37*F34/10000,0)</f>
        <v>494</v>
      </c>
      <c r="D37" s="113">
        <f>'数据-汇总表'!E3</f>
        <v>24968.190000000002</v>
      </c>
      <c r="E37" s="145">
        <f>'数据-取费表'!B35</f>
        <v>360</v>
      </c>
      <c r="F37" s="155"/>
      <c r="G37" s="157" t="s">
        <v>90</v>
      </c>
    </row>
    <row r="38" spans="1:7" ht="13.5" customHeight="1">
      <c r="A38" s="541" t="s">
        <v>352</v>
      </c>
      <c r="B38" s="111" t="s">
        <v>34</v>
      </c>
      <c r="C38" s="116">
        <f>ROUND(C34*F38,0)</f>
        <v>133</v>
      </c>
      <c r="D38" s="116"/>
      <c r="E38" s="116"/>
      <c r="F38" s="155">
        <f>'数据-取费表'!B36</f>
        <v>1.2999999999999999E-2</v>
      </c>
      <c r="G38" s="115" t="s">
        <v>88</v>
      </c>
    </row>
    <row r="39" spans="1:7" s="110" customFormat="1" ht="13.5" customHeight="1">
      <c r="A39" s="538" t="s">
        <v>336</v>
      </c>
      <c r="B39" s="106" t="s">
        <v>75</v>
      </c>
      <c r="C39" s="128">
        <f>ROUND(C33*F20,0)</f>
        <v>226</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197</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193</v>
      </c>
      <c r="D42" s="134"/>
      <c r="E42" s="134"/>
      <c r="F42" s="135"/>
      <c r="G42" s="4367" t="s">
        <v>92</v>
      </c>
    </row>
    <row r="43" spans="1:7" ht="13.5" customHeight="1">
      <c r="A43" s="541" t="s">
        <v>345</v>
      </c>
      <c r="B43" s="111" t="s">
        <v>420</v>
      </c>
      <c r="C43" s="134">
        <f ca="1">ROUND(IF('数据-取费表'!B22&lt;=1,C39*F22*'数据-取费表'!B21/2,C39*(POWER((1+F22),'数据-取费表'!B21/2)-1)),0)</f>
        <v>4</v>
      </c>
      <c r="D43" s="134"/>
      <c r="E43" s="134"/>
      <c r="F43" s="135"/>
      <c r="G43" s="4369"/>
    </row>
    <row r="44" spans="1:7" ht="13.5" customHeight="1">
      <c r="A44" s="541" t="s">
        <v>346</v>
      </c>
      <c r="B44" s="111" t="s">
        <v>422</v>
      </c>
      <c r="C44" s="134">
        <f ca="1">ROUND(IF('数据-取费表'!B22&lt;=1,C40*F22*'数据-取费表'!B21/2,C40*(POWER((1+F22),'数据-取费表'!B21/2)-1)),4)</f>
        <v>5.0000000000000001E-4</v>
      </c>
      <c r="D44" s="134"/>
      <c r="E44" s="134"/>
      <c r="F44" s="135"/>
      <c r="G44" s="4368"/>
    </row>
    <row r="45" spans="1:7" s="110" customFormat="1" ht="13.5" customHeight="1">
      <c r="A45" s="538" t="s">
        <v>339</v>
      </c>
      <c r="B45" s="140" t="s">
        <v>83</v>
      </c>
      <c r="C45" s="141">
        <f>C46</f>
        <v>806</v>
      </c>
      <c r="D45" s="131">
        <f>C47</f>
        <v>2.0999999999999999E-3</v>
      </c>
      <c r="E45" s="132" t="s">
        <v>100</v>
      </c>
      <c r="F45" s="142"/>
      <c r="G45" s="143" t="s">
        <v>428</v>
      </c>
    </row>
    <row r="46" spans="1:7" s="110" customFormat="1" ht="13.5" customHeight="1">
      <c r="A46" s="541" t="s">
        <v>347</v>
      </c>
      <c r="B46" s="144" t="s">
        <v>421</v>
      </c>
      <c r="C46" s="145">
        <f>ROUND((C33+C39)*F27,0)</f>
        <v>806</v>
      </c>
      <c r="D46" s="159"/>
      <c r="E46" s="132"/>
      <c r="F46" s="142"/>
      <c r="G46" s="143"/>
    </row>
    <row r="47" spans="1:7" s="110" customFormat="1" ht="13.5" customHeight="1">
      <c r="A47" s="541" t="s">
        <v>345</v>
      </c>
      <c r="B47" s="144" t="s">
        <v>423</v>
      </c>
      <c r="C47" s="134">
        <f>ROUND(C40*F27,4)</f>
        <v>2.0999999999999999E-3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12939</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12939</v>
      </c>
      <c r="D51" s="128"/>
      <c r="E51" s="128"/>
      <c r="F51" s="160"/>
      <c r="G51" s="130" t="s">
        <v>35</v>
      </c>
    </row>
    <row r="52" spans="1:7" s="104" customFormat="1" ht="16.5" thickBot="1">
      <c r="A52" s="161" t="s">
        <v>36</v>
      </c>
      <c r="B52" s="162"/>
      <c r="C52" s="163">
        <f ca="1">C31+C51</f>
        <v>36509</v>
      </c>
      <c r="D52" s="162"/>
      <c r="E52" s="162"/>
      <c r="F52" s="162"/>
      <c r="G52" s="164"/>
    </row>
    <row r="55" spans="1:7" ht="15">
      <c r="B55" s="166" t="s">
        <v>37</v>
      </c>
      <c r="C55" s="167"/>
    </row>
    <row r="56" spans="1:7">
      <c r="B56" s="169" t="s">
        <v>38</v>
      </c>
      <c r="C56" s="170">
        <f ca="1">ROUND(C51/C52,3)</f>
        <v>0.35399999999999998</v>
      </c>
    </row>
    <row r="57" spans="1:7">
      <c r="B57" s="169" t="s">
        <v>39</v>
      </c>
      <c r="C57" s="171">
        <f ca="1">1-C56</f>
        <v>0.64600000000000002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73" t="str">
        <f>IF(项目基本情况!B9="房地产市场价值","估价结果一览表","结果表-2")</f>
        <v>结果表-2</v>
      </c>
      <c r="B1" s="4173"/>
      <c r="C1" s="4173"/>
      <c r="D1" s="4173"/>
      <c r="E1" s="4173"/>
      <c r="F1" s="4173"/>
      <c r="G1" s="4173"/>
      <c r="H1" s="4173"/>
      <c r="I1" s="4173"/>
    </row>
    <row r="2" spans="1:9" ht="30" customHeight="1" thickTop="1">
      <c r="A2" s="4174" t="s">
        <v>914</v>
      </c>
      <c r="B2" s="4174" t="s">
        <v>915</v>
      </c>
      <c r="C2" s="4174" t="s">
        <v>916</v>
      </c>
      <c r="D2" s="4174" t="str">
        <f>结果表!D116</f>
        <v>出让国有建设用地使用权价值</v>
      </c>
      <c r="E2" s="4174"/>
      <c r="F2" s="4174" t="str">
        <f>结果表!F116</f>
        <v>在建建筑物价值</v>
      </c>
      <c r="G2" s="4174"/>
      <c r="H2" s="4174" t="str">
        <f>IF(项目基本情况!B9="房地产市场价值","房地产市场价值","房地产价值")</f>
        <v>房地产价值</v>
      </c>
      <c r="I2" s="4174"/>
    </row>
    <row r="3" spans="1:9" ht="15">
      <c r="A3" s="4175"/>
      <c r="B3" s="4175"/>
      <c r="C3" s="4175"/>
      <c r="D3" s="572" t="s">
        <v>911</v>
      </c>
      <c r="E3" s="572" t="s">
        <v>917</v>
      </c>
      <c r="F3" s="572" t="s">
        <v>911</v>
      </c>
      <c r="G3" s="572" t="s">
        <v>912</v>
      </c>
      <c r="H3" s="572" t="s">
        <v>911</v>
      </c>
      <c r="I3" s="572" t="s">
        <v>912</v>
      </c>
    </row>
    <row r="4" spans="1:9" ht="30">
      <c r="A4" s="1084" t="str">
        <f>项目基本情况!S2</f>
        <v>北京市出让国有建设用地使用权及在建建筑物房地产</v>
      </c>
      <c r="B4" s="572">
        <f>项目基本情况!C17</f>
        <v>24968.190000000002</v>
      </c>
      <c r="C4" s="572">
        <f>项目基本情况!C18</f>
        <v>7720.15</v>
      </c>
      <c r="D4" s="572">
        <f ca="1">结果表!D118</f>
        <v>100922</v>
      </c>
      <c r="E4" s="572">
        <f ca="1">结果表!E118</f>
        <v>40421</v>
      </c>
      <c r="F4" s="572">
        <f ca="1">结果表!F118</f>
        <v>14023</v>
      </c>
      <c r="G4" s="572">
        <f ca="1">结果表!G118</f>
        <v>5616</v>
      </c>
      <c r="H4" s="572">
        <f ca="1">结果表!H118</f>
        <v>114945</v>
      </c>
      <c r="I4" s="572">
        <f ca="1">结果表!I118</f>
        <v>46037</v>
      </c>
    </row>
    <row r="5" spans="1:9" ht="30" customHeight="1">
      <c r="A5" s="4175" t="s">
        <v>913</v>
      </c>
      <c r="B5" s="4175"/>
      <c r="C5" s="4175"/>
      <c r="D5" s="4175" t="str">
        <f ca="1">结果表!D119</f>
        <v>壹拾亿零玖佰贰拾贰万元整</v>
      </c>
      <c r="E5" s="4175"/>
      <c r="F5" s="4175" t="str">
        <f ca="1">结果表!F119</f>
        <v>壹亿肆仟零贰拾叁万元整</v>
      </c>
      <c r="G5" s="4175"/>
      <c r="H5" s="4175" t="str">
        <f ca="1">结果表!H119</f>
        <v>壹拾壹亿肆仟玖佰肆拾伍万元整</v>
      </c>
      <c r="I5" s="4175"/>
    </row>
    <row r="6" spans="1:9" ht="15.75">
      <c r="A6" s="4176" t="str">
        <f>结果表!A120</f>
        <v>估价师知悉的法定优先受偿款</v>
      </c>
      <c r="B6" s="4176"/>
      <c r="C6" s="4176"/>
      <c r="D6" s="4176">
        <f>结果表!D120</f>
        <v>0</v>
      </c>
      <c r="E6" s="4176"/>
      <c r="F6" s="4176"/>
      <c r="G6" s="4176"/>
      <c r="H6" s="4176"/>
      <c r="I6" s="4176"/>
    </row>
    <row r="7" spans="1:9" ht="15">
      <c r="A7" s="4175" t="s">
        <v>913</v>
      </c>
      <c r="B7" s="4175"/>
      <c r="C7" s="4175"/>
      <c r="D7" s="4177" t="str">
        <f>结果表!D121</f>
        <v>零元整</v>
      </c>
      <c r="E7" s="4178"/>
      <c r="F7" s="4178"/>
      <c r="G7" s="4178"/>
      <c r="H7" s="4178"/>
      <c r="I7" s="4179"/>
    </row>
    <row r="8" spans="1:9" ht="15.75">
      <c r="A8" s="4176" t="str">
        <f>结果表!A122</f>
        <v>房地产抵押价值</v>
      </c>
      <c r="B8" s="4176"/>
      <c r="C8" s="4176"/>
      <c r="D8" s="4176">
        <f ca="1">结果表!D122</f>
        <v>114945</v>
      </c>
      <c r="E8" s="4176"/>
      <c r="F8" s="4176"/>
      <c r="G8" s="4176"/>
      <c r="H8" s="4176"/>
      <c r="I8" s="4176"/>
    </row>
    <row r="9" spans="1:9" ht="15">
      <c r="A9" s="4175" t="s">
        <v>913</v>
      </c>
      <c r="B9" s="4175"/>
      <c r="C9" s="4175"/>
      <c r="D9" s="4175" t="str">
        <f ca="1">结果表!D123</f>
        <v>壹拾壹亿肆仟玖佰肆拾伍万元整</v>
      </c>
      <c r="E9" s="4175"/>
      <c r="F9" s="4175"/>
      <c r="G9" s="4175"/>
      <c r="H9" s="4175"/>
      <c r="I9" s="4175"/>
    </row>
    <row r="10" spans="1:9" ht="15.75">
      <c r="A10" s="4176" t="str">
        <f>结果表!A124</f>
        <v/>
      </c>
      <c r="B10" s="4176"/>
      <c r="C10" s="4176"/>
      <c r="D10" s="4176" t="str">
        <f>结果表!D124</f>
        <v>——</v>
      </c>
      <c r="E10" s="4176"/>
      <c r="F10" s="4176"/>
      <c r="G10" s="4176"/>
      <c r="H10" s="4176"/>
      <c r="I10" s="4176"/>
    </row>
    <row r="11" spans="1:9" ht="15">
      <c r="A11" s="4175" t="s">
        <v>913</v>
      </c>
      <c r="B11" s="4175"/>
      <c r="C11" s="4175"/>
      <c r="D11" s="4175" t="e">
        <f>结果表!D125</f>
        <v>#VALUE!</v>
      </c>
      <c r="E11" s="4175"/>
      <c r="F11" s="4175"/>
      <c r="G11" s="4175"/>
      <c r="H11" s="4175"/>
      <c r="I11" s="4175"/>
    </row>
    <row r="12" spans="1:9" ht="15.75">
      <c r="A12" s="4176" t="str">
        <f>结果表!A126</f>
        <v/>
      </c>
      <c r="B12" s="4176"/>
      <c r="C12" s="4176"/>
      <c r="D12" s="4176" t="str">
        <f>结果表!D126</f>
        <v>——</v>
      </c>
      <c r="E12" s="4176"/>
      <c r="F12" s="4176"/>
      <c r="G12" s="4176"/>
      <c r="H12" s="4176"/>
      <c r="I12" s="4176"/>
    </row>
    <row r="13" spans="1:9" ht="15.75" thickBot="1">
      <c r="A13" s="4180" t="s">
        <v>913</v>
      </c>
      <c r="B13" s="4180"/>
      <c r="C13" s="4180"/>
      <c r="D13" s="4180" t="e">
        <f>结果表!D127</f>
        <v>#VALUE!</v>
      </c>
      <c r="E13" s="4180"/>
      <c r="F13" s="4180"/>
      <c r="G13" s="4180"/>
      <c r="H13" s="4180"/>
      <c r="I13" s="4180"/>
    </row>
    <row r="14" spans="1:9" ht="15" thickTop="1">
      <c r="A14" s="4181" t="s">
        <v>918</v>
      </c>
      <c r="B14" s="4181"/>
      <c r="C14" s="4181"/>
      <c r="D14" s="4181"/>
      <c r="E14" s="4181"/>
      <c r="F14" s="4181"/>
      <c r="G14" s="4181"/>
      <c r="H14" s="4181"/>
      <c r="I14" s="4181"/>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8" t="s">
        <v>3074</v>
      </c>
      <c r="B1" s="4578"/>
    </row>
    <row r="2" spans="1:7" ht="14.25" thickBot="1">
      <c r="A2" s="2409"/>
      <c r="B2" s="2409"/>
    </row>
    <row r="3" spans="1:7" ht="14.25" thickBot="1">
      <c r="A3" s="2409"/>
      <c r="B3" s="2409"/>
      <c r="C3" s="2410" t="s">
        <v>2704</v>
      </c>
      <c r="D3" s="2410" t="s">
        <v>2760</v>
      </c>
      <c r="E3" s="2410" t="s">
        <v>2706</v>
      </c>
      <c r="F3" s="2410" t="s">
        <v>2761</v>
      </c>
      <c r="G3" s="2410" t="s">
        <v>2524</v>
      </c>
    </row>
    <row r="4" spans="1:7" ht="14.25" thickBot="1">
      <c r="A4" s="2411" t="s">
        <v>2759</v>
      </c>
      <c r="B4" s="2412" t="s">
        <v>2765</v>
      </c>
      <c r="C4" s="2410"/>
      <c r="D4" s="2410"/>
      <c r="E4" s="2410"/>
      <c r="F4" s="2410"/>
      <c r="G4" s="2410"/>
    </row>
    <row r="5" spans="1:7">
      <c r="A5" s="2413" t="s">
        <v>2733</v>
      </c>
      <c r="B5" s="2414" t="s">
        <v>2747</v>
      </c>
      <c r="C5" s="2415">
        <v>9.8000000000000004E-2</v>
      </c>
      <c r="D5" s="2415">
        <v>8.6999999999999994E-2</v>
      </c>
      <c r="E5" s="2415">
        <v>8.6999999999999994E-2</v>
      </c>
      <c r="F5" s="2415">
        <v>9.8000000000000004E-2</v>
      </c>
      <c r="G5" s="2416">
        <v>9.5000000000000001E-2</v>
      </c>
    </row>
    <row r="6" spans="1:7">
      <c r="A6" s="2417" t="s">
        <v>142</v>
      </c>
      <c r="B6" s="2418" t="s">
        <v>2762</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2748</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2798</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2816</v>
      </c>
      <c r="C29" s="2427"/>
      <c r="D29" s="2423">
        <v>5.1999999999999998E-2</v>
      </c>
      <c r="E29" s="2423">
        <v>7.0000000000000007E-2</v>
      </c>
      <c r="F29" s="2427"/>
      <c r="G29" s="2425">
        <v>7.0999999999999994E-2</v>
      </c>
    </row>
    <row r="30" spans="1:7">
      <c r="A30" s="2428" t="s">
        <v>294</v>
      </c>
      <c r="B30" s="2414" t="s">
        <v>2749</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2735</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2819</v>
      </c>
      <c r="C50" s="2419">
        <v>9.8000000000000004E-2</v>
      </c>
      <c r="D50" s="2419">
        <v>7.2999999999999995E-2</v>
      </c>
      <c r="E50" s="2419">
        <v>7.0999999999999994E-2</v>
      </c>
      <c r="F50" s="2430"/>
      <c r="G50" s="2420">
        <v>7.2999999999999995E-2</v>
      </c>
    </row>
    <row r="51" spans="1:7">
      <c r="A51" s="2429" t="s">
        <v>294</v>
      </c>
      <c r="B51" s="2418" t="s">
        <v>2821</v>
      </c>
      <c r="C51" s="2419">
        <v>9.9000000000000005E-2</v>
      </c>
      <c r="D51" s="2419">
        <v>8.5000000000000006E-2</v>
      </c>
      <c r="E51" s="2419">
        <v>6.3E-2</v>
      </c>
      <c r="F51" s="2430"/>
      <c r="G51" s="2420">
        <v>9.6000000000000002E-2</v>
      </c>
    </row>
    <row r="52" spans="1:7">
      <c r="A52" s="2429" t="s">
        <v>294</v>
      </c>
      <c r="B52" s="2418" t="s">
        <v>2825</v>
      </c>
      <c r="C52" s="2419">
        <v>7.3999999999999996E-2</v>
      </c>
      <c r="D52" s="2419">
        <v>9.6000000000000002E-2</v>
      </c>
      <c r="E52" s="2419">
        <v>0.05</v>
      </c>
      <c r="F52" s="2430"/>
      <c r="G52" s="2420">
        <v>9.8000000000000004E-2</v>
      </c>
    </row>
    <row r="53" spans="1:7">
      <c r="A53" s="2429" t="s">
        <v>294</v>
      </c>
      <c r="B53" s="2418" t="s">
        <v>2830</v>
      </c>
      <c r="C53" s="2419">
        <v>8.5999999999999993E-2</v>
      </c>
      <c r="D53" s="2430"/>
      <c r="E53" s="2419">
        <v>9.1999999999999998E-2</v>
      </c>
      <c r="F53" s="2430"/>
      <c r="G53" s="2431"/>
    </row>
    <row r="54" spans="1:7" ht="14.25" thickBot="1">
      <c r="A54" s="2432" t="s">
        <v>294</v>
      </c>
      <c r="B54" s="2422" t="s">
        <v>2833</v>
      </c>
      <c r="C54" s="2423">
        <v>9.6000000000000002E-2</v>
      </c>
      <c r="D54" s="2424"/>
      <c r="E54" s="2433"/>
      <c r="F54" s="2424"/>
      <c r="G54" s="2434"/>
    </row>
    <row r="55" spans="1:7">
      <c r="A55" s="2428" t="s">
        <v>108</v>
      </c>
      <c r="B55" s="2414" t="s">
        <v>2750</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2831</v>
      </c>
      <c r="C78" s="2419">
        <v>0.1</v>
      </c>
      <c r="D78" s="2419">
        <v>8.5000000000000006E-2</v>
      </c>
      <c r="E78" s="2419">
        <v>9.6000000000000002E-2</v>
      </c>
      <c r="F78" s="2430"/>
      <c r="G78" s="2420">
        <v>9.6000000000000002E-2</v>
      </c>
    </row>
    <row r="79" spans="1:7">
      <c r="A79" s="2429" t="s">
        <v>108</v>
      </c>
      <c r="B79" s="2418" t="s">
        <v>2834</v>
      </c>
      <c r="C79" s="2419">
        <v>0.05</v>
      </c>
      <c r="D79" s="2419">
        <v>9.6000000000000002E-2</v>
      </c>
      <c r="E79" s="2419">
        <v>9.5000000000000001E-2</v>
      </c>
      <c r="F79" s="2430"/>
      <c r="G79" s="2420">
        <v>9.8000000000000004E-2</v>
      </c>
    </row>
    <row r="80" spans="1:7">
      <c r="A80" s="2429" t="s">
        <v>108</v>
      </c>
      <c r="B80" s="2418" t="s">
        <v>2838</v>
      </c>
      <c r="C80" s="2419">
        <v>8.5999999999999993E-2</v>
      </c>
      <c r="D80" s="2435"/>
      <c r="E80" s="2419">
        <v>0.1</v>
      </c>
      <c r="F80" s="2430"/>
      <c r="G80" s="2431"/>
    </row>
    <row r="81" spans="1:7">
      <c r="A81" s="2429" t="s">
        <v>108</v>
      </c>
      <c r="B81" s="2418" t="s">
        <v>2843</v>
      </c>
      <c r="C81" s="2419">
        <v>9.6000000000000002E-2</v>
      </c>
      <c r="D81" s="2430"/>
      <c r="E81" s="2419">
        <v>9.8000000000000004E-2</v>
      </c>
      <c r="F81" s="2430"/>
      <c r="G81" s="2431"/>
    </row>
    <row r="82" spans="1:7">
      <c r="A82" s="2429" t="s">
        <v>108</v>
      </c>
      <c r="B82" s="2418" t="s">
        <v>2850</v>
      </c>
      <c r="C82" s="2435"/>
      <c r="D82" s="2430"/>
      <c r="E82" s="2419">
        <v>7.6999999999999999E-2</v>
      </c>
      <c r="F82" s="2430"/>
      <c r="G82" s="2431"/>
    </row>
    <row r="83" spans="1:7">
      <c r="A83" s="2429" t="s">
        <v>108</v>
      </c>
      <c r="B83" s="2418" t="s">
        <v>2856</v>
      </c>
      <c r="C83" s="2430"/>
      <c r="D83" s="2430"/>
      <c r="E83" s="2430"/>
      <c r="F83" s="2419">
        <v>0.1</v>
      </c>
      <c r="G83" s="2436"/>
    </row>
    <row r="84" spans="1:7">
      <c r="A84" s="2429" t="s">
        <v>108</v>
      </c>
      <c r="B84" s="2418" t="s">
        <v>2863</v>
      </c>
      <c r="C84" s="2430"/>
      <c r="D84" s="2430"/>
      <c r="E84" s="2430"/>
      <c r="F84" s="2419">
        <v>0.1</v>
      </c>
      <c r="G84" s="2436"/>
    </row>
    <row r="85" spans="1:7">
      <c r="A85" s="2429" t="s">
        <v>108</v>
      </c>
      <c r="B85" s="2418" t="s">
        <v>2870</v>
      </c>
      <c r="C85" s="2430"/>
      <c r="D85" s="2430"/>
      <c r="E85" s="2430"/>
      <c r="F85" s="2419">
        <v>0.1</v>
      </c>
      <c r="G85" s="2436"/>
    </row>
    <row r="86" spans="1:7" ht="14.25" thickBot="1">
      <c r="A86" s="2432" t="s">
        <v>108</v>
      </c>
      <c r="B86" s="2422" t="s">
        <v>2875</v>
      </c>
      <c r="C86" s="2423">
        <v>9.8000000000000004E-2</v>
      </c>
      <c r="D86" s="2423">
        <v>9.8000000000000004E-2</v>
      </c>
      <c r="E86" s="2423">
        <v>9.6000000000000002E-2</v>
      </c>
      <c r="F86" s="2433"/>
      <c r="G86" s="2425">
        <v>0.1</v>
      </c>
    </row>
    <row r="87" spans="1:7">
      <c r="A87" s="2428" t="s">
        <v>301</v>
      </c>
      <c r="B87" s="2414" t="s">
        <v>2751</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2844</v>
      </c>
      <c r="C113" s="2419">
        <v>0.1</v>
      </c>
      <c r="D113" s="2419">
        <v>0.1</v>
      </c>
      <c r="E113" s="2430"/>
      <c r="F113" s="2430"/>
      <c r="G113" s="2420">
        <v>0.1</v>
      </c>
    </row>
    <row r="114" spans="1:7">
      <c r="A114" s="2429" t="s">
        <v>301</v>
      </c>
      <c r="B114" s="2418" t="s">
        <v>2851</v>
      </c>
      <c r="C114" s="2419">
        <v>9.7000000000000003E-2</v>
      </c>
      <c r="D114" s="2419">
        <v>9.7000000000000003E-2</v>
      </c>
      <c r="E114" s="2430"/>
      <c r="F114" s="2430"/>
      <c r="G114" s="2420">
        <v>9.9000000000000005E-2</v>
      </c>
    </row>
    <row r="115" spans="1:7">
      <c r="A115" s="2429" t="s">
        <v>301</v>
      </c>
      <c r="B115" s="2418" t="s">
        <v>2857</v>
      </c>
      <c r="C115" s="2419">
        <v>0.1</v>
      </c>
      <c r="D115" s="2419">
        <v>0.1</v>
      </c>
      <c r="E115" s="2430"/>
      <c r="F115" s="2430"/>
      <c r="G115" s="2420">
        <v>0.1</v>
      </c>
    </row>
    <row r="116" spans="1:7">
      <c r="A116" s="2429" t="s">
        <v>301</v>
      </c>
      <c r="B116" s="2418" t="s">
        <v>2864</v>
      </c>
      <c r="C116" s="2419">
        <v>0.1</v>
      </c>
      <c r="D116" s="2419">
        <v>0.1</v>
      </c>
      <c r="E116" s="2430"/>
      <c r="F116" s="2430"/>
      <c r="G116" s="2420">
        <v>0.1</v>
      </c>
    </row>
    <row r="117" spans="1:7">
      <c r="A117" s="2429" t="s">
        <v>301</v>
      </c>
      <c r="B117" s="2418" t="s">
        <v>2871</v>
      </c>
      <c r="C117" s="2419">
        <v>9.7000000000000003E-2</v>
      </c>
      <c r="D117" s="2419">
        <v>9.7000000000000003E-2</v>
      </c>
      <c r="E117" s="2430"/>
      <c r="F117" s="2430"/>
      <c r="G117" s="2420">
        <v>9.7000000000000003E-2</v>
      </c>
    </row>
    <row r="118" spans="1:7">
      <c r="A118" s="2429" t="s">
        <v>301</v>
      </c>
      <c r="B118" s="2418" t="s">
        <v>2876</v>
      </c>
      <c r="C118" s="2419">
        <v>0.1</v>
      </c>
      <c r="D118" s="2419">
        <v>0.1</v>
      </c>
      <c r="E118" s="2430"/>
      <c r="F118" s="2430"/>
      <c r="G118" s="2420">
        <v>0.1</v>
      </c>
    </row>
    <row r="119" spans="1:7">
      <c r="A119" s="2429" t="s">
        <v>301</v>
      </c>
      <c r="B119" s="2418" t="s">
        <v>2880</v>
      </c>
      <c r="C119" s="2419">
        <v>5.0999999999999997E-2</v>
      </c>
      <c r="D119" s="2419">
        <v>5.1999999999999998E-2</v>
      </c>
      <c r="E119" s="2430"/>
      <c r="F119" s="2435"/>
      <c r="G119" s="2420">
        <v>0.06</v>
      </c>
    </row>
    <row r="120" spans="1:7">
      <c r="A120" s="2429" t="s">
        <v>301</v>
      </c>
      <c r="B120" s="2418" t="s">
        <v>2884</v>
      </c>
      <c r="C120" s="2430"/>
      <c r="D120" s="2430"/>
      <c r="E120" s="2430"/>
      <c r="F120" s="2419">
        <v>0.1</v>
      </c>
      <c r="G120" s="2436"/>
    </row>
    <row r="121" spans="1:7">
      <c r="A121" s="2429" t="s">
        <v>301</v>
      </c>
      <c r="B121" s="2418" t="s">
        <v>2889</v>
      </c>
      <c r="C121" s="2430"/>
      <c r="D121" s="2430"/>
      <c r="E121" s="2430"/>
      <c r="F121" s="2419">
        <v>0.1</v>
      </c>
      <c r="G121" s="2436"/>
    </row>
    <row r="122" spans="1:7">
      <c r="A122" s="2429" t="s">
        <v>301</v>
      </c>
      <c r="B122" s="2418" t="s">
        <v>2894</v>
      </c>
      <c r="C122" s="2419">
        <v>0.1</v>
      </c>
      <c r="D122" s="2419">
        <v>0.1</v>
      </c>
      <c r="E122" s="2419">
        <v>9.8000000000000004E-2</v>
      </c>
      <c r="F122" s="2419">
        <v>0.1</v>
      </c>
      <c r="G122" s="2420">
        <v>0.1</v>
      </c>
    </row>
    <row r="123" spans="1:7">
      <c r="A123" s="2429" t="s">
        <v>301</v>
      </c>
      <c r="B123" s="2418" t="s">
        <v>2899</v>
      </c>
      <c r="C123" s="2419">
        <v>0.1</v>
      </c>
      <c r="D123" s="2419">
        <v>0.1</v>
      </c>
      <c r="E123" s="2419">
        <v>9.8000000000000004E-2</v>
      </c>
      <c r="F123" s="2419">
        <v>0.1</v>
      </c>
      <c r="G123" s="2420">
        <v>0.1</v>
      </c>
    </row>
    <row r="124" spans="1:7">
      <c r="A124" s="2429" t="s">
        <v>301</v>
      </c>
      <c r="B124" s="2418" t="s">
        <v>2904</v>
      </c>
      <c r="C124" s="2419">
        <v>0.1</v>
      </c>
      <c r="D124" s="2419">
        <v>0.1</v>
      </c>
      <c r="E124" s="2419">
        <v>9.8000000000000004E-2</v>
      </c>
      <c r="F124" s="2435"/>
      <c r="G124" s="2420">
        <v>0.1</v>
      </c>
    </row>
    <row r="125" spans="1:7">
      <c r="A125" s="2429" t="s">
        <v>301</v>
      </c>
      <c r="B125" s="2418" t="s">
        <v>2909</v>
      </c>
      <c r="C125" s="2419">
        <v>9.8000000000000004E-2</v>
      </c>
      <c r="D125" s="2419">
        <v>9.8000000000000004E-2</v>
      </c>
      <c r="E125" s="2419">
        <v>9.6000000000000002E-2</v>
      </c>
      <c r="F125" s="2435"/>
      <c r="G125" s="2420">
        <v>0.1</v>
      </c>
    </row>
    <row r="126" spans="1:7" ht="14.25" thickBot="1">
      <c r="A126" s="2432" t="s">
        <v>301</v>
      </c>
      <c r="B126" s="2422" t="s">
        <v>3075</v>
      </c>
      <c r="C126" s="2423">
        <v>0.1</v>
      </c>
      <c r="D126" s="2423">
        <v>0.1</v>
      </c>
      <c r="E126" s="2423">
        <v>9.8000000000000004E-2</v>
      </c>
      <c r="F126" s="2423">
        <v>0.1</v>
      </c>
      <c r="G126" s="2425">
        <v>0.1</v>
      </c>
    </row>
    <row r="127" spans="1:7">
      <c r="A127" s="2428" t="s">
        <v>27</v>
      </c>
      <c r="B127" s="2414" t="s">
        <v>2752</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2822</v>
      </c>
      <c r="C148" s="2419">
        <v>0.13</v>
      </c>
      <c r="D148" s="2419">
        <v>0.13</v>
      </c>
      <c r="E148" s="2419">
        <v>0.13</v>
      </c>
      <c r="F148" s="2430"/>
      <c r="G148" s="2420">
        <v>0.13</v>
      </c>
    </row>
    <row r="149" spans="1:7">
      <c r="A149" s="2429" t="s">
        <v>27</v>
      </c>
      <c r="B149" s="2418" t="s">
        <v>2826</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2845</v>
      </c>
      <c r="C153" s="2419">
        <v>0.13</v>
      </c>
      <c r="D153" s="2419">
        <v>0.13</v>
      </c>
      <c r="E153" s="2419">
        <v>0.13</v>
      </c>
      <c r="F153" s="2419">
        <v>0.13</v>
      </c>
      <c r="G153" s="2420">
        <v>0.13</v>
      </c>
    </row>
    <row r="154" spans="1:7">
      <c r="A154" s="2429" t="s">
        <v>27</v>
      </c>
      <c r="B154" s="2418" t="s">
        <v>2852</v>
      </c>
      <c r="C154" s="2419">
        <v>0.121</v>
      </c>
      <c r="D154" s="2419">
        <v>0.121</v>
      </c>
      <c r="E154" s="2419">
        <v>0.105</v>
      </c>
      <c r="F154" s="2419">
        <v>0.121</v>
      </c>
      <c r="G154" s="2420">
        <v>0.123</v>
      </c>
    </row>
    <row r="155" spans="1:7">
      <c r="A155" s="2429" t="s">
        <v>27</v>
      </c>
      <c r="B155" s="2418" t="s">
        <v>2858</v>
      </c>
      <c r="C155" s="2419">
        <v>0.1</v>
      </c>
      <c r="D155" s="2419">
        <v>0.1</v>
      </c>
      <c r="E155" s="2419">
        <v>0.1</v>
      </c>
      <c r="F155" s="2419">
        <v>0.1</v>
      </c>
      <c r="G155" s="2420">
        <v>0.1</v>
      </c>
    </row>
    <row r="156" spans="1:7">
      <c r="A156" s="2429" t="s">
        <v>27</v>
      </c>
      <c r="B156" s="2418" t="s">
        <v>2865</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2885</v>
      </c>
      <c r="C160" s="2419">
        <v>0.13</v>
      </c>
      <c r="D160" s="2419">
        <v>0.13</v>
      </c>
      <c r="E160" s="2419">
        <v>0.124</v>
      </c>
      <c r="F160" s="2419">
        <v>0.126</v>
      </c>
      <c r="G160" s="2420">
        <v>0.13</v>
      </c>
    </row>
    <row r="161" spans="1:7">
      <c r="A161" s="2429" t="s">
        <v>27</v>
      </c>
      <c r="B161" s="2418" t="s">
        <v>2890</v>
      </c>
      <c r="C161" s="2419">
        <v>0.13</v>
      </c>
      <c r="D161" s="2419">
        <v>0.13</v>
      </c>
      <c r="E161" s="2419">
        <v>0.124</v>
      </c>
      <c r="F161" s="2419">
        <v>0.127</v>
      </c>
      <c r="G161" s="2420">
        <v>0.13</v>
      </c>
    </row>
    <row r="162" spans="1:7">
      <c r="A162" s="2429" t="s">
        <v>27</v>
      </c>
      <c r="B162" s="2418" t="s">
        <v>2895</v>
      </c>
      <c r="C162" s="2419">
        <v>0.1</v>
      </c>
      <c r="D162" s="2419">
        <v>0.1</v>
      </c>
      <c r="E162" s="2419">
        <v>0.1</v>
      </c>
      <c r="F162" s="2419">
        <v>0.121</v>
      </c>
      <c r="G162" s="2420">
        <v>0.105</v>
      </c>
    </row>
    <row r="163" spans="1:7">
      <c r="A163" s="2429" t="s">
        <v>27</v>
      </c>
      <c r="B163" s="2418" t="s">
        <v>2900</v>
      </c>
      <c r="C163" s="2419">
        <v>0.1</v>
      </c>
      <c r="D163" s="2419">
        <v>0.1</v>
      </c>
      <c r="E163" s="2419">
        <v>0.1</v>
      </c>
      <c r="F163" s="2419">
        <v>0.1</v>
      </c>
      <c r="G163" s="2420">
        <v>0.1</v>
      </c>
    </row>
    <row r="164" spans="1:7">
      <c r="A164" s="2429" t="s">
        <v>27</v>
      </c>
      <c r="B164" s="2418" t="s">
        <v>2905</v>
      </c>
      <c r="C164" s="2435"/>
      <c r="D164" s="2435"/>
      <c r="E164" s="2435"/>
      <c r="F164" s="2419">
        <v>0.1</v>
      </c>
      <c r="G164" s="2431"/>
    </row>
    <row r="165" spans="1:7">
      <c r="A165" s="2429" t="s">
        <v>27</v>
      </c>
      <c r="B165" s="2418" t="s">
        <v>3076</v>
      </c>
      <c r="C165" s="2419">
        <v>0.126</v>
      </c>
      <c r="D165" s="2419">
        <v>0.126</v>
      </c>
      <c r="E165" s="2419">
        <v>0.11899999999999999</v>
      </c>
      <c r="F165" s="2419">
        <v>0.13</v>
      </c>
      <c r="G165" s="2420">
        <v>0.128</v>
      </c>
    </row>
    <row r="166" spans="1:7">
      <c r="A166" s="2429" t="s">
        <v>27</v>
      </c>
      <c r="B166" s="2418" t="s">
        <v>2915</v>
      </c>
      <c r="C166" s="2419">
        <v>0.129</v>
      </c>
      <c r="D166" s="2419">
        <v>0.129</v>
      </c>
      <c r="E166" s="2419">
        <v>0.123</v>
      </c>
      <c r="F166" s="2419">
        <v>0.128</v>
      </c>
      <c r="G166" s="2420">
        <v>0.13</v>
      </c>
    </row>
    <row r="167" spans="1:7">
      <c r="A167" s="2429" t="s">
        <v>27</v>
      </c>
      <c r="B167" s="2418" t="s">
        <v>2919</v>
      </c>
      <c r="C167" s="2419">
        <v>0.125</v>
      </c>
      <c r="D167" s="2419">
        <v>0.125</v>
      </c>
      <c r="E167" s="2419">
        <v>0.11700000000000001</v>
      </c>
      <c r="F167" s="2419">
        <v>0.13</v>
      </c>
      <c r="G167" s="2420">
        <v>0.126</v>
      </c>
    </row>
    <row r="168" spans="1:7">
      <c r="A168" s="2429" t="s">
        <v>27</v>
      </c>
      <c r="B168" s="2418" t="s">
        <v>2924</v>
      </c>
      <c r="C168" s="2419">
        <v>0.128</v>
      </c>
      <c r="D168" s="2419">
        <v>0.128</v>
      </c>
      <c r="E168" s="2419">
        <v>0.123</v>
      </c>
      <c r="F168" s="2430"/>
      <c r="G168" s="2420">
        <v>0.13</v>
      </c>
    </row>
    <row r="169" spans="1:7">
      <c r="A169" s="2429" t="s">
        <v>27</v>
      </c>
      <c r="B169" s="2418" t="s">
        <v>3077</v>
      </c>
      <c r="C169" s="2435"/>
      <c r="D169" s="2435"/>
      <c r="E169" s="2435"/>
      <c r="F169" s="2419">
        <v>0.05</v>
      </c>
      <c r="G169" s="2431"/>
    </row>
    <row r="170" spans="1:7">
      <c r="A170" s="2429" t="s">
        <v>27</v>
      </c>
      <c r="B170" s="2418" t="s">
        <v>3078</v>
      </c>
      <c r="C170" s="2435"/>
      <c r="D170" s="2435"/>
      <c r="E170" s="2435"/>
      <c r="F170" s="2419">
        <v>0.05</v>
      </c>
      <c r="G170" s="2431"/>
    </row>
    <row r="171" spans="1:7">
      <c r="A171" s="2429" t="s">
        <v>27</v>
      </c>
      <c r="B171" s="2418" t="s">
        <v>3079</v>
      </c>
      <c r="C171" s="2435"/>
      <c r="D171" s="2435"/>
      <c r="E171" s="2435"/>
      <c r="F171" s="2419">
        <v>0.05</v>
      </c>
      <c r="G171" s="2436"/>
    </row>
    <row r="172" spans="1:7">
      <c r="A172" s="2429" t="s">
        <v>27</v>
      </c>
      <c r="B172" s="2418" t="s">
        <v>3080</v>
      </c>
      <c r="C172" s="2435"/>
      <c r="D172" s="2435"/>
      <c r="E172" s="2435"/>
      <c r="F172" s="2419">
        <v>0.05</v>
      </c>
      <c r="G172" s="2436"/>
    </row>
    <row r="173" spans="1:7">
      <c r="A173" s="2429" t="s">
        <v>27</v>
      </c>
      <c r="B173" s="2418" t="s">
        <v>3081</v>
      </c>
      <c r="C173" s="2435"/>
      <c r="D173" s="2435"/>
      <c r="E173" s="2435"/>
      <c r="F173" s="2419">
        <v>0.05</v>
      </c>
      <c r="G173" s="2431"/>
    </row>
    <row r="174" spans="1:7">
      <c r="A174" s="2429" t="s">
        <v>27</v>
      </c>
      <c r="B174" s="2418" t="s">
        <v>3082</v>
      </c>
      <c r="C174" s="2435"/>
      <c r="D174" s="2435"/>
      <c r="E174" s="2435"/>
      <c r="F174" s="2419">
        <v>0.05</v>
      </c>
      <c r="G174" s="2431"/>
    </row>
    <row r="175" spans="1:7">
      <c r="A175" s="2429" t="s">
        <v>27</v>
      </c>
      <c r="B175" s="2418" t="s">
        <v>3083</v>
      </c>
      <c r="C175" s="2435"/>
      <c r="D175" s="2435"/>
      <c r="E175" s="2435"/>
      <c r="F175" s="2419">
        <v>0.05</v>
      </c>
      <c r="G175" s="2431"/>
    </row>
    <row r="176" spans="1:7">
      <c r="A176" s="2429" t="s">
        <v>27</v>
      </c>
      <c r="B176" s="2418" t="s">
        <v>3084</v>
      </c>
      <c r="C176" s="2435"/>
      <c r="D176" s="2435"/>
      <c r="E176" s="2435"/>
      <c r="F176" s="2419">
        <v>0.05</v>
      </c>
      <c r="G176" s="2431"/>
    </row>
    <row r="177" spans="1:7">
      <c r="A177" s="2429" t="s">
        <v>27</v>
      </c>
      <c r="B177" s="2418" t="s">
        <v>3085</v>
      </c>
      <c r="C177" s="2430"/>
      <c r="D177" s="2430"/>
      <c r="E177" s="2430"/>
      <c r="F177" s="2419">
        <v>0.05</v>
      </c>
      <c r="G177" s="2436"/>
    </row>
    <row r="178" spans="1:7">
      <c r="A178" s="2429" t="s">
        <v>27</v>
      </c>
      <c r="B178" s="2418" t="s">
        <v>3086</v>
      </c>
      <c r="C178" s="2430"/>
      <c r="D178" s="2430"/>
      <c r="E178" s="2430"/>
      <c r="F178" s="2419">
        <v>0.05</v>
      </c>
      <c r="G178" s="2436"/>
    </row>
    <row r="179" spans="1:7">
      <c r="A179" s="2429" t="s">
        <v>27</v>
      </c>
      <c r="B179" s="2418" t="s">
        <v>3087</v>
      </c>
      <c r="C179" s="2430"/>
      <c r="D179" s="2430"/>
      <c r="E179" s="2430"/>
      <c r="F179" s="2419">
        <v>0.05</v>
      </c>
      <c r="G179" s="2436"/>
    </row>
    <row r="180" spans="1:7">
      <c r="A180" s="2429" t="s">
        <v>27</v>
      </c>
      <c r="B180" s="2418" t="s">
        <v>3088</v>
      </c>
      <c r="C180" s="2430"/>
      <c r="D180" s="2430"/>
      <c r="E180" s="2430"/>
      <c r="F180" s="2419">
        <v>0.05</v>
      </c>
      <c r="G180" s="2436"/>
    </row>
    <row r="181" spans="1:7">
      <c r="A181" s="2429" t="s">
        <v>27</v>
      </c>
      <c r="B181" s="2418" t="s">
        <v>3089</v>
      </c>
      <c r="C181" s="2430"/>
      <c r="D181" s="2430"/>
      <c r="E181" s="2430"/>
      <c r="F181" s="2419">
        <v>0.05</v>
      </c>
      <c r="G181" s="2436"/>
    </row>
    <row r="182" spans="1:7">
      <c r="A182" s="2429" t="s">
        <v>27</v>
      </c>
      <c r="B182" s="2418" t="s">
        <v>3090</v>
      </c>
      <c r="C182" s="2430"/>
      <c r="D182" s="2430"/>
      <c r="E182" s="2430"/>
      <c r="F182" s="2419">
        <v>0.05</v>
      </c>
      <c r="G182" s="2436"/>
    </row>
    <row r="183" spans="1:7">
      <c r="A183" s="2429" t="s">
        <v>27</v>
      </c>
      <c r="B183" s="2418" t="s">
        <v>3091</v>
      </c>
      <c r="C183" s="2430"/>
      <c r="D183" s="2430"/>
      <c r="E183" s="2430"/>
      <c r="F183" s="2419">
        <v>0.05</v>
      </c>
      <c r="G183" s="2436"/>
    </row>
    <row r="184" spans="1:7">
      <c r="A184" s="2429" t="s">
        <v>27</v>
      </c>
      <c r="B184" s="2418" t="s">
        <v>3092</v>
      </c>
      <c r="C184" s="2430"/>
      <c r="D184" s="2430"/>
      <c r="E184" s="2430"/>
      <c r="F184" s="2419">
        <v>0.05</v>
      </c>
      <c r="G184" s="2436"/>
    </row>
    <row r="185" spans="1:7">
      <c r="A185" s="2429" t="s">
        <v>27</v>
      </c>
      <c r="B185" s="2418" t="s">
        <v>3093</v>
      </c>
      <c r="C185" s="2430"/>
      <c r="D185" s="2430"/>
      <c r="E185" s="2430"/>
      <c r="F185" s="2419">
        <v>0.05</v>
      </c>
      <c r="G185" s="2436"/>
    </row>
    <row r="186" spans="1:7">
      <c r="A186" s="2429" t="s">
        <v>27</v>
      </c>
      <c r="B186" s="2418" t="s">
        <v>3094</v>
      </c>
      <c r="C186" s="2430"/>
      <c r="D186" s="2430"/>
      <c r="E186" s="2430"/>
      <c r="F186" s="2419">
        <v>0.05</v>
      </c>
      <c r="G186" s="2436"/>
    </row>
    <row r="187" spans="1:7">
      <c r="A187" s="2429" t="s">
        <v>27</v>
      </c>
      <c r="B187" s="2418" t="s">
        <v>3095</v>
      </c>
      <c r="C187" s="2430"/>
      <c r="D187" s="2430"/>
      <c r="E187" s="2430"/>
      <c r="F187" s="2419">
        <v>0.05</v>
      </c>
      <c r="G187" s="2436"/>
    </row>
    <row r="188" spans="1:7">
      <c r="A188" s="2429" t="s">
        <v>27</v>
      </c>
      <c r="B188" s="2418" t="s">
        <v>3096</v>
      </c>
      <c r="C188" s="2430"/>
      <c r="D188" s="2430"/>
      <c r="E188" s="2430"/>
      <c r="F188" s="2419">
        <v>0.05</v>
      </c>
      <c r="G188" s="2436"/>
    </row>
    <row r="189" spans="1:7" ht="14.25" thickBot="1">
      <c r="A189" s="2432" t="s">
        <v>27</v>
      </c>
      <c r="B189" s="2422" t="s">
        <v>3097</v>
      </c>
      <c r="C189" s="2424"/>
      <c r="D189" s="2424"/>
      <c r="E189" s="2424"/>
      <c r="F189" s="2423">
        <v>0.05</v>
      </c>
      <c r="G189" s="2437"/>
    </row>
    <row r="190" spans="1:7">
      <c r="A190" s="2428" t="s">
        <v>302</v>
      </c>
      <c r="B190" s="2414" t="s">
        <v>2753</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2789</v>
      </c>
      <c r="C199" s="2419">
        <v>0.13</v>
      </c>
      <c r="D199" s="2419">
        <v>0.13</v>
      </c>
      <c r="E199" s="2419">
        <v>0.13</v>
      </c>
      <c r="F199" s="2419">
        <v>0.13</v>
      </c>
      <c r="G199" s="2420">
        <v>0.13</v>
      </c>
    </row>
    <row r="200" spans="1:7">
      <c r="A200" s="2429" t="s">
        <v>302</v>
      </c>
      <c r="B200" s="2418" t="s">
        <v>2792</v>
      </c>
      <c r="C200" s="2435"/>
      <c r="D200" s="2435"/>
      <c r="E200" s="2435"/>
      <c r="F200" s="2419">
        <v>0.13</v>
      </c>
      <c r="G200" s="2431"/>
    </row>
    <row r="201" spans="1:7">
      <c r="A201" s="2429" t="s">
        <v>302</v>
      </c>
      <c r="B201" s="2418" t="s">
        <v>2797</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2800</v>
      </c>
      <c r="C203" s="2419">
        <v>0.129</v>
      </c>
      <c r="D203" s="2419">
        <v>0.129</v>
      </c>
      <c r="E203" s="2419">
        <v>0.13</v>
      </c>
      <c r="F203" s="2419">
        <v>0.13</v>
      </c>
      <c r="G203" s="2420">
        <v>0.13</v>
      </c>
    </row>
    <row r="204" spans="1:7">
      <c r="A204" s="2429" t="s">
        <v>302</v>
      </c>
      <c r="B204" s="2418" t="s">
        <v>2803</v>
      </c>
      <c r="C204" s="2419">
        <v>0.129</v>
      </c>
      <c r="D204" s="2419">
        <v>0.129</v>
      </c>
      <c r="E204" s="2419">
        <v>0.123</v>
      </c>
      <c r="F204" s="2419">
        <v>0.13</v>
      </c>
      <c r="G204" s="2420">
        <v>0.13</v>
      </c>
    </row>
    <row r="205" spans="1:7">
      <c r="A205" s="2429" t="s">
        <v>302</v>
      </c>
      <c r="B205" s="2418" t="s">
        <v>2805</v>
      </c>
      <c r="C205" s="2419">
        <v>0.13</v>
      </c>
      <c r="D205" s="2419">
        <v>0.13</v>
      </c>
      <c r="E205" s="2419">
        <v>0.13</v>
      </c>
      <c r="F205" s="2419">
        <v>0.13</v>
      </c>
      <c r="G205" s="2420">
        <v>0.13</v>
      </c>
    </row>
    <row r="206" spans="1:7">
      <c r="A206" s="2429" t="s">
        <v>302</v>
      </c>
      <c r="B206" s="2418" t="s">
        <v>2808</v>
      </c>
      <c r="C206" s="2419">
        <v>0.13</v>
      </c>
      <c r="D206" s="2419">
        <v>0.13</v>
      </c>
      <c r="E206" s="2419">
        <v>0.13</v>
      </c>
      <c r="F206" s="2419">
        <v>0.128</v>
      </c>
      <c r="G206" s="2420">
        <v>0.13</v>
      </c>
    </row>
    <row r="207" spans="1:7">
      <c r="A207" s="2429" t="s">
        <v>302</v>
      </c>
      <c r="B207" s="2418" t="s">
        <v>2810</v>
      </c>
      <c r="C207" s="2419">
        <v>0.13</v>
      </c>
      <c r="D207" s="2419">
        <v>0.13</v>
      </c>
      <c r="E207" s="2419">
        <v>0.13</v>
      </c>
      <c r="F207" s="2419">
        <v>0.13</v>
      </c>
      <c r="G207" s="2420">
        <v>0.13</v>
      </c>
    </row>
    <row r="208" spans="1:7">
      <c r="A208" s="2429" t="s">
        <v>302</v>
      </c>
      <c r="B208" s="2418" t="s">
        <v>2813</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2820</v>
      </c>
      <c r="C210" s="2419">
        <v>0.121</v>
      </c>
      <c r="D210" s="2419">
        <v>0.121</v>
      </c>
      <c r="E210" s="2419">
        <v>0.125</v>
      </c>
      <c r="F210" s="2419">
        <v>0.13</v>
      </c>
      <c r="G210" s="2420">
        <v>0.123</v>
      </c>
    </row>
    <row r="211" spans="1:7">
      <c r="A211" s="2429" t="s">
        <v>302</v>
      </c>
      <c r="B211" s="2418" t="s">
        <v>2823</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2835</v>
      </c>
      <c r="C214" s="2419">
        <v>0.128</v>
      </c>
      <c r="D214" s="2419">
        <v>0.128</v>
      </c>
      <c r="E214" s="2419">
        <v>0.13</v>
      </c>
      <c r="F214" s="2419">
        <v>0.13</v>
      </c>
      <c r="G214" s="2420">
        <v>0.13</v>
      </c>
    </row>
    <row r="215" spans="1:7">
      <c r="A215" s="2429" t="s">
        <v>302</v>
      </c>
      <c r="B215" s="2418" t="s">
        <v>2839</v>
      </c>
      <c r="C215" s="2419">
        <v>0.13</v>
      </c>
      <c r="D215" s="2419">
        <v>0.13</v>
      </c>
      <c r="E215" s="2419">
        <v>0.13</v>
      </c>
      <c r="F215" s="2419">
        <v>0.129</v>
      </c>
      <c r="G215" s="2420">
        <v>0.13</v>
      </c>
    </row>
    <row r="216" spans="1:7">
      <c r="A216" s="2429" t="s">
        <v>302</v>
      </c>
      <c r="B216" s="2418" t="s">
        <v>2846</v>
      </c>
      <c r="C216" s="2419">
        <v>0.13</v>
      </c>
      <c r="D216" s="2419">
        <v>0.13</v>
      </c>
      <c r="E216" s="2419">
        <v>0.13</v>
      </c>
      <c r="F216" s="2419">
        <v>0.13</v>
      </c>
      <c r="G216" s="2420">
        <v>0.13</v>
      </c>
    </row>
    <row r="217" spans="1:7">
      <c r="A217" s="2429" t="s">
        <v>302</v>
      </c>
      <c r="B217" s="2418" t="s">
        <v>2853</v>
      </c>
      <c r="C217" s="2419">
        <v>0.129</v>
      </c>
      <c r="D217" s="2419">
        <v>0.129</v>
      </c>
      <c r="E217" s="2419">
        <v>0.13</v>
      </c>
      <c r="F217" s="2419">
        <v>0.13</v>
      </c>
      <c r="G217" s="2420">
        <v>0.13</v>
      </c>
    </row>
    <row r="218" spans="1:7">
      <c r="A218" s="2429" t="s">
        <v>302</v>
      </c>
      <c r="B218" s="2418" t="s">
        <v>2859</v>
      </c>
      <c r="C218" s="2430"/>
      <c r="D218" s="2430"/>
      <c r="E218" s="2430"/>
      <c r="F218" s="2419">
        <v>0.05</v>
      </c>
      <c r="G218" s="2436"/>
    </row>
    <row r="219" spans="1:7">
      <c r="A219" s="2429" t="s">
        <v>302</v>
      </c>
      <c r="B219" s="2418" t="s">
        <v>2866</v>
      </c>
      <c r="C219" s="2430"/>
      <c r="D219" s="2430"/>
      <c r="E219" s="2430"/>
      <c r="F219" s="2419">
        <v>0.05</v>
      </c>
      <c r="G219" s="2436"/>
    </row>
    <row r="220" spans="1:7">
      <c r="A220" s="2429" t="s">
        <v>302</v>
      </c>
      <c r="B220" s="2418" t="s">
        <v>2872</v>
      </c>
      <c r="C220" s="2430"/>
      <c r="D220" s="2430"/>
      <c r="E220" s="2430"/>
      <c r="F220" s="2419">
        <v>0.05</v>
      </c>
      <c r="G220" s="2436"/>
    </row>
    <row r="221" spans="1:7">
      <c r="A221" s="2429" t="s">
        <v>302</v>
      </c>
      <c r="B221" s="2418" t="s">
        <v>2877</v>
      </c>
      <c r="C221" s="2430"/>
      <c r="D221" s="2430"/>
      <c r="E221" s="2430"/>
      <c r="F221" s="2419">
        <v>0.05</v>
      </c>
      <c r="G221" s="2436"/>
    </row>
    <row r="222" spans="1:7">
      <c r="A222" s="2429" t="s">
        <v>302</v>
      </c>
      <c r="B222" s="2418" t="s">
        <v>2881</v>
      </c>
      <c r="C222" s="2430"/>
      <c r="D222" s="2430"/>
      <c r="E222" s="2430"/>
      <c r="F222" s="2419">
        <v>0.05</v>
      </c>
      <c r="G222" s="2436"/>
    </row>
    <row r="223" spans="1:7">
      <c r="A223" s="2429" t="s">
        <v>302</v>
      </c>
      <c r="B223" s="2418" t="s">
        <v>2886</v>
      </c>
      <c r="C223" s="2430"/>
      <c r="D223" s="2430"/>
      <c r="E223" s="2430"/>
      <c r="F223" s="2419">
        <v>0.05</v>
      </c>
      <c r="G223" s="2436"/>
    </row>
    <row r="224" spans="1:7">
      <c r="A224" s="2429" t="s">
        <v>302</v>
      </c>
      <c r="B224" s="2418" t="s">
        <v>2891</v>
      </c>
      <c r="C224" s="2430"/>
      <c r="D224" s="2430"/>
      <c r="E224" s="2430"/>
      <c r="F224" s="2419">
        <v>0.05</v>
      </c>
      <c r="G224" s="2436"/>
    </row>
    <row r="225" spans="1:7">
      <c r="A225" s="2429" t="s">
        <v>302</v>
      </c>
      <c r="B225" s="2418" t="s">
        <v>2896</v>
      </c>
      <c r="C225" s="2430"/>
      <c r="D225" s="2430"/>
      <c r="E225" s="2430"/>
      <c r="F225" s="2419">
        <v>0.05</v>
      </c>
      <c r="G225" s="2436"/>
    </row>
    <row r="226" spans="1:7">
      <c r="A226" s="2429" t="s">
        <v>302</v>
      </c>
      <c r="B226" s="2418" t="s">
        <v>3098</v>
      </c>
      <c r="C226" s="2430"/>
      <c r="D226" s="2430"/>
      <c r="E226" s="2430"/>
      <c r="F226" s="2419">
        <v>0.05</v>
      </c>
      <c r="G226" s="2436"/>
    </row>
    <row r="227" spans="1:7">
      <c r="A227" s="2429" t="s">
        <v>302</v>
      </c>
      <c r="B227" s="2418" t="s">
        <v>3099</v>
      </c>
      <c r="C227" s="2430"/>
      <c r="D227" s="2430"/>
      <c r="E227" s="2430"/>
      <c r="F227" s="2419">
        <v>0.05</v>
      </c>
      <c r="G227" s="2436"/>
    </row>
    <row r="228" spans="1:7">
      <c r="A228" s="2429" t="s">
        <v>302</v>
      </c>
      <c r="B228" s="2418" t="s">
        <v>3100</v>
      </c>
      <c r="C228" s="2430"/>
      <c r="D228" s="2430"/>
      <c r="E228" s="2430"/>
      <c r="F228" s="2419">
        <v>0.05</v>
      </c>
      <c r="G228" s="2436"/>
    </row>
    <row r="229" spans="1:7">
      <c r="A229" s="2429" t="s">
        <v>302</v>
      </c>
      <c r="B229" s="2418" t="s">
        <v>3101</v>
      </c>
      <c r="C229" s="2430"/>
      <c r="D229" s="2430"/>
      <c r="E229" s="2430"/>
      <c r="F229" s="2419">
        <v>0.05</v>
      </c>
      <c r="G229" s="2436"/>
    </row>
    <row r="230" spans="1:7">
      <c r="A230" s="2429" t="s">
        <v>302</v>
      </c>
      <c r="B230" s="2418" t="s">
        <v>3102</v>
      </c>
      <c r="C230" s="2430"/>
      <c r="D230" s="2430"/>
      <c r="E230" s="2430"/>
      <c r="F230" s="2419">
        <v>0.05</v>
      </c>
      <c r="G230" s="2436"/>
    </row>
    <row r="231" spans="1:7">
      <c r="A231" s="2429" t="s">
        <v>302</v>
      </c>
      <c r="B231" s="2418" t="s">
        <v>3103</v>
      </c>
      <c r="C231" s="2430"/>
      <c r="D231" s="2430"/>
      <c r="E231" s="2430"/>
      <c r="F231" s="2419">
        <v>0.05</v>
      </c>
      <c r="G231" s="2436"/>
    </row>
    <row r="232" spans="1:7">
      <c r="A232" s="2429" t="s">
        <v>302</v>
      </c>
      <c r="B232" s="2418" t="s">
        <v>3104</v>
      </c>
      <c r="C232" s="2430"/>
      <c r="D232" s="2430"/>
      <c r="E232" s="2430"/>
      <c r="F232" s="2419">
        <v>0.05</v>
      </c>
      <c r="G232" s="2436"/>
    </row>
    <row r="233" spans="1:7" ht="14.25" thickBot="1">
      <c r="A233" s="2432" t="s">
        <v>302</v>
      </c>
      <c r="B233" s="2422" t="s">
        <v>3105</v>
      </c>
      <c r="C233" s="2424"/>
      <c r="D233" s="2424"/>
      <c r="E233" s="2424"/>
      <c r="F233" s="2423">
        <v>0.05</v>
      </c>
      <c r="G233" s="2437"/>
    </row>
    <row r="234" spans="1:7">
      <c r="A234" s="2428" t="s">
        <v>303</v>
      </c>
      <c r="B234" s="2414" t="s">
        <v>2754</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2774</v>
      </c>
      <c r="C238" s="2419">
        <v>0.14899999999999999</v>
      </c>
      <c r="D238" s="2419">
        <v>0.14899999999999999</v>
      </c>
      <c r="E238" s="2419">
        <v>0.15</v>
      </c>
      <c r="F238" s="2419">
        <v>0.15</v>
      </c>
      <c r="G238" s="2420">
        <v>0.15</v>
      </c>
    </row>
    <row r="239" spans="1:7">
      <c r="A239" s="2429" t="s">
        <v>303</v>
      </c>
      <c r="B239" s="2418" t="s">
        <v>2778</v>
      </c>
      <c r="C239" s="2419">
        <v>0.15</v>
      </c>
      <c r="D239" s="2419">
        <v>0.15</v>
      </c>
      <c r="E239" s="2419">
        <v>0.15</v>
      </c>
      <c r="F239" s="2419">
        <v>0.15</v>
      </c>
      <c r="G239" s="2420">
        <v>0.15</v>
      </c>
    </row>
    <row r="240" spans="1:7">
      <c r="A240" s="2429" t="s">
        <v>303</v>
      </c>
      <c r="B240" s="2418" t="s">
        <v>2783</v>
      </c>
      <c r="C240" s="2419">
        <v>0.15</v>
      </c>
      <c r="D240" s="2419">
        <v>0.15</v>
      </c>
      <c r="E240" s="2419">
        <v>0.15</v>
      </c>
      <c r="F240" s="2419">
        <v>0.15</v>
      </c>
      <c r="G240" s="2420">
        <v>0.15</v>
      </c>
    </row>
    <row r="241" spans="1:7">
      <c r="A241" s="2429" t="s">
        <v>303</v>
      </c>
      <c r="B241" s="2418" t="s">
        <v>2787</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2793</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2801</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2806</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2814</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2827</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2836</v>
      </c>
      <c r="C258" s="2419">
        <v>0.14299999999999999</v>
      </c>
      <c r="D258" s="2419">
        <v>0.14299999999999999</v>
      </c>
      <c r="E258" s="2419">
        <v>0.15</v>
      </c>
      <c r="F258" s="2419">
        <v>0.14799999999999999</v>
      </c>
      <c r="G258" s="2420">
        <v>0.14599999999999999</v>
      </c>
    </row>
    <row r="259" spans="1:7">
      <c r="A259" s="2429" t="s">
        <v>303</v>
      </c>
      <c r="B259" s="2418" t="s">
        <v>2840</v>
      </c>
      <c r="C259" s="2419">
        <v>0.14399999999999999</v>
      </c>
      <c r="D259" s="2419">
        <v>0.14399999999999999</v>
      </c>
      <c r="E259" s="2419">
        <v>0.14899999999999999</v>
      </c>
      <c r="F259" s="2419">
        <v>0.14699999999999999</v>
      </c>
      <c r="G259" s="2420">
        <v>0.14599999999999999</v>
      </c>
    </row>
    <row r="260" spans="1:7">
      <c r="A260" s="2429" t="s">
        <v>303</v>
      </c>
      <c r="B260" s="2418" t="s">
        <v>2847</v>
      </c>
      <c r="C260" s="2419">
        <v>0.109</v>
      </c>
      <c r="D260" s="2419">
        <v>0.111</v>
      </c>
      <c r="E260" s="2419">
        <v>0.13100000000000001</v>
      </c>
      <c r="F260" s="2419">
        <v>0.126</v>
      </c>
      <c r="G260" s="2420">
        <v>0.11899999999999999</v>
      </c>
    </row>
    <row r="261" spans="1:7">
      <c r="A261" s="2429" t="s">
        <v>303</v>
      </c>
      <c r="B261" s="2418" t="s">
        <v>2854</v>
      </c>
      <c r="C261" s="2419">
        <v>0.1</v>
      </c>
      <c r="D261" s="2419">
        <v>0.1</v>
      </c>
      <c r="E261" s="2419">
        <v>0.11799999999999999</v>
      </c>
      <c r="F261" s="2419">
        <v>0.108</v>
      </c>
      <c r="G261" s="2420">
        <v>0.107</v>
      </c>
    </row>
    <row r="262" spans="1:7">
      <c r="A262" s="2429" t="s">
        <v>303</v>
      </c>
      <c r="B262" s="2418" t="s">
        <v>2860</v>
      </c>
      <c r="C262" s="2419">
        <v>0.1</v>
      </c>
      <c r="D262" s="2419">
        <v>0.1</v>
      </c>
      <c r="E262" s="2419">
        <v>0.1</v>
      </c>
      <c r="F262" s="2419">
        <v>0.14099999999999999</v>
      </c>
      <c r="G262" s="2420">
        <v>0.1</v>
      </c>
    </row>
    <row r="263" spans="1:7">
      <c r="A263" s="2429" t="s">
        <v>303</v>
      </c>
      <c r="B263" s="2418" t="s">
        <v>2867</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2878</v>
      </c>
      <c r="C265" s="2430"/>
      <c r="D265" s="2430"/>
      <c r="E265" s="2430"/>
      <c r="F265" s="2419">
        <v>0.05</v>
      </c>
      <c r="G265" s="2436"/>
    </row>
    <row r="266" spans="1:7">
      <c r="A266" s="2429" t="s">
        <v>303</v>
      </c>
      <c r="B266" s="2418" t="s">
        <v>2882</v>
      </c>
      <c r="C266" s="2430"/>
      <c r="D266" s="2430"/>
      <c r="E266" s="2430"/>
      <c r="F266" s="2419">
        <v>0.05</v>
      </c>
      <c r="G266" s="2436"/>
    </row>
    <row r="267" spans="1:7">
      <c r="A267" s="2429" t="s">
        <v>303</v>
      </c>
      <c r="B267" s="2418" t="s">
        <v>2887</v>
      </c>
      <c r="C267" s="2430"/>
      <c r="D267" s="2430"/>
      <c r="E267" s="2430"/>
      <c r="F267" s="2419">
        <v>0.05</v>
      </c>
      <c r="G267" s="2436"/>
    </row>
    <row r="268" spans="1:7">
      <c r="A268" s="2429" t="s">
        <v>303</v>
      </c>
      <c r="B268" s="2418" t="s">
        <v>2892</v>
      </c>
      <c r="C268" s="2430"/>
      <c r="D268" s="2430"/>
      <c r="E268" s="2430"/>
      <c r="F268" s="2419">
        <v>0.05</v>
      </c>
      <c r="G268" s="2436"/>
    </row>
    <row r="269" spans="1:7">
      <c r="A269" s="2429" t="s">
        <v>303</v>
      </c>
      <c r="B269" s="2418" t="s">
        <v>2897</v>
      </c>
      <c r="C269" s="2430"/>
      <c r="D269" s="2430"/>
      <c r="E269" s="2430"/>
      <c r="F269" s="2419">
        <v>0.05</v>
      </c>
      <c r="G269" s="2436"/>
    </row>
    <row r="270" spans="1:7">
      <c r="A270" s="2429" t="s">
        <v>303</v>
      </c>
      <c r="B270" s="2418" t="s">
        <v>2902</v>
      </c>
      <c r="C270" s="2430"/>
      <c r="D270" s="2430"/>
      <c r="E270" s="2430"/>
      <c r="F270" s="2419">
        <v>0.05</v>
      </c>
      <c r="G270" s="2436"/>
    </row>
    <row r="271" spans="1:7">
      <c r="A271" s="2429" t="s">
        <v>303</v>
      </c>
      <c r="B271" s="2418" t="s">
        <v>3106</v>
      </c>
      <c r="C271" s="2430"/>
      <c r="D271" s="2430"/>
      <c r="E271" s="2430"/>
      <c r="F271" s="2419">
        <v>0.05</v>
      </c>
      <c r="G271" s="2436"/>
    </row>
    <row r="272" spans="1:7">
      <c r="A272" s="2429" t="s">
        <v>303</v>
      </c>
      <c r="B272" s="2418" t="s">
        <v>3107</v>
      </c>
      <c r="C272" s="2430"/>
      <c r="D272" s="2430"/>
      <c r="E272" s="2430"/>
      <c r="F272" s="2419">
        <v>0.05</v>
      </c>
      <c r="G272" s="2436"/>
    </row>
    <row r="273" spans="1:7">
      <c r="A273" s="2429" t="s">
        <v>303</v>
      </c>
      <c r="B273" s="2418" t="s">
        <v>3108</v>
      </c>
      <c r="C273" s="2430"/>
      <c r="D273" s="2430"/>
      <c r="E273" s="2430"/>
      <c r="F273" s="2419">
        <v>0.05</v>
      </c>
      <c r="G273" s="2436"/>
    </row>
    <row r="274" spans="1:7">
      <c r="A274" s="2429" t="s">
        <v>303</v>
      </c>
      <c r="B274" s="2418" t="s">
        <v>3109</v>
      </c>
      <c r="C274" s="2430"/>
      <c r="D274" s="2430"/>
      <c r="E274" s="2430"/>
      <c r="F274" s="2419">
        <v>0.05</v>
      </c>
      <c r="G274" s="2436"/>
    </row>
    <row r="275" spans="1:7">
      <c r="A275" s="2429" t="s">
        <v>303</v>
      </c>
      <c r="B275" s="2418" t="s">
        <v>3110</v>
      </c>
      <c r="C275" s="2430"/>
      <c r="D275" s="2430"/>
      <c r="E275" s="2430"/>
      <c r="F275" s="2419">
        <v>0.05</v>
      </c>
      <c r="G275" s="2436"/>
    </row>
    <row r="276" spans="1:7" ht="14.25" thickBot="1">
      <c r="A276" s="2432" t="s">
        <v>303</v>
      </c>
      <c r="B276" s="2422" t="s">
        <v>3111</v>
      </c>
      <c r="C276" s="2424"/>
      <c r="D276" s="2424"/>
      <c r="E276" s="2424"/>
      <c r="F276" s="2423">
        <v>0.05</v>
      </c>
      <c r="G276" s="2437"/>
    </row>
    <row r="277" spans="1:7">
      <c r="A277" s="2428" t="s">
        <v>304</v>
      </c>
      <c r="B277" s="2414" t="s">
        <v>2755</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2767</v>
      </c>
      <c r="C279" s="2419">
        <v>0.15</v>
      </c>
      <c r="D279" s="2419">
        <v>0.15</v>
      </c>
      <c r="E279" s="2419">
        <v>0.15</v>
      </c>
      <c r="F279" s="2419">
        <v>0.15</v>
      </c>
      <c r="G279" s="2420">
        <v>0.15</v>
      </c>
    </row>
    <row r="280" spans="1:7">
      <c r="A280" s="2429" t="s">
        <v>304</v>
      </c>
      <c r="B280" s="2418" t="s">
        <v>2771</v>
      </c>
      <c r="C280" s="2419">
        <v>0.15</v>
      </c>
      <c r="D280" s="2419">
        <v>0.15</v>
      </c>
      <c r="E280" s="2419">
        <v>0.15</v>
      </c>
      <c r="F280" s="2419">
        <v>0.15</v>
      </c>
      <c r="G280" s="2420">
        <v>0.15</v>
      </c>
    </row>
    <row r="281" spans="1:7">
      <c r="A281" s="2429" t="s">
        <v>304</v>
      </c>
      <c r="B281" s="2418" t="s">
        <v>2775</v>
      </c>
      <c r="C281" s="2419">
        <v>0.15</v>
      </c>
      <c r="D281" s="2419">
        <v>0.15</v>
      </c>
      <c r="E281" s="2419">
        <v>0.15</v>
      </c>
      <c r="F281" s="2419">
        <v>0.15</v>
      </c>
      <c r="G281" s="2420">
        <v>0.15</v>
      </c>
    </row>
    <row r="282" spans="1:7">
      <c r="A282" s="2429" t="s">
        <v>304</v>
      </c>
      <c r="B282" s="2418" t="s">
        <v>2779</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2794</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2799</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2809</v>
      </c>
      <c r="C293" s="2419">
        <v>0.15</v>
      </c>
      <c r="D293" s="2419">
        <v>0.15</v>
      </c>
      <c r="E293" s="2419">
        <v>0.15</v>
      </c>
      <c r="F293" s="2419">
        <v>0.14499999999999999</v>
      </c>
      <c r="G293" s="2420">
        <v>0.15</v>
      </c>
    </row>
    <row r="294" spans="1:7">
      <c r="A294" s="2429" t="s">
        <v>304</v>
      </c>
      <c r="B294" s="2418" t="s">
        <v>2811</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2828</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2841</v>
      </c>
      <c r="C302" s="2419">
        <v>0.15</v>
      </c>
      <c r="D302" s="2419">
        <v>0.15</v>
      </c>
      <c r="E302" s="2419">
        <v>0.15</v>
      </c>
      <c r="F302" s="2419">
        <v>0.14699999999999999</v>
      </c>
      <c r="G302" s="2420">
        <v>0.15</v>
      </c>
    </row>
    <row r="303" spans="1:7">
      <c r="A303" s="2429" t="s">
        <v>304</v>
      </c>
      <c r="B303" s="2418" t="s">
        <v>2848</v>
      </c>
      <c r="C303" s="2419">
        <v>0.15</v>
      </c>
      <c r="D303" s="2419">
        <v>0.15</v>
      </c>
      <c r="E303" s="2419">
        <v>0.15</v>
      </c>
      <c r="F303" s="2419">
        <v>0.14199999999999999</v>
      </c>
      <c r="G303" s="2420">
        <v>0.15</v>
      </c>
    </row>
    <row r="304" spans="1:7">
      <c r="A304" s="2429" t="s">
        <v>304</v>
      </c>
      <c r="B304" s="2418" t="s">
        <v>2855</v>
      </c>
      <c r="C304" s="2419">
        <v>0.15</v>
      </c>
      <c r="D304" s="2419">
        <v>0.15</v>
      </c>
      <c r="E304" s="2419">
        <v>0.15</v>
      </c>
      <c r="F304" s="2419">
        <v>0.14499999999999999</v>
      </c>
      <c r="G304" s="2420">
        <v>0.15</v>
      </c>
    </row>
    <row r="305" spans="1:7">
      <c r="A305" s="2429" t="s">
        <v>304</v>
      </c>
      <c r="B305" s="2418" t="s">
        <v>2861</v>
      </c>
      <c r="C305" s="2419">
        <v>0.15</v>
      </c>
      <c r="D305" s="2419">
        <v>0.15</v>
      </c>
      <c r="E305" s="2419">
        <v>0.15</v>
      </c>
      <c r="F305" s="2419">
        <v>0.111</v>
      </c>
      <c r="G305" s="2420">
        <v>0.15</v>
      </c>
    </row>
    <row r="306" spans="1:7">
      <c r="A306" s="2429" t="s">
        <v>304</v>
      </c>
      <c r="B306" s="2418" t="s">
        <v>2868</v>
      </c>
      <c r="C306" s="2419">
        <v>0.15</v>
      </c>
      <c r="D306" s="2419">
        <v>0.15</v>
      </c>
      <c r="E306" s="2419">
        <v>0.15</v>
      </c>
      <c r="F306" s="2419">
        <v>0.126</v>
      </c>
      <c r="G306" s="2420">
        <v>0.15</v>
      </c>
    </row>
    <row r="307" spans="1:7">
      <c r="A307" s="2429" t="s">
        <v>304</v>
      </c>
      <c r="B307" s="2418" t="s">
        <v>2873</v>
      </c>
      <c r="C307" s="2419">
        <v>0.15</v>
      </c>
      <c r="D307" s="2419">
        <v>0.15</v>
      </c>
      <c r="E307" s="2419">
        <v>0.15</v>
      </c>
      <c r="F307" s="2419">
        <v>0.12</v>
      </c>
      <c r="G307" s="2420">
        <v>0.15</v>
      </c>
    </row>
    <row r="308" spans="1:7">
      <c r="A308" s="2429" t="s">
        <v>304</v>
      </c>
      <c r="B308" s="2418" t="s">
        <v>2879</v>
      </c>
      <c r="C308" s="2419">
        <v>0.15</v>
      </c>
      <c r="D308" s="2419">
        <v>0.15</v>
      </c>
      <c r="E308" s="2419">
        <v>0.15</v>
      </c>
      <c r="F308" s="2419">
        <v>0.13</v>
      </c>
      <c r="G308" s="2420">
        <v>0.15</v>
      </c>
    </row>
    <row r="309" spans="1:7">
      <c r="A309" s="2429" t="s">
        <v>304</v>
      </c>
      <c r="B309" s="2418" t="s">
        <v>2883</v>
      </c>
      <c r="C309" s="2419">
        <v>0.15</v>
      </c>
      <c r="D309" s="2419">
        <v>0.15</v>
      </c>
      <c r="E309" s="2419">
        <v>0.15</v>
      </c>
      <c r="F309" s="2419">
        <v>0.14099999999999999</v>
      </c>
      <c r="G309" s="2420">
        <v>0.15</v>
      </c>
    </row>
    <row r="310" spans="1:7">
      <c r="A310" s="2429" t="s">
        <v>304</v>
      </c>
      <c r="B310" s="2418" t="s">
        <v>2888</v>
      </c>
      <c r="C310" s="2419">
        <v>0.15</v>
      </c>
      <c r="D310" s="2419">
        <v>0.15</v>
      </c>
      <c r="E310" s="2419">
        <v>0.15</v>
      </c>
      <c r="F310" s="2419">
        <v>0.15</v>
      </c>
      <c r="G310" s="2420">
        <v>0.15</v>
      </c>
    </row>
    <row r="311" spans="1:7">
      <c r="A311" s="2429" t="s">
        <v>304</v>
      </c>
      <c r="B311" s="2418" t="s">
        <v>2893</v>
      </c>
      <c r="C311" s="2419">
        <v>0.13200000000000001</v>
      </c>
      <c r="D311" s="2419">
        <v>0.13300000000000001</v>
      </c>
      <c r="E311" s="2419">
        <v>0.14499999999999999</v>
      </c>
      <c r="F311" s="2419">
        <v>0.14199999999999999</v>
      </c>
      <c r="G311" s="2420">
        <v>0.14000000000000001</v>
      </c>
    </row>
    <row r="312" spans="1:7">
      <c r="A312" s="2429" t="s">
        <v>304</v>
      </c>
      <c r="B312" s="2418" t="s">
        <v>2898</v>
      </c>
      <c r="C312" s="2419">
        <v>0.13800000000000001</v>
      </c>
      <c r="D312" s="2419">
        <v>0.14000000000000001</v>
      </c>
      <c r="E312" s="2419">
        <v>0.14599999999999999</v>
      </c>
      <c r="F312" s="2419">
        <v>0.14899999999999999</v>
      </c>
      <c r="G312" s="2420">
        <v>0.14199999999999999</v>
      </c>
    </row>
    <row r="313" spans="1:7">
      <c r="A313" s="2429" t="s">
        <v>304</v>
      </c>
      <c r="B313" s="2418" t="s">
        <v>2903</v>
      </c>
      <c r="C313" s="2419">
        <v>0.125</v>
      </c>
      <c r="D313" s="2419">
        <v>0.127</v>
      </c>
      <c r="E313" s="2419">
        <v>0.14399999999999999</v>
      </c>
      <c r="F313" s="2419">
        <v>0.115</v>
      </c>
      <c r="G313" s="2420">
        <v>0.13600000000000001</v>
      </c>
    </row>
    <row r="314" spans="1:7">
      <c r="A314" s="2429" t="s">
        <v>304</v>
      </c>
      <c r="B314" s="2418" t="s">
        <v>3112</v>
      </c>
      <c r="C314" s="2435"/>
      <c r="D314" s="2435"/>
      <c r="E314" s="2435"/>
      <c r="F314" s="2419">
        <v>0.05</v>
      </c>
      <c r="G314" s="2436"/>
    </row>
    <row r="315" spans="1:7">
      <c r="A315" s="2429" t="s">
        <v>304</v>
      </c>
      <c r="B315" s="2418" t="s">
        <v>3113</v>
      </c>
      <c r="C315" s="2435"/>
      <c r="D315" s="2435"/>
      <c r="E315" s="2435"/>
      <c r="F315" s="2419">
        <v>0.05</v>
      </c>
      <c r="G315" s="2436"/>
    </row>
    <row r="316" spans="1:7">
      <c r="A316" s="2429" t="s">
        <v>304</v>
      </c>
      <c r="B316" s="2418" t="s">
        <v>3114</v>
      </c>
      <c r="C316" s="2430"/>
      <c r="D316" s="2430"/>
      <c r="E316" s="2430"/>
      <c r="F316" s="2419">
        <v>0.05</v>
      </c>
      <c r="G316" s="2436"/>
    </row>
    <row r="317" spans="1:7">
      <c r="A317" s="2429" t="s">
        <v>304</v>
      </c>
      <c r="B317" s="2418" t="s">
        <v>3115</v>
      </c>
      <c r="C317" s="2430"/>
      <c r="D317" s="2430"/>
      <c r="E317" s="2430"/>
      <c r="F317" s="2419">
        <v>0.05</v>
      </c>
      <c r="G317" s="2436"/>
    </row>
    <row r="318" spans="1:7">
      <c r="A318" s="2429" t="s">
        <v>304</v>
      </c>
      <c r="B318" s="2418" t="s">
        <v>3116</v>
      </c>
      <c r="C318" s="2430"/>
      <c r="D318" s="2430"/>
      <c r="E318" s="2430"/>
      <c r="F318" s="2419">
        <v>0.05</v>
      </c>
      <c r="G318" s="2436"/>
    </row>
    <row r="319" spans="1:7">
      <c r="A319" s="2429" t="s">
        <v>304</v>
      </c>
      <c r="B319" s="2418" t="s">
        <v>3117</v>
      </c>
      <c r="C319" s="2430"/>
      <c r="D319" s="2430"/>
      <c r="E319" s="2430"/>
      <c r="F319" s="2419">
        <v>0.05</v>
      </c>
      <c r="G319" s="2436"/>
    </row>
    <row r="320" spans="1:7">
      <c r="A320" s="2429" t="s">
        <v>304</v>
      </c>
      <c r="B320" s="2418" t="s">
        <v>3118</v>
      </c>
      <c r="C320" s="2430"/>
      <c r="D320" s="2430"/>
      <c r="E320" s="2430"/>
      <c r="F320" s="2419">
        <v>0.05</v>
      </c>
      <c r="G320" s="2436"/>
    </row>
    <row r="321" spans="1:7">
      <c r="A321" s="2429" t="s">
        <v>304</v>
      </c>
      <c r="B321" s="2418" t="s">
        <v>3119</v>
      </c>
      <c r="C321" s="2430"/>
      <c r="D321" s="2430"/>
      <c r="E321" s="2430"/>
      <c r="F321" s="2419">
        <v>0.05</v>
      </c>
      <c r="G321" s="2436"/>
    </row>
    <row r="322" spans="1:7">
      <c r="A322" s="2429" t="s">
        <v>304</v>
      </c>
      <c r="B322" s="2418" t="s">
        <v>3120</v>
      </c>
      <c r="C322" s="2430"/>
      <c r="D322" s="2430"/>
      <c r="E322" s="2430"/>
      <c r="F322" s="2419">
        <v>0.05</v>
      </c>
      <c r="G322" s="2436"/>
    </row>
    <row r="323" spans="1:7">
      <c r="A323" s="2429" t="s">
        <v>304</v>
      </c>
      <c r="B323" s="2418" t="s">
        <v>3121</v>
      </c>
      <c r="C323" s="2430"/>
      <c r="D323" s="2430"/>
      <c r="E323" s="2430"/>
      <c r="F323" s="2419">
        <v>0.05</v>
      </c>
      <c r="G323" s="2436"/>
    </row>
    <row r="324" spans="1:7">
      <c r="A324" s="2429" t="s">
        <v>304</v>
      </c>
      <c r="B324" s="2418" t="s">
        <v>3122</v>
      </c>
      <c r="C324" s="2430"/>
      <c r="D324" s="2430"/>
      <c r="E324" s="2430"/>
      <c r="F324" s="2419">
        <v>0.05</v>
      </c>
      <c r="G324" s="2436"/>
    </row>
    <row r="325" spans="1:7">
      <c r="A325" s="2429" t="s">
        <v>304</v>
      </c>
      <c r="B325" s="2418" t="s">
        <v>3123</v>
      </c>
      <c r="C325" s="2430"/>
      <c r="D325" s="2430"/>
      <c r="E325" s="2430"/>
      <c r="F325" s="2419">
        <v>0.05</v>
      </c>
      <c r="G325" s="2436"/>
    </row>
    <row r="326" spans="1:7" ht="14.25" thickBot="1">
      <c r="A326" s="2432" t="s">
        <v>304</v>
      </c>
      <c r="B326" s="2422" t="s">
        <v>3124</v>
      </c>
      <c r="C326" s="2424"/>
      <c r="D326" s="2424"/>
      <c r="E326" s="2424"/>
      <c r="F326" s="2423">
        <v>0.05</v>
      </c>
      <c r="G326" s="2437"/>
    </row>
    <row r="327" spans="1:7">
      <c r="A327" s="2428" t="s">
        <v>305</v>
      </c>
      <c r="B327" s="2414" t="s">
        <v>2756</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2768</v>
      </c>
      <c r="C329" s="2419">
        <v>0.15</v>
      </c>
      <c r="D329" s="2419">
        <v>0.15</v>
      </c>
      <c r="E329" s="2419">
        <v>0.15</v>
      </c>
      <c r="F329" s="2419">
        <v>0.15</v>
      </c>
      <c r="G329" s="2420">
        <v>0.15</v>
      </c>
    </row>
    <row r="330" spans="1:7">
      <c r="A330" s="2429" t="s">
        <v>305</v>
      </c>
      <c r="B330" s="2418" t="s">
        <v>2772</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2780</v>
      </c>
      <c r="C332" s="2419">
        <v>0.15</v>
      </c>
      <c r="D332" s="2419">
        <v>0.15</v>
      </c>
      <c r="E332" s="2419">
        <v>0.15</v>
      </c>
      <c r="F332" s="2419">
        <v>0.15</v>
      </c>
      <c r="G332" s="2420">
        <v>0.15</v>
      </c>
    </row>
    <row r="333" spans="1:7">
      <c r="A333" s="2429" t="s">
        <v>305</v>
      </c>
      <c r="B333" s="2418" t="s">
        <v>2784</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2790</v>
      </c>
      <c r="C336" s="2419">
        <v>0.15</v>
      </c>
      <c r="D336" s="2419">
        <v>0.15</v>
      </c>
      <c r="E336" s="2419">
        <v>0.15</v>
      </c>
      <c r="F336" s="2419">
        <v>0.14199999999999999</v>
      </c>
      <c r="G336" s="2420">
        <v>0.15</v>
      </c>
    </row>
    <row r="337" spans="1:7">
      <c r="A337" s="2429" t="s">
        <v>305</v>
      </c>
      <c r="B337" s="2418" t="s">
        <v>2795</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2802</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2807</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2815</v>
      </c>
      <c r="C345" s="2419">
        <v>0.15</v>
      </c>
      <c r="D345" s="2419">
        <v>0.15</v>
      </c>
      <c r="E345" s="2419">
        <v>0.15</v>
      </c>
      <c r="F345" s="2419">
        <v>0.13800000000000001</v>
      </c>
      <c r="G345" s="2420">
        <v>0.15</v>
      </c>
    </row>
    <row r="346" spans="1:7">
      <c r="A346" s="2429" t="s">
        <v>305</v>
      </c>
      <c r="B346" s="2418" t="s">
        <v>2817</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2824</v>
      </c>
      <c r="C348" s="2419">
        <v>0.15</v>
      </c>
      <c r="D348" s="2419">
        <v>0.15</v>
      </c>
      <c r="E348" s="2419">
        <v>0.15</v>
      </c>
      <c r="F348" s="2419">
        <v>0.14399999999999999</v>
      </c>
      <c r="G348" s="2420">
        <v>0.15</v>
      </c>
    </row>
    <row r="349" spans="1:7">
      <c r="A349" s="2429" t="s">
        <v>305</v>
      </c>
      <c r="B349" s="2418" t="s">
        <v>2829</v>
      </c>
      <c r="C349" s="2419">
        <v>0.15</v>
      </c>
      <c r="D349" s="2419">
        <v>0.15</v>
      </c>
      <c r="E349" s="2419">
        <v>0.15</v>
      </c>
      <c r="F349" s="2419">
        <v>0.15</v>
      </c>
      <c r="G349" s="2420">
        <v>0.15</v>
      </c>
    </row>
    <row r="350" spans="1:7">
      <c r="A350" s="2429" t="s">
        <v>305</v>
      </c>
      <c r="B350" s="2418" t="s">
        <v>2832</v>
      </c>
      <c r="C350" s="2419">
        <v>0.15</v>
      </c>
      <c r="D350" s="2419">
        <v>0.15</v>
      </c>
      <c r="E350" s="2419">
        <v>0.15</v>
      </c>
      <c r="F350" s="2419">
        <v>0.14699999999999999</v>
      </c>
      <c r="G350" s="2420">
        <v>0.15</v>
      </c>
    </row>
    <row r="351" spans="1:7">
      <c r="A351" s="2429" t="s">
        <v>305</v>
      </c>
      <c r="B351" s="2418" t="s">
        <v>2837</v>
      </c>
      <c r="C351" s="2419">
        <v>0.15</v>
      </c>
      <c r="D351" s="2419">
        <v>0.15</v>
      </c>
      <c r="E351" s="2419">
        <v>0.15</v>
      </c>
      <c r="F351" s="2419">
        <v>0.13</v>
      </c>
      <c r="G351" s="2420">
        <v>0.15</v>
      </c>
    </row>
    <row r="352" spans="1:7">
      <c r="A352" s="2429" t="s">
        <v>305</v>
      </c>
      <c r="B352" s="2418" t="s">
        <v>2842</v>
      </c>
      <c r="C352" s="2419">
        <v>0.15</v>
      </c>
      <c r="D352" s="2419">
        <v>0.15</v>
      </c>
      <c r="E352" s="2419">
        <v>0.15</v>
      </c>
      <c r="F352" s="2419">
        <v>0.14599999999999999</v>
      </c>
      <c r="G352" s="2420">
        <v>0.15</v>
      </c>
    </row>
    <row r="353" spans="1:7">
      <c r="A353" s="2429" t="s">
        <v>305</v>
      </c>
      <c r="B353" s="2418" t="s">
        <v>2849</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2862</v>
      </c>
      <c r="C355" s="2419">
        <v>0.15</v>
      </c>
      <c r="D355" s="2419">
        <v>0.15</v>
      </c>
      <c r="E355" s="2419">
        <v>0.15</v>
      </c>
      <c r="F355" s="2419">
        <v>0.15</v>
      </c>
      <c r="G355" s="2420">
        <v>0.15</v>
      </c>
    </row>
    <row r="356" spans="1:7">
      <c r="A356" s="2429" t="s">
        <v>305</v>
      </c>
      <c r="B356" s="2418" t="s">
        <v>2869</v>
      </c>
      <c r="C356" s="2419">
        <v>0.15</v>
      </c>
      <c r="D356" s="2419">
        <v>0.15</v>
      </c>
      <c r="E356" s="2419">
        <v>0.15</v>
      </c>
      <c r="F356" s="2419">
        <v>0.15</v>
      </c>
      <c r="G356" s="2420">
        <v>0.15</v>
      </c>
    </row>
    <row r="357" spans="1:7" ht="14.25" thickBot="1">
      <c r="A357" s="2432" t="s">
        <v>305</v>
      </c>
      <c r="B357" s="2422" t="s">
        <v>2874</v>
      </c>
      <c r="C357" s="2423">
        <v>0.126</v>
      </c>
      <c r="D357" s="2423">
        <v>0.127</v>
      </c>
      <c r="E357" s="2423">
        <v>0.14299999999999999</v>
      </c>
      <c r="F357" s="2423">
        <v>0.125</v>
      </c>
      <c r="G357" s="2425">
        <v>0.129</v>
      </c>
    </row>
    <row r="358" spans="1:7">
      <c r="A358" s="2428" t="s">
        <v>2743</v>
      </c>
      <c r="B358" s="2414" t="s">
        <v>2757</v>
      </c>
      <c r="C358" s="2415">
        <v>0.15</v>
      </c>
      <c r="D358" s="2415">
        <v>0.15</v>
      </c>
      <c r="E358" s="2415">
        <v>0.15</v>
      </c>
      <c r="F358" s="2415">
        <v>0.15</v>
      </c>
      <c r="G358" s="2416">
        <v>0.15</v>
      </c>
    </row>
    <row r="359" spans="1:7">
      <c r="A359" s="2429" t="s">
        <v>2743</v>
      </c>
      <c r="B359" s="2418" t="s">
        <v>2763</v>
      </c>
      <c r="C359" s="2419">
        <v>0.1</v>
      </c>
      <c r="D359" s="2419">
        <v>0.1</v>
      </c>
      <c r="E359" s="2419">
        <v>0.1</v>
      </c>
      <c r="F359" s="2419">
        <v>0.1</v>
      </c>
      <c r="G359" s="2420">
        <v>0.1</v>
      </c>
    </row>
    <row r="360" spans="1:7">
      <c r="A360" s="2429" t="s">
        <v>2743</v>
      </c>
      <c r="B360" s="2418" t="s">
        <v>2769</v>
      </c>
      <c r="C360" s="2419">
        <v>0.15</v>
      </c>
      <c r="D360" s="2419">
        <v>0.15</v>
      </c>
      <c r="E360" s="2419">
        <v>0.15</v>
      </c>
      <c r="F360" s="2419">
        <v>0.14899999999999999</v>
      </c>
      <c r="G360" s="2420">
        <v>0.15</v>
      </c>
    </row>
    <row r="361" spans="1:7">
      <c r="A361" s="2429" t="s">
        <v>2743</v>
      </c>
      <c r="B361" s="2418" t="s">
        <v>151</v>
      </c>
      <c r="C361" s="2419">
        <v>0.15</v>
      </c>
      <c r="D361" s="2419">
        <v>0.15</v>
      </c>
      <c r="E361" s="2419">
        <v>0.15</v>
      </c>
      <c r="F361" s="2419">
        <v>0.115</v>
      </c>
      <c r="G361" s="2420">
        <v>0.15</v>
      </c>
    </row>
    <row r="362" spans="1:7">
      <c r="A362" s="2429" t="s">
        <v>2743</v>
      </c>
      <c r="B362" s="2418" t="s">
        <v>2776</v>
      </c>
      <c r="C362" s="2419">
        <v>0.15</v>
      </c>
      <c r="D362" s="2419">
        <v>0.15</v>
      </c>
      <c r="E362" s="2419">
        <v>0.15</v>
      </c>
      <c r="F362" s="2419">
        <v>0.106</v>
      </c>
      <c r="G362" s="2420">
        <v>0.15</v>
      </c>
    </row>
    <row r="363" spans="1:7">
      <c r="A363" s="2429" t="s">
        <v>2743</v>
      </c>
      <c r="B363" s="2418" t="s">
        <v>2781</v>
      </c>
      <c r="C363" s="2419">
        <v>0.15</v>
      </c>
      <c r="D363" s="2419">
        <v>0.15</v>
      </c>
      <c r="E363" s="2419">
        <v>0.15</v>
      </c>
      <c r="F363" s="2419">
        <v>0.14699999999999999</v>
      </c>
      <c r="G363" s="2420">
        <v>0.15</v>
      </c>
    </row>
    <row r="364" spans="1:7">
      <c r="A364" s="2429" t="s">
        <v>2743</v>
      </c>
      <c r="B364" s="2418" t="s">
        <v>2785</v>
      </c>
      <c r="C364" s="2419">
        <v>0.15</v>
      </c>
      <c r="D364" s="2419">
        <v>0.15</v>
      </c>
      <c r="E364" s="2419">
        <v>0.15</v>
      </c>
      <c r="F364" s="2419">
        <v>0.14799999999999999</v>
      </c>
      <c r="G364" s="2420">
        <v>0.15</v>
      </c>
    </row>
    <row r="365" spans="1:7">
      <c r="A365" s="2429" t="s">
        <v>2743</v>
      </c>
      <c r="B365" s="2418" t="s">
        <v>198</v>
      </c>
      <c r="C365" s="2419">
        <v>0.15</v>
      </c>
      <c r="D365" s="2419">
        <v>0.15</v>
      </c>
      <c r="E365" s="2419">
        <v>0.15</v>
      </c>
      <c r="F365" s="2419">
        <v>0.15</v>
      </c>
      <c r="G365" s="2420">
        <v>0.15</v>
      </c>
    </row>
    <row r="366" spans="1:7">
      <c r="A366" s="2429" t="s">
        <v>2743</v>
      </c>
      <c r="B366" s="2418" t="s">
        <v>2788</v>
      </c>
      <c r="C366" s="2419">
        <v>0.15</v>
      </c>
      <c r="D366" s="2419">
        <v>0.15</v>
      </c>
      <c r="E366" s="2419">
        <v>0.15</v>
      </c>
      <c r="F366" s="2419">
        <v>0.15</v>
      </c>
      <c r="G366" s="2420">
        <v>0.15</v>
      </c>
    </row>
    <row r="367" spans="1:7">
      <c r="A367" s="2429" t="s">
        <v>2743</v>
      </c>
      <c r="B367" s="2418" t="s">
        <v>2791</v>
      </c>
      <c r="C367" s="2419">
        <v>0.15</v>
      </c>
      <c r="D367" s="2419">
        <v>0.15</v>
      </c>
      <c r="E367" s="2419">
        <v>0.15</v>
      </c>
      <c r="F367" s="2419">
        <v>0.14699999999999999</v>
      </c>
      <c r="G367" s="2420">
        <v>0.15</v>
      </c>
    </row>
    <row r="368" spans="1:7">
      <c r="A368" s="2429" t="s">
        <v>2743</v>
      </c>
      <c r="B368" s="2418" t="s">
        <v>2796</v>
      </c>
      <c r="C368" s="2419">
        <v>0.15</v>
      </c>
      <c r="D368" s="2419">
        <v>0.15</v>
      </c>
      <c r="E368" s="2419">
        <v>0.15</v>
      </c>
      <c r="F368" s="2419">
        <v>0.13600000000000001</v>
      </c>
      <c r="G368" s="2420">
        <v>0.15</v>
      </c>
    </row>
    <row r="369" spans="1:7">
      <c r="A369" s="2429" t="s">
        <v>2743</v>
      </c>
      <c r="B369" s="2418" t="s">
        <v>212</v>
      </c>
      <c r="C369" s="2419">
        <v>0.15</v>
      </c>
      <c r="D369" s="2419">
        <v>0.15</v>
      </c>
      <c r="E369" s="2419">
        <v>0.15</v>
      </c>
      <c r="F369" s="2419">
        <v>0.14399999999999999</v>
      </c>
      <c r="G369" s="2420">
        <v>0.15</v>
      </c>
    </row>
    <row r="370" spans="1:7">
      <c r="A370" s="2429" t="s">
        <v>2743</v>
      </c>
      <c r="B370" s="2418" t="s">
        <v>219</v>
      </c>
      <c r="C370" s="2419">
        <v>0.15</v>
      </c>
      <c r="D370" s="2419">
        <v>0.15</v>
      </c>
      <c r="E370" s="2419">
        <v>0.15</v>
      </c>
      <c r="F370" s="2419">
        <v>0.14599999999999999</v>
      </c>
      <c r="G370" s="2420">
        <v>0.15</v>
      </c>
    </row>
    <row r="371" spans="1:7">
      <c r="A371" s="2429" t="s">
        <v>2743</v>
      </c>
      <c r="B371" s="2418" t="s">
        <v>227</v>
      </c>
      <c r="C371" s="2419">
        <v>0.15</v>
      </c>
      <c r="D371" s="2419">
        <v>0.15</v>
      </c>
      <c r="E371" s="2419">
        <v>0.15</v>
      </c>
      <c r="F371" s="2419">
        <v>0.12</v>
      </c>
      <c r="G371" s="2420">
        <v>0.15</v>
      </c>
    </row>
    <row r="372" spans="1:7">
      <c r="A372" s="2429" t="s">
        <v>2743</v>
      </c>
      <c r="B372" s="2418" t="s">
        <v>2804</v>
      </c>
      <c r="C372" s="2419">
        <v>0.15</v>
      </c>
      <c r="D372" s="2419">
        <v>0.15</v>
      </c>
      <c r="E372" s="2419">
        <v>0.15</v>
      </c>
      <c r="F372" s="2419">
        <v>0.14299999999999999</v>
      </c>
      <c r="G372" s="2420">
        <v>0.15</v>
      </c>
    </row>
    <row r="373" spans="1:7">
      <c r="A373" s="2429" t="s">
        <v>2743</v>
      </c>
      <c r="B373" s="2418" t="s">
        <v>256</v>
      </c>
      <c r="C373" s="2419">
        <v>0.15</v>
      </c>
      <c r="D373" s="2419">
        <v>0.15</v>
      </c>
      <c r="E373" s="2419">
        <v>0.15</v>
      </c>
      <c r="F373" s="2419">
        <v>0.14599999999999999</v>
      </c>
      <c r="G373" s="2420">
        <v>0.15</v>
      </c>
    </row>
    <row r="374" spans="1:7">
      <c r="A374" s="2429" t="s">
        <v>2743</v>
      </c>
      <c r="B374" s="2418" t="s">
        <v>264</v>
      </c>
      <c r="C374" s="2419">
        <v>0.15</v>
      </c>
      <c r="D374" s="2419">
        <v>0.15</v>
      </c>
      <c r="E374" s="2419">
        <v>0.15</v>
      </c>
      <c r="F374" s="2419">
        <v>0.14399999999999999</v>
      </c>
      <c r="G374" s="2420">
        <v>0.15</v>
      </c>
    </row>
    <row r="375" spans="1:7">
      <c r="A375" s="2429" t="s">
        <v>2743</v>
      </c>
      <c r="B375" s="2418" t="s">
        <v>2812</v>
      </c>
      <c r="C375" s="2419">
        <v>0.15</v>
      </c>
      <c r="D375" s="2419">
        <v>0.15</v>
      </c>
      <c r="E375" s="2419">
        <v>0.15</v>
      </c>
      <c r="F375" s="2419">
        <v>0.13</v>
      </c>
      <c r="G375" s="2420">
        <v>0.15</v>
      </c>
    </row>
    <row r="376" spans="1:7">
      <c r="A376" s="2429" t="s">
        <v>2743</v>
      </c>
      <c r="B376" s="2418" t="s">
        <v>275</v>
      </c>
      <c r="C376" s="2419">
        <v>0.15</v>
      </c>
      <c r="D376" s="2419">
        <v>0.15</v>
      </c>
      <c r="E376" s="2419">
        <v>0.15</v>
      </c>
      <c r="F376" s="2419">
        <v>0.14199999999999999</v>
      </c>
      <c r="G376" s="2420">
        <v>0.15</v>
      </c>
    </row>
    <row r="377" spans="1:7" ht="14.25" thickBot="1">
      <c r="A377" s="2432" t="s">
        <v>2743</v>
      </c>
      <c r="B377" s="2422" t="s">
        <v>2818</v>
      </c>
      <c r="C377" s="2423">
        <v>0.15</v>
      </c>
      <c r="D377" s="2423">
        <v>0.15</v>
      </c>
      <c r="E377" s="2423">
        <v>0.15</v>
      </c>
      <c r="F377" s="2423">
        <v>0.14000000000000001</v>
      </c>
      <c r="G377" s="2425">
        <v>0.15</v>
      </c>
    </row>
    <row r="378" spans="1:7">
      <c r="A378" s="2428" t="s">
        <v>2744</v>
      </c>
      <c r="B378" s="2414" t="s">
        <v>2758</v>
      </c>
      <c r="C378" s="2415">
        <v>0.15</v>
      </c>
      <c r="D378" s="2415">
        <v>0.15</v>
      </c>
      <c r="E378" s="2415">
        <v>0.15</v>
      </c>
      <c r="F378" s="2415">
        <v>0.107</v>
      </c>
      <c r="G378" s="2416">
        <v>0.15</v>
      </c>
    </row>
    <row r="379" spans="1:7">
      <c r="A379" s="2429" t="s">
        <v>2744</v>
      </c>
      <c r="B379" s="2418" t="s">
        <v>2764</v>
      </c>
      <c r="C379" s="2419">
        <v>0.15</v>
      </c>
      <c r="D379" s="2419">
        <v>0.15</v>
      </c>
      <c r="E379" s="2419">
        <v>0.15</v>
      </c>
      <c r="F379" s="2419">
        <v>0.115</v>
      </c>
      <c r="G379" s="2420">
        <v>0.14899999999999999</v>
      </c>
    </row>
    <row r="380" spans="1:7">
      <c r="A380" s="2429" t="s">
        <v>2744</v>
      </c>
      <c r="B380" s="2418" t="s">
        <v>2770</v>
      </c>
      <c r="C380" s="2419">
        <v>0.15</v>
      </c>
      <c r="D380" s="2419">
        <v>0.15</v>
      </c>
      <c r="E380" s="2419">
        <v>0.15</v>
      </c>
      <c r="F380" s="2419">
        <v>0.1</v>
      </c>
      <c r="G380" s="2420">
        <v>0.14799999999999999</v>
      </c>
    </row>
    <row r="381" spans="1:7">
      <c r="A381" s="2429" t="s">
        <v>2744</v>
      </c>
      <c r="B381" s="2418" t="s">
        <v>2773</v>
      </c>
      <c r="C381" s="2419">
        <v>0.15</v>
      </c>
      <c r="D381" s="2419">
        <v>0.15</v>
      </c>
      <c r="E381" s="2419">
        <v>0.15</v>
      </c>
      <c r="F381" s="2419">
        <v>0.126</v>
      </c>
      <c r="G381" s="2420">
        <v>0.15</v>
      </c>
    </row>
    <row r="382" spans="1:7">
      <c r="A382" s="2429" t="s">
        <v>2744</v>
      </c>
      <c r="B382" s="2418" t="s">
        <v>2777</v>
      </c>
      <c r="C382" s="2419">
        <v>0.15</v>
      </c>
      <c r="D382" s="2419">
        <v>0.15</v>
      </c>
      <c r="E382" s="2419">
        <v>0.15</v>
      </c>
      <c r="F382" s="2419">
        <v>0.15</v>
      </c>
      <c r="G382" s="2420">
        <v>0.15</v>
      </c>
    </row>
    <row r="383" spans="1:7">
      <c r="A383" s="2429" t="s">
        <v>2744</v>
      </c>
      <c r="B383" s="2418" t="s">
        <v>2782</v>
      </c>
      <c r="C383" s="2419">
        <v>0.15</v>
      </c>
      <c r="D383" s="2419">
        <v>0.15</v>
      </c>
      <c r="E383" s="2419">
        <v>0.15</v>
      </c>
      <c r="F383" s="2419">
        <v>0.14699999999999999</v>
      </c>
      <c r="G383" s="2420">
        <v>0.15</v>
      </c>
    </row>
    <row r="384" spans="1:7" ht="14.25" thickBot="1">
      <c r="A384" s="2439" t="s">
        <v>2744</v>
      </c>
      <c r="B384" s="2440" t="s">
        <v>2786</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activeCell="C7" sqref="C7"/>
    </sheetView>
  </sheetViews>
  <sheetFormatPr defaultColWidth="13.25" defaultRowHeight="13.5"/>
  <cols>
    <col min="1" max="16384" width="13.25" style="2284"/>
  </cols>
  <sheetData>
    <row r="1" spans="1:6" ht="14.25">
      <c r="A1" s="4579" t="s">
        <v>3125</v>
      </c>
      <c r="B1" s="4579"/>
      <c r="C1" s="4579"/>
      <c r="D1" s="4579"/>
      <c r="E1" s="4579"/>
      <c r="F1" s="4580"/>
    </row>
    <row r="2" spans="1:6" ht="14.25">
      <c r="A2" s="2443" t="s">
        <v>3126</v>
      </c>
    </row>
    <row r="3" spans="1:6" ht="14.25">
      <c r="A3" s="2443" t="s">
        <v>3127</v>
      </c>
      <c r="F3" s="2444" t="s">
        <v>3128</v>
      </c>
    </row>
    <row r="4" spans="1:6">
      <c r="A4" s="2445" t="s">
        <v>659</v>
      </c>
      <c r="B4" s="2445" t="s">
        <v>660</v>
      </c>
      <c r="C4" s="2445" t="s">
        <v>19</v>
      </c>
      <c r="D4" s="2445" t="s">
        <v>661</v>
      </c>
      <c r="E4" s="2445" t="s">
        <v>3</v>
      </c>
      <c r="F4" s="2445" t="s">
        <v>3129</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4" t="s">
        <v>446</v>
      </c>
      <c r="C1" s="4584"/>
      <c r="D1" s="4584"/>
      <c r="E1" s="4584"/>
      <c r="F1" s="4584"/>
      <c r="G1" s="4427" t="s">
        <v>447</v>
      </c>
      <c r="H1" s="4427"/>
      <c r="I1" s="4427"/>
      <c r="J1" s="4427"/>
      <c r="K1" s="4427"/>
      <c r="L1" s="4427"/>
      <c r="N1" s="4427" t="s">
        <v>448</v>
      </c>
      <c r="O1" s="4427"/>
      <c r="P1" s="4427"/>
      <c r="Q1" s="4427"/>
      <c r="S1" s="4427" t="s">
        <v>449</v>
      </c>
      <c r="T1" s="4427"/>
      <c r="U1" s="4427"/>
      <c r="V1" s="4427"/>
      <c r="X1" s="4426" t="s">
        <v>450</v>
      </c>
      <c r="Y1" s="4427"/>
      <c r="Z1" s="4427"/>
      <c r="AA1" s="4427"/>
      <c r="AB1" s="4427"/>
      <c r="AD1" s="4426" t="s">
        <v>451</v>
      </c>
      <c r="AE1" s="4427"/>
      <c r="AF1" s="4427"/>
      <c r="AG1" s="4427"/>
      <c r="AH1" s="4427"/>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3252</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3249</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2025</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3250</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3251</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2329</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2211</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2210</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2209</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2206</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2205</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2">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2"/>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2"/>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9"/>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85">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2"/>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82"/>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9"/>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5">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2"/>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2"/>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3"/>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1">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2"/>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2"/>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3"/>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1">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2"/>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2"/>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3"/>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6">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7"/>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7"/>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8"/>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1">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2"/>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2"/>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3"/>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1">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2">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2">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3">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1">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2">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2">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3">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1">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2">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2">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3">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1">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2">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2">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3">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1">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2">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2">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3">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1">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2">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2">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3">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1">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2">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2">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3">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1">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2">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2">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3">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1">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2">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2">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3">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1">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2">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2">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3">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92" t="s">
        <v>2732</v>
      </c>
      <c r="B1" s="4592"/>
      <c r="C1" s="4592"/>
      <c r="D1" s="4592"/>
      <c r="E1" s="4592"/>
      <c r="F1" s="4592"/>
      <c r="G1" s="4593"/>
      <c r="I1" s="2383" t="s">
        <v>2733</v>
      </c>
      <c r="J1" s="2384" t="s">
        <v>2734</v>
      </c>
      <c r="K1" s="2384" t="s">
        <v>2735</v>
      </c>
      <c r="L1" s="2384" t="s">
        <v>2736</v>
      </c>
      <c r="M1" s="2384" t="s">
        <v>2737</v>
      </c>
      <c r="N1" s="2384" t="s">
        <v>2738</v>
      </c>
      <c r="O1" s="2384" t="s">
        <v>2739</v>
      </c>
      <c r="P1" s="2384" t="s">
        <v>2740</v>
      </c>
      <c r="Q1" s="2384" t="s">
        <v>2741</v>
      </c>
      <c r="R1" s="2384" t="s">
        <v>2742</v>
      </c>
      <c r="S1" s="2384" t="s">
        <v>2743</v>
      </c>
      <c r="T1" s="2385" t="s">
        <v>2744</v>
      </c>
    </row>
    <row r="2" spans="1:20" ht="12" thickBot="1">
      <c r="A2" s="2386" t="s">
        <v>2745</v>
      </c>
      <c r="B2" s="2386"/>
      <c r="C2" s="2386"/>
      <c r="D2" s="2386"/>
      <c r="E2" s="2386"/>
      <c r="F2" s="2386"/>
      <c r="G2" s="2387" t="s">
        <v>2746</v>
      </c>
      <c r="I2" s="2388" t="s">
        <v>2747</v>
      </c>
      <c r="J2" s="2388" t="s">
        <v>2748</v>
      </c>
      <c r="K2" s="2388" t="s">
        <v>2749</v>
      </c>
      <c r="L2" s="2388" t="s">
        <v>2750</v>
      </c>
      <c r="M2" s="2388" t="s">
        <v>2751</v>
      </c>
      <c r="N2" s="2388" t="s">
        <v>2752</v>
      </c>
      <c r="O2" s="2388" t="s">
        <v>2753</v>
      </c>
      <c r="P2" s="2388" t="s">
        <v>2754</v>
      </c>
      <c r="Q2" s="2388" t="s">
        <v>2755</v>
      </c>
      <c r="R2" s="2388" t="s">
        <v>2756</v>
      </c>
      <c r="S2" s="2388" t="s">
        <v>2757</v>
      </c>
      <c r="T2" s="2388" t="s">
        <v>2758</v>
      </c>
    </row>
    <row r="3" spans="1:20" s="2394" customFormat="1">
      <c r="A3" s="4590" t="s">
        <v>2759</v>
      </c>
      <c r="B3" s="2389"/>
      <c r="C3" s="2390" t="s">
        <v>2704</v>
      </c>
      <c r="D3" s="2390" t="s">
        <v>2760</v>
      </c>
      <c r="E3" s="2390" t="s">
        <v>2706</v>
      </c>
      <c r="F3" s="2390" t="s">
        <v>2761</v>
      </c>
      <c r="G3" s="2390" t="s">
        <v>2524</v>
      </c>
      <c r="H3" s="2391"/>
      <c r="I3" s="2392" t="s">
        <v>2762</v>
      </c>
      <c r="J3" s="2393" t="s">
        <v>126</v>
      </c>
      <c r="K3" s="2393" t="s">
        <v>127</v>
      </c>
      <c r="L3" s="2392" t="s">
        <v>128</v>
      </c>
      <c r="M3" s="2392" t="s">
        <v>129</v>
      </c>
      <c r="N3" s="2392" t="s">
        <v>130</v>
      </c>
      <c r="O3" s="2392" t="s">
        <v>131</v>
      </c>
      <c r="P3" s="2392" t="s">
        <v>132</v>
      </c>
      <c r="Q3" s="2392" t="s">
        <v>133</v>
      </c>
      <c r="R3" s="2392" t="s">
        <v>134</v>
      </c>
      <c r="S3" s="2392" t="s">
        <v>2763</v>
      </c>
      <c r="T3" s="2392" t="s">
        <v>2764</v>
      </c>
    </row>
    <row r="4" spans="1:20" s="2394" customFormat="1" ht="12" thickBot="1">
      <c r="A4" s="4591"/>
      <c r="B4" s="2395" t="s">
        <v>2765</v>
      </c>
      <c r="C4" s="2395" t="s">
        <v>2766</v>
      </c>
      <c r="D4" s="2395" t="s">
        <v>2766</v>
      </c>
      <c r="E4" s="2395" t="s">
        <v>2766</v>
      </c>
      <c r="F4" s="2396" t="s">
        <v>2766</v>
      </c>
      <c r="G4" s="2396" t="s">
        <v>2766</v>
      </c>
      <c r="H4" s="2391"/>
      <c r="I4" s="2393" t="s">
        <v>135</v>
      </c>
      <c r="J4" s="2393" t="s">
        <v>109</v>
      </c>
      <c r="K4" s="2393" t="s">
        <v>136</v>
      </c>
      <c r="L4" s="2392" t="s">
        <v>137</v>
      </c>
      <c r="M4" s="2392" t="s">
        <v>138</v>
      </c>
      <c r="N4" s="2392" t="s">
        <v>139</v>
      </c>
      <c r="O4" s="2392" t="s">
        <v>140</v>
      </c>
      <c r="P4" s="2392" t="s">
        <v>141</v>
      </c>
      <c r="Q4" s="2392" t="s">
        <v>2767</v>
      </c>
      <c r="R4" s="2392" t="s">
        <v>2768</v>
      </c>
      <c r="S4" s="2392" t="s">
        <v>2769</v>
      </c>
      <c r="T4" s="2392" t="s">
        <v>2770</v>
      </c>
    </row>
    <row r="5" spans="1:20">
      <c r="A5" s="2397" t="s">
        <v>2733</v>
      </c>
      <c r="B5" s="2388" t="s">
        <v>2747</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2771</v>
      </c>
      <c r="R5" s="2392" t="s">
        <v>2772</v>
      </c>
      <c r="S5" s="2392" t="s">
        <v>151</v>
      </c>
      <c r="T5" s="2392" t="s">
        <v>2773</v>
      </c>
    </row>
    <row r="6" spans="1:20" ht="12" thickBot="1">
      <c r="A6" s="2392" t="s">
        <v>142</v>
      </c>
      <c r="B6" s="2392" t="s">
        <v>2762</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2774</v>
      </c>
      <c r="Q6" s="2392" t="s">
        <v>2775</v>
      </c>
      <c r="R6" s="2392" t="s">
        <v>159</v>
      </c>
      <c r="S6" s="2392" t="s">
        <v>2776</v>
      </c>
      <c r="T6" s="2392" t="s">
        <v>2777</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2778</v>
      </c>
      <c r="Q7" s="2392" t="s">
        <v>2779</v>
      </c>
      <c r="R7" s="2392" t="s">
        <v>2780</v>
      </c>
      <c r="S7" s="2392" t="s">
        <v>2781</v>
      </c>
      <c r="T7" s="2392" t="s">
        <v>2782</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2783</v>
      </c>
      <c r="Q8" s="2392" t="s">
        <v>172</v>
      </c>
      <c r="R8" s="2392" t="s">
        <v>2784</v>
      </c>
      <c r="S8" s="2392" t="s">
        <v>2785</v>
      </c>
      <c r="T8" s="2399" t="s">
        <v>2786</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2787</v>
      </c>
      <c r="Q9" s="2392" t="s">
        <v>180</v>
      </c>
      <c r="R9" s="2392" t="s">
        <v>181</v>
      </c>
      <c r="S9" s="2392" t="s">
        <v>198</v>
      </c>
    </row>
    <row r="10" spans="1:20">
      <c r="A10" s="2397" t="s">
        <v>182</v>
      </c>
      <c r="B10" s="2388" t="s">
        <v>2748</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2788</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2789</v>
      </c>
      <c r="P11" s="2392" t="s">
        <v>189</v>
      </c>
      <c r="Q11" s="2392" t="s">
        <v>197</v>
      </c>
      <c r="R11" s="2392" t="s">
        <v>2790</v>
      </c>
      <c r="S11" s="2392" t="s">
        <v>2791</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2792</v>
      </c>
      <c r="P12" s="2392" t="s">
        <v>2793</v>
      </c>
      <c r="Q12" s="2392" t="s">
        <v>2794</v>
      </c>
      <c r="R12" s="2392" t="s">
        <v>2795</v>
      </c>
      <c r="S12" s="2392" t="s">
        <v>2796</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2797</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2798</v>
      </c>
      <c r="K14" s="2393" t="s">
        <v>213</v>
      </c>
      <c r="L14" s="2392" t="s">
        <v>214</v>
      </c>
      <c r="M14" s="2392" t="s">
        <v>215</v>
      </c>
      <c r="N14" s="2392" t="s">
        <v>216</v>
      </c>
      <c r="O14" s="2392" t="s">
        <v>238</v>
      </c>
      <c r="P14" s="2392" t="s">
        <v>211</v>
      </c>
      <c r="Q14" s="2392" t="s">
        <v>2799</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2800</v>
      </c>
      <c r="P15" s="2392" t="s">
        <v>2801</v>
      </c>
      <c r="Q15" s="2392" t="s">
        <v>240</v>
      </c>
      <c r="R15" s="2392" t="s">
        <v>2802</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2803</v>
      </c>
      <c r="P16" s="2392" t="s">
        <v>225</v>
      </c>
      <c r="Q16" s="2392" t="s">
        <v>248</v>
      </c>
      <c r="R16" s="2392" t="s">
        <v>205</v>
      </c>
      <c r="S16" s="2392" t="s">
        <v>2804</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2805</v>
      </c>
      <c r="P17" s="2392" t="s">
        <v>2806</v>
      </c>
      <c r="Q17" s="2392" t="s">
        <v>254</v>
      </c>
      <c r="R17" s="2392" t="s">
        <v>2807</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2808</v>
      </c>
      <c r="P18" s="2392" t="s">
        <v>239</v>
      </c>
      <c r="Q18" s="2392" t="s">
        <v>2809</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2810</v>
      </c>
      <c r="P19" s="2392" t="s">
        <v>247</v>
      </c>
      <c r="Q19" s="2392" t="s">
        <v>2811</v>
      </c>
      <c r="R19" s="2392" t="s">
        <v>263</v>
      </c>
      <c r="S19" s="2392" t="s">
        <v>2812</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2813</v>
      </c>
      <c r="P20" s="2392" t="s">
        <v>2814</v>
      </c>
      <c r="Q20" s="2392" t="s">
        <v>288</v>
      </c>
      <c r="R20" s="2392" t="s">
        <v>2815</v>
      </c>
      <c r="S20" s="2392" t="s">
        <v>275</v>
      </c>
    </row>
    <row r="21" spans="1:19" ht="14.25" customHeight="1" thickBot="1">
      <c r="A21" s="2392" t="s">
        <v>182</v>
      </c>
      <c r="B21" s="2393" t="s">
        <v>206</v>
      </c>
      <c r="C21" s="3145">
        <v>32370</v>
      </c>
      <c r="D21" s="3145">
        <v>26730</v>
      </c>
      <c r="E21" s="3145">
        <v>26640</v>
      </c>
      <c r="F21" s="3145"/>
      <c r="G21" s="3145">
        <v>19440</v>
      </c>
      <c r="J21" s="2399" t="s">
        <v>2816</v>
      </c>
      <c r="K21" s="2393" t="s">
        <v>265</v>
      </c>
      <c r="L21" s="2392" t="s">
        <v>266</v>
      </c>
      <c r="M21" s="2392" t="s">
        <v>267</v>
      </c>
      <c r="N21" s="2392" t="s">
        <v>268</v>
      </c>
      <c r="O21" s="2392" t="s">
        <v>262</v>
      </c>
      <c r="P21" s="2392" t="s">
        <v>281</v>
      </c>
      <c r="Q21" s="2392" t="s">
        <v>291</v>
      </c>
      <c r="R21" s="2392" t="s">
        <v>2817</v>
      </c>
      <c r="S21" s="2399" t="s">
        <v>2818</v>
      </c>
    </row>
    <row r="22" spans="1:19" ht="14.25" customHeight="1">
      <c r="A22" s="2392" t="s">
        <v>182</v>
      </c>
      <c r="B22" s="2393" t="s">
        <v>2798</v>
      </c>
      <c r="C22" s="3145">
        <v>29830</v>
      </c>
      <c r="D22" s="3145">
        <v>27600</v>
      </c>
      <c r="E22" s="3145">
        <v>28150</v>
      </c>
      <c r="F22" s="3145"/>
      <c r="G22" s="3145">
        <v>20080</v>
      </c>
      <c r="K22" s="2393" t="s">
        <v>2819</v>
      </c>
      <c r="L22" s="2392" t="s">
        <v>270</v>
      </c>
      <c r="M22" s="2392" t="s">
        <v>271</v>
      </c>
      <c r="N22" s="2392" t="s">
        <v>272</v>
      </c>
      <c r="O22" s="2392" t="s">
        <v>2820</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2821</v>
      </c>
      <c r="L23" s="2392" t="s">
        <v>276</v>
      </c>
      <c r="M23" s="2392" t="s">
        <v>277</v>
      </c>
      <c r="N23" s="2392" t="s">
        <v>2822</v>
      </c>
      <c r="O23" s="2392" t="s">
        <v>2823</v>
      </c>
      <c r="P23" s="2392" t="s">
        <v>287</v>
      </c>
      <c r="Q23" s="2392" t="s">
        <v>296</v>
      </c>
      <c r="R23" s="2392" t="s">
        <v>2824</v>
      </c>
    </row>
    <row r="24" spans="1:19" ht="14.25" customHeight="1">
      <c r="A24" s="2392" t="s">
        <v>182</v>
      </c>
      <c r="B24" s="2393" t="s">
        <v>228</v>
      </c>
      <c r="C24" s="3145">
        <v>27930</v>
      </c>
      <c r="D24" s="3145">
        <v>32260</v>
      </c>
      <c r="E24" s="3145">
        <v>32120</v>
      </c>
      <c r="F24" s="3145"/>
      <c r="G24" s="3145">
        <v>23470</v>
      </c>
      <c r="K24" s="2393" t="s">
        <v>2825</v>
      </c>
      <c r="L24" s="2392" t="s">
        <v>279</v>
      </c>
      <c r="M24" s="2392" t="s">
        <v>280</v>
      </c>
      <c r="N24" s="2392" t="s">
        <v>2826</v>
      </c>
      <c r="O24" s="2392" t="s">
        <v>283</v>
      </c>
      <c r="P24" s="2392" t="s">
        <v>2827</v>
      </c>
      <c r="Q24" s="2401" t="s">
        <v>2828</v>
      </c>
      <c r="R24" s="2392" t="s">
        <v>2829</v>
      </c>
    </row>
    <row r="25" spans="1:19" ht="14.25" customHeight="1">
      <c r="A25" s="2392" t="s">
        <v>182</v>
      </c>
      <c r="B25" s="2393" t="s">
        <v>233</v>
      </c>
      <c r="C25" s="3145">
        <v>32230</v>
      </c>
      <c r="D25" s="3145">
        <v>29640</v>
      </c>
      <c r="E25" s="3145">
        <v>29510</v>
      </c>
      <c r="F25" s="3145"/>
      <c r="G25" s="3145">
        <v>21560</v>
      </c>
      <c r="K25" s="2393" t="s">
        <v>2830</v>
      </c>
      <c r="L25" s="2392" t="s">
        <v>2831</v>
      </c>
      <c r="M25" s="2392" t="s">
        <v>282</v>
      </c>
      <c r="N25" s="2392" t="s">
        <v>290</v>
      </c>
      <c r="O25" s="2392" t="s">
        <v>286</v>
      </c>
      <c r="P25" s="2392" t="s">
        <v>273</v>
      </c>
      <c r="Q25" s="2401" t="s">
        <v>269</v>
      </c>
      <c r="R25" s="2392" t="s">
        <v>2832</v>
      </c>
    </row>
    <row r="26" spans="1:19" ht="14.25" customHeight="1" thickBot="1">
      <c r="A26" s="2392" t="s">
        <v>182</v>
      </c>
      <c r="B26" s="2393" t="s">
        <v>242</v>
      </c>
      <c r="C26" s="3145">
        <v>31690</v>
      </c>
      <c r="D26" s="3145">
        <v>27650</v>
      </c>
      <c r="E26" s="3145">
        <v>28200</v>
      </c>
      <c r="F26" s="3145"/>
      <c r="G26" s="3145">
        <v>20110</v>
      </c>
      <c r="K26" s="2398" t="s">
        <v>2833</v>
      </c>
      <c r="L26" s="2392" t="s">
        <v>2834</v>
      </c>
      <c r="M26" s="2392" t="s">
        <v>285</v>
      </c>
      <c r="N26" s="2392" t="s">
        <v>292</v>
      </c>
      <c r="O26" s="2392" t="s">
        <v>2835</v>
      </c>
      <c r="P26" s="2392" t="s">
        <v>2836</v>
      </c>
      <c r="Q26" s="2401" t="s">
        <v>274</v>
      </c>
      <c r="R26" s="2392" t="s">
        <v>2837</v>
      </c>
    </row>
    <row r="27" spans="1:19" ht="14.25" customHeight="1">
      <c r="A27" s="2392" t="s">
        <v>182</v>
      </c>
      <c r="B27" s="2393" t="s">
        <v>249</v>
      </c>
      <c r="C27" s="3145">
        <v>29610</v>
      </c>
      <c r="D27" s="3145">
        <v>27770</v>
      </c>
      <c r="E27" s="3145">
        <v>28300</v>
      </c>
      <c r="F27" s="3145"/>
      <c r="G27" s="3145">
        <v>20210</v>
      </c>
      <c r="L27" s="2392" t="s">
        <v>2838</v>
      </c>
      <c r="M27" s="2392" t="s">
        <v>289</v>
      </c>
      <c r="N27" s="2392" t="s">
        <v>295</v>
      </c>
      <c r="O27" s="2392" t="s">
        <v>2839</v>
      </c>
      <c r="P27" s="2392" t="s">
        <v>2840</v>
      </c>
      <c r="Q27" s="2392" t="s">
        <v>2841</v>
      </c>
      <c r="R27" s="2392" t="s">
        <v>2842</v>
      </c>
    </row>
    <row r="28" spans="1:19" ht="14.25" customHeight="1">
      <c r="A28" s="2392" t="s">
        <v>182</v>
      </c>
      <c r="B28" s="2393" t="s">
        <v>257</v>
      </c>
      <c r="C28" s="3145"/>
      <c r="D28" s="3145">
        <v>31520</v>
      </c>
      <c r="E28" s="3145">
        <v>31410</v>
      </c>
      <c r="F28" s="3145"/>
      <c r="G28" s="3145">
        <v>22940</v>
      </c>
      <c r="L28" s="2392" t="s">
        <v>2843</v>
      </c>
      <c r="M28" s="2392" t="s">
        <v>2844</v>
      </c>
      <c r="N28" s="2392" t="s">
        <v>2845</v>
      </c>
      <c r="O28" s="2392" t="s">
        <v>2846</v>
      </c>
      <c r="P28" s="2392" t="s">
        <v>2847</v>
      </c>
      <c r="Q28" s="2392" t="s">
        <v>2848</v>
      </c>
      <c r="R28" s="2392" t="s">
        <v>2849</v>
      </c>
    </row>
    <row r="29" spans="1:19" ht="14.25" customHeight="1" thickBot="1">
      <c r="A29" s="2400" t="s">
        <v>182</v>
      </c>
      <c r="B29" s="2402" t="s">
        <v>2816</v>
      </c>
      <c r="C29" s="3147"/>
      <c r="D29" s="3147">
        <v>29460</v>
      </c>
      <c r="E29" s="3147">
        <v>28640</v>
      </c>
      <c r="F29" s="3147"/>
      <c r="G29" s="3147">
        <v>21430</v>
      </c>
      <c r="L29" s="2392" t="s">
        <v>2850</v>
      </c>
      <c r="M29" s="2392" t="s">
        <v>2851</v>
      </c>
      <c r="N29" s="2392" t="s">
        <v>2852</v>
      </c>
      <c r="O29" s="2392" t="s">
        <v>2853</v>
      </c>
      <c r="P29" s="2392" t="s">
        <v>2854</v>
      </c>
      <c r="Q29" s="2392" t="s">
        <v>2855</v>
      </c>
      <c r="R29" s="2392" t="s">
        <v>278</v>
      </c>
    </row>
    <row r="30" spans="1:19" ht="14.25" customHeight="1">
      <c r="A30" s="2397" t="s">
        <v>294</v>
      </c>
      <c r="B30" s="2388" t="s">
        <v>2749</v>
      </c>
      <c r="C30" s="3144">
        <v>26890</v>
      </c>
      <c r="D30" s="3144">
        <v>26770</v>
      </c>
      <c r="E30" s="3144">
        <v>25700</v>
      </c>
      <c r="F30" s="3144">
        <v>8180</v>
      </c>
      <c r="G30" s="3148">
        <v>18740</v>
      </c>
      <c r="L30" s="2392" t="s">
        <v>2856</v>
      </c>
      <c r="M30" s="2392" t="s">
        <v>2857</v>
      </c>
      <c r="N30" s="2392" t="s">
        <v>2858</v>
      </c>
      <c r="O30" s="2392" t="s">
        <v>2859</v>
      </c>
      <c r="P30" s="2392" t="s">
        <v>2860</v>
      </c>
      <c r="Q30" s="2392" t="s">
        <v>2861</v>
      </c>
      <c r="R30" s="2392" t="s">
        <v>2862</v>
      </c>
    </row>
    <row r="31" spans="1:19" ht="14.25" customHeight="1">
      <c r="A31" s="2392" t="s">
        <v>294</v>
      </c>
      <c r="B31" s="2393" t="s">
        <v>127</v>
      </c>
      <c r="C31" s="3145">
        <v>24550</v>
      </c>
      <c r="D31" s="3145">
        <v>23990</v>
      </c>
      <c r="E31" s="3145">
        <v>22930</v>
      </c>
      <c r="F31" s="3145">
        <v>7470</v>
      </c>
      <c r="G31" s="3149">
        <v>16790</v>
      </c>
      <c r="L31" s="2392" t="s">
        <v>2863</v>
      </c>
      <c r="M31" s="2392" t="s">
        <v>2864</v>
      </c>
      <c r="N31" s="2392" t="s">
        <v>2865</v>
      </c>
      <c r="O31" s="2392" t="s">
        <v>2866</v>
      </c>
      <c r="P31" s="2392" t="s">
        <v>2867</v>
      </c>
      <c r="Q31" s="2392" t="s">
        <v>2868</v>
      </c>
      <c r="R31" s="2392" t="s">
        <v>2869</v>
      </c>
    </row>
    <row r="32" spans="1:19" ht="14.25" customHeight="1" thickBot="1">
      <c r="A32" s="2392" t="s">
        <v>294</v>
      </c>
      <c r="B32" s="2393" t="s">
        <v>136</v>
      </c>
      <c r="C32" s="3145">
        <v>27210</v>
      </c>
      <c r="D32" s="3145">
        <v>23240</v>
      </c>
      <c r="E32" s="3145">
        <v>23260</v>
      </c>
      <c r="F32" s="3145">
        <v>7130</v>
      </c>
      <c r="G32" s="3149">
        <v>16270</v>
      </c>
      <c r="L32" s="2392" t="s">
        <v>2870</v>
      </c>
      <c r="M32" s="2392" t="s">
        <v>2871</v>
      </c>
      <c r="N32" s="2392" t="s">
        <v>298</v>
      </c>
      <c r="O32" s="2392" t="s">
        <v>2872</v>
      </c>
      <c r="P32" s="2392" t="s">
        <v>297</v>
      </c>
      <c r="Q32" s="2392" t="s">
        <v>2873</v>
      </c>
      <c r="R32" s="2399" t="s">
        <v>2874</v>
      </c>
    </row>
    <row r="33" spans="1:17" ht="14.25" customHeight="1" thickBot="1">
      <c r="A33" s="2392" t="s">
        <v>294</v>
      </c>
      <c r="B33" s="2393" t="s">
        <v>145</v>
      </c>
      <c r="C33" s="3145">
        <v>27300</v>
      </c>
      <c r="D33" s="3145">
        <v>22980</v>
      </c>
      <c r="E33" s="3145">
        <v>24260</v>
      </c>
      <c r="F33" s="3145">
        <v>5860</v>
      </c>
      <c r="G33" s="3149">
        <v>16090</v>
      </c>
      <c r="L33" s="2399" t="s">
        <v>2875</v>
      </c>
      <c r="M33" s="2392" t="s">
        <v>2876</v>
      </c>
      <c r="N33" s="2392" t="s">
        <v>299</v>
      </c>
      <c r="O33" s="2392" t="s">
        <v>2877</v>
      </c>
      <c r="P33" s="2392" t="s">
        <v>2878</v>
      </c>
      <c r="Q33" s="2392" t="s">
        <v>2879</v>
      </c>
    </row>
    <row r="34" spans="1:17" ht="14.25" customHeight="1">
      <c r="A34" s="2392" t="s">
        <v>294</v>
      </c>
      <c r="B34" s="2393" t="s">
        <v>154</v>
      </c>
      <c r="C34" s="3145">
        <v>23090</v>
      </c>
      <c r="D34" s="3145">
        <v>23390</v>
      </c>
      <c r="E34" s="3145">
        <v>23510</v>
      </c>
      <c r="F34" s="3145">
        <v>6700</v>
      </c>
      <c r="G34" s="3149">
        <v>16370</v>
      </c>
      <c r="M34" s="2392" t="s">
        <v>2880</v>
      </c>
      <c r="N34" s="2392" t="s">
        <v>300</v>
      </c>
      <c r="O34" s="2392" t="s">
        <v>2881</v>
      </c>
      <c r="P34" s="2392" t="s">
        <v>2882</v>
      </c>
      <c r="Q34" s="2392" t="s">
        <v>2883</v>
      </c>
    </row>
    <row r="35" spans="1:17" ht="14.25" customHeight="1">
      <c r="A35" s="2392" t="s">
        <v>294</v>
      </c>
      <c r="B35" s="2393" t="s">
        <v>161</v>
      </c>
      <c r="C35" s="3145">
        <v>27270</v>
      </c>
      <c r="D35" s="3145">
        <v>24270</v>
      </c>
      <c r="E35" s="3145">
        <v>24950</v>
      </c>
      <c r="F35" s="3145">
        <v>6600</v>
      </c>
      <c r="G35" s="3149">
        <v>16990</v>
      </c>
      <c r="M35" s="2392" t="s">
        <v>2884</v>
      </c>
      <c r="N35" s="2392" t="s">
        <v>2885</v>
      </c>
      <c r="O35" s="2392" t="s">
        <v>2886</v>
      </c>
      <c r="P35" s="2392" t="s">
        <v>2887</v>
      </c>
      <c r="Q35" s="2392" t="s">
        <v>2888</v>
      </c>
    </row>
    <row r="36" spans="1:17" ht="14.25" customHeight="1">
      <c r="A36" s="2392" t="s">
        <v>294</v>
      </c>
      <c r="B36" s="2393" t="s">
        <v>167</v>
      </c>
      <c r="C36" s="3145">
        <v>23490</v>
      </c>
      <c r="D36" s="3145">
        <v>23020</v>
      </c>
      <c r="E36" s="3145">
        <v>25230</v>
      </c>
      <c r="F36" s="3145">
        <v>6780</v>
      </c>
      <c r="G36" s="3149">
        <v>16120</v>
      </c>
      <c r="M36" s="2392" t="s">
        <v>2889</v>
      </c>
      <c r="N36" s="2392" t="s">
        <v>2890</v>
      </c>
      <c r="O36" s="2392" t="s">
        <v>2891</v>
      </c>
      <c r="P36" s="2392" t="s">
        <v>2892</v>
      </c>
      <c r="Q36" s="2392" t="s">
        <v>2893</v>
      </c>
    </row>
    <row r="37" spans="1:17" ht="14.25" customHeight="1">
      <c r="A37" s="2392" t="s">
        <v>294</v>
      </c>
      <c r="B37" s="2393" t="s">
        <v>174</v>
      </c>
      <c r="C37" s="3145">
        <v>24380</v>
      </c>
      <c r="D37" s="3145">
        <v>22240</v>
      </c>
      <c r="E37" s="3145">
        <v>25980</v>
      </c>
      <c r="F37" s="3145">
        <v>8160</v>
      </c>
      <c r="G37" s="3149">
        <v>15570</v>
      </c>
      <c r="M37" s="2392" t="s">
        <v>2894</v>
      </c>
      <c r="N37" s="2392" t="s">
        <v>2895</v>
      </c>
      <c r="O37" s="2392" t="s">
        <v>2896</v>
      </c>
      <c r="P37" s="2392" t="s">
        <v>2897</v>
      </c>
      <c r="Q37" s="2392" t="s">
        <v>2898</v>
      </c>
    </row>
    <row r="38" spans="1:17" ht="14.25" customHeight="1">
      <c r="A38" s="2392" t="s">
        <v>294</v>
      </c>
      <c r="B38" s="2393" t="s">
        <v>184</v>
      </c>
      <c r="C38" s="3145">
        <v>23120</v>
      </c>
      <c r="D38" s="3145">
        <v>24630</v>
      </c>
      <c r="E38" s="3145">
        <v>25030</v>
      </c>
      <c r="F38" s="3145">
        <v>7710</v>
      </c>
      <c r="G38" s="3149">
        <v>17240</v>
      </c>
      <c r="M38" s="2392" t="s">
        <v>2899</v>
      </c>
      <c r="N38" s="2392" t="s">
        <v>2900</v>
      </c>
      <c r="O38" s="2392" t="s">
        <v>2901</v>
      </c>
      <c r="P38" s="2392" t="s">
        <v>2902</v>
      </c>
      <c r="Q38" s="2392" t="s">
        <v>2903</v>
      </c>
    </row>
    <row r="39" spans="1:17" ht="14.25" customHeight="1">
      <c r="A39" s="2392" t="s">
        <v>294</v>
      </c>
      <c r="B39" s="2393" t="s">
        <v>193</v>
      </c>
      <c r="C39" s="3145">
        <v>22330</v>
      </c>
      <c r="D39" s="3145">
        <v>21140</v>
      </c>
      <c r="E39" s="3145">
        <v>23970</v>
      </c>
      <c r="F39" s="3145">
        <v>7940</v>
      </c>
      <c r="G39" s="3149">
        <v>14790</v>
      </c>
      <c r="M39" s="2392" t="s">
        <v>2904</v>
      </c>
      <c r="N39" s="2392" t="s">
        <v>2905</v>
      </c>
      <c r="O39" s="2392" t="s">
        <v>2906</v>
      </c>
      <c r="P39" s="2392" t="s">
        <v>2907</v>
      </c>
      <c r="Q39" s="2392" t="s">
        <v>2908</v>
      </c>
    </row>
    <row r="40" spans="1:17" ht="14.25" customHeight="1">
      <c r="A40" s="2392" t="s">
        <v>294</v>
      </c>
      <c r="B40" s="2393" t="s">
        <v>200</v>
      </c>
      <c r="C40" s="3145">
        <v>24740</v>
      </c>
      <c r="D40" s="3145">
        <v>24690</v>
      </c>
      <c r="E40" s="3145">
        <v>22610</v>
      </c>
      <c r="F40" s="3145"/>
      <c r="G40" s="3149">
        <v>17280</v>
      </c>
      <c r="M40" s="2392" t="s">
        <v>2909</v>
      </c>
      <c r="N40" s="2392" t="s">
        <v>2910</v>
      </c>
      <c r="O40" s="2392" t="s">
        <v>2911</v>
      </c>
      <c r="P40" s="2392" t="s">
        <v>2912</v>
      </c>
      <c r="Q40" s="2392" t="s">
        <v>2913</v>
      </c>
    </row>
    <row r="41" spans="1:17" ht="14.25" customHeight="1" thickBot="1">
      <c r="A41" s="2392" t="s">
        <v>294</v>
      </c>
      <c r="B41" s="2393" t="s">
        <v>207</v>
      </c>
      <c r="C41" s="3145">
        <v>21220</v>
      </c>
      <c r="D41" s="3145">
        <v>21120</v>
      </c>
      <c r="E41" s="3145">
        <v>22590</v>
      </c>
      <c r="F41" s="3145"/>
      <c r="G41" s="3149">
        <v>14780</v>
      </c>
      <c r="M41" s="2399" t="s">
        <v>2914</v>
      </c>
      <c r="N41" s="2392" t="s">
        <v>2915</v>
      </c>
      <c r="O41" s="2392" t="s">
        <v>2916</v>
      </c>
      <c r="P41" s="2392" t="s">
        <v>2917</v>
      </c>
      <c r="Q41" s="2392" t="s">
        <v>2918</v>
      </c>
    </row>
    <row r="42" spans="1:17" ht="14.25" customHeight="1">
      <c r="A42" s="2392" t="s">
        <v>294</v>
      </c>
      <c r="B42" s="2393" t="s">
        <v>213</v>
      </c>
      <c r="C42" s="3145">
        <v>24800</v>
      </c>
      <c r="D42" s="3145">
        <v>22280</v>
      </c>
      <c r="E42" s="3145">
        <v>24350</v>
      </c>
      <c r="F42" s="3145"/>
      <c r="G42" s="3149">
        <v>15590</v>
      </c>
      <c r="N42" s="2392" t="s">
        <v>2919</v>
      </c>
      <c r="O42" s="2392" t="s">
        <v>2920</v>
      </c>
      <c r="P42" s="2392" t="s">
        <v>2921</v>
      </c>
      <c r="Q42" s="2392" t="s">
        <v>2922</v>
      </c>
    </row>
    <row r="43" spans="1:17" ht="14.25" customHeight="1">
      <c r="A43" s="2392" t="s">
        <v>2923</v>
      </c>
      <c r="B43" s="2393" t="s">
        <v>221</v>
      </c>
      <c r="C43" s="3145">
        <v>21210</v>
      </c>
      <c r="D43" s="3145">
        <v>21160</v>
      </c>
      <c r="E43" s="3145">
        <v>22650</v>
      </c>
      <c r="F43" s="3145"/>
      <c r="G43" s="3149">
        <v>14800</v>
      </c>
      <c r="N43" s="2392" t="s">
        <v>2924</v>
      </c>
      <c r="O43" s="2392" t="s">
        <v>2925</v>
      </c>
      <c r="P43" s="2392" t="s">
        <v>2926</v>
      </c>
      <c r="Q43" s="2392" t="s">
        <v>2927</v>
      </c>
    </row>
    <row r="44" spans="1:17" ht="14.25" customHeight="1" thickBot="1">
      <c r="A44" s="2392" t="s">
        <v>294</v>
      </c>
      <c r="B44" s="2393" t="s">
        <v>229</v>
      </c>
      <c r="C44" s="3145">
        <v>22370</v>
      </c>
      <c r="D44" s="3145">
        <v>23140</v>
      </c>
      <c r="E44" s="3145">
        <v>25090</v>
      </c>
      <c r="F44" s="3145"/>
      <c r="G44" s="3149">
        <v>16190</v>
      </c>
      <c r="N44" s="2392" t="s">
        <v>2928</v>
      </c>
      <c r="O44" s="2392" t="s">
        <v>2929</v>
      </c>
      <c r="P44" s="2399" t="s">
        <v>2930</v>
      </c>
      <c r="Q44" s="2392" t="s">
        <v>2931</v>
      </c>
    </row>
    <row r="45" spans="1:17" ht="14.25" customHeight="1" thickBot="1">
      <c r="A45" s="2392" t="s">
        <v>294</v>
      </c>
      <c r="B45" s="2393" t="s">
        <v>234</v>
      </c>
      <c r="C45" s="3145">
        <v>21240</v>
      </c>
      <c r="D45" s="3145">
        <v>27050</v>
      </c>
      <c r="E45" s="3145">
        <v>28000</v>
      </c>
      <c r="F45" s="3145"/>
      <c r="G45" s="3149">
        <v>18940</v>
      </c>
      <c r="N45" s="2392" t="s">
        <v>2932</v>
      </c>
      <c r="O45" s="2399" t="s">
        <v>2933</v>
      </c>
      <c r="Q45" s="2392" t="s">
        <v>2934</v>
      </c>
    </row>
    <row r="46" spans="1:17" ht="14.25" customHeight="1">
      <c r="A46" s="2392" t="s">
        <v>294</v>
      </c>
      <c r="B46" s="2393" t="s">
        <v>243</v>
      </c>
      <c r="C46" s="3145">
        <v>23240</v>
      </c>
      <c r="D46" s="3145">
        <v>23000</v>
      </c>
      <c r="E46" s="3145">
        <v>24980</v>
      </c>
      <c r="F46" s="3145"/>
      <c r="G46" s="3149">
        <v>16100</v>
      </c>
      <c r="N46" s="2392" t="s">
        <v>2935</v>
      </c>
      <c r="Q46" s="2392" t="s">
        <v>2936</v>
      </c>
    </row>
    <row r="47" spans="1:17" ht="14.25" customHeight="1">
      <c r="A47" s="2392" t="s">
        <v>294</v>
      </c>
      <c r="B47" s="2393" t="s">
        <v>250</v>
      </c>
      <c r="C47" s="3145">
        <v>27150</v>
      </c>
      <c r="D47" s="3145">
        <v>23310</v>
      </c>
      <c r="E47" s="3145">
        <v>25150</v>
      </c>
      <c r="F47" s="3145"/>
      <c r="G47" s="3149">
        <v>16310</v>
      </c>
      <c r="N47" s="2392" t="s">
        <v>2937</v>
      </c>
      <c r="Q47" s="2392" t="s">
        <v>2938</v>
      </c>
    </row>
    <row r="48" spans="1:17" ht="14.25" customHeight="1">
      <c r="A48" s="2392" t="s">
        <v>294</v>
      </c>
      <c r="B48" s="2393" t="s">
        <v>258</v>
      </c>
      <c r="C48" s="3145">
        <v>23100</v>
      </c>
      <c r="D48" s="3145">
        <v>21110</v>
      </c>
      <c r="E48" s="3145">
        <v>23080</v>
      </c>
      <c r="F48" s="3145"/>
      <c r="G48" s="3149">
        <v>14780</v>
      </c>
      <c r="N48" s="2392" t="s">
        <v>2939</v>
      </c>
      <c r="Q48" s="2392" t="s">
        <v>2940</v>
      </c>
    </row>
    <row r="49" spans="1:17" ht="14.25" customHeight="1">
      <c r="A49" s="2392" t="s">
        <v>294</v>
      </c>
      <c r="B49" s="2393" t="s">
        <v>265</v>
      </c>
      <c r="C49" s="3145">
        <v>23400</v>
      </c>
      <c r="D49" s="3145">
        <v>22920</v>
      </c>
      <c r="E49" s="3145">
        <v>24900</v>
      </c>
      <c r="F49" s="3145"/>
      <c r="G49" s="3149">
        <v>16040</v>
      </c>
      <c r="N49" s="2392" t="s">
        <v>2941</v>
      </c>
      <c r="Q49" s="2392" t="s">
        <v>2942</v>
      </c>
    </row>
    <row r="50" spans="1:17" ht="14.25" customHeight="1">
      <c r="A50" s="2392" t="s">
        <v>294</v>
      </c>
      <c r="B50" s="2393" t="s">
        <v>2819</v>
      </c>
      <c r="C50" s="3145">
        <v>21200</v>
      </c>
      <c r="D50" s="3145">
        <v>26540</v>
      </c>
      <c r="E50" s="3145">
        <v>23200</v>
      </c>
      <c r="F50" s="3145"/>
      <c r="G50" s="3149">
        <v>18580</v>
      </c>
      <c r="N50" s="2392" t="s">
        <v>2943</v>
      </c>
      <c r="Q50" s="2393" t="s">
        <v>2944</v>
      </c>
    </row>
    <row r="51" spans="1:17" ht="14.25" customHeight="1" thickBot="1">
      <c r="A51" s="2392" t="s">
        <v>294</v>
      </c>
      <c r="B51" s="2393" t="s">
        <v>2821</v>
      </c>
      <c r="C51" s="3145">
        <v>23000</v>
      </c>
      <c r="D51" s="3145">
        <v>23460</v>
      </c>
      <c r="E51" s="3145">
        <v>25290</v>
      </c>
      <c r="F51" s="3145"/>
      <c r="G51" s="3149">
        <v>16420</v>
      </c>
      <c r="N51" s="2392" t="s">
        <v>2945</v>
      </c>
      <c r="Q51" s="2399" t="s">
        <v>2946</v>
      </c>
    </row>
    <row r="52" spans="1:17" ht="14.25" customHeight="1">
      <c r="A52" s="2392" t="s">
        <v>294</v>
      </c>
      <c r="B52" s="2393" t="s">
        <v>2825</v>
      </c>
      <c r="C52" s="3145">
        <v>26660</v>
      </c>
      <c r="D52" s="3145">
        <v>22350</v>
      </c>
      <c r="E52" s="3145">
        <v>22920</v>
      </c>
      <c r="F52" s="3145"/>
      <c r="G52" s="3149">
        <v>15640</v>
      </c>
      <c r="N52" s="2392" t="s">
        <v>2947</v>
      </c>
    </row>
    <row r="53" spans="1:17" ht="14.25" customHeight="1">
      <c r="A53" s="2392" t="s">
        <v>294</v>
      </c>
      <c r="B53" s="2393" t="s">
        <v>2830</v>
      </c>
      <c r="C53" s="3145">
        <v>23580</v>
      </c>
      <c r="D53" s="3145"/>
      <c r="E53" s="3145">
        <v>24280</v>
      </c>
      <c r="F53" s="3145"/>
      <c r="G53" s="3149"/>
      <c r="N53" s="2392" t="s">
        <v>2948</v>
      </c>
    </row>
    <row r="54" spans="1:17" ht="14.25" customHeight="1" thickBot="1">
      <c r="A54" s="2404" t="s">
        <v>294</v>
      </c>
      <c r="B54" s="2398" t="s">
        <v>2833</v>
      </c>
      <c r="C54" s="3146">
        <v>22460</v>
      </c>
      <c r="D54" s="3146"/>
      <c r="E54" s="3146"/>
      <c r="F54" s="3146"/>
      <c r="G54" s="3150"/>
      <c r="N54" s="2392" t="s">
        <v>2949</v>
      </c>
    </row>
    <row r="55" spans="1:17" ht="14.25" customHeight="1">
      <c r="A55" s="2397" t="s">
        <v>108</v>
      </c>
      <c r="B55" s="2388" t="s">
        <v>2950</v>
      </c>
      <c r="C55" s="3145">
        <v>21970</v>
      </c>
      <c r="D55" s="3145">
        <v>20370</v>
      </c>
      <c r="E55" s="3145">
        <v>20180</v>
      </c>
      <c r="F55" s="3145">
        <v>5730</v>
      </c>
      <c r="G55" s="3145">
        <v>13820</v>
      </c>
      <c r="N55" s="2392" t="s">
        <v>2951</v>
      </c>
    </row>
    <row r="56" spans="1:17" ht="14.25" customHeight="1">
      <c r="A56" s="2392" t="s">
        <v>108</v>
      </c>
      <c r="B56" s="2392" t="s">
        <v>128</v>
      </c>
      <c r="C56" s="3145">
        <v>20470</v>
      </c>
      <c r="D56" s="3145">
        <v>20700</v>
      </c>
      <c r="E56" s="3145">
        <v>20380</v>
      </c>
      <c r="F56" s="3145">
        <v>4760</v>
      </c>
      <c r="G56" s="3145">
        <v>14050</v>
      </c>
      <c r="N56" s="2392" t="s">
        <v>2952</v>
      </c>
    </row>
    <row r="57" spans="1:17" ht="14.25" customHeight="1">
      <c r="A57" s="2392" t="s">
        <v>108</v>
      </c>
      <c r="B57" s="2392" t="s">
        <v>137</v>
      </c>
      <c r="C57" s="3145">
        <v>20790</v>
      </c>
      <c r="D57" s="3145">
        <v>21370</v>
      </c>
      <c r="E57" s="3145">
        <v>20890</v>
      </c>
      <c r="F57" s="3145">
        <v>4910</v>
      </c>
      <c r="G57" s="3145">
        <v>14510</v>
      </c>
      <c r="N57" s="2392" t="s">
        <v>2953</v>
      </c>
    </row>
    <row r="58" spans="1:17" ht="14.25" customHeight="1">
      <c r="A58" s="2392" t="s">
        <v>108</v>
      </c>
      <c r="B58" s="2392" t="s">
        <v>146</v>
      </c>
      <c r="C58" s="3145">
        <v>21460</v>
      </c>
      <c r="D58" s="3145">
        <v>20920</v>
      </c>
      <c r="E58" s="3145">
        <v>23410</v>
      </c>
      <c r="F58" s="3145">
        <v>5100</v>
      </c>
      <c r="G58" s="3145">
        <v>14200</v>
      </c>
      <c r="N58" s="2392" t="s">
        <v>2954</v>
      </c>
    </row>
    <row r="59" spans="1:17" ht="14.25" customHeight="1">
      <c r="A59" s="2392" t="s">
        <v>108</v>
      </c>
      <c r="B59" s="2392" t="s">
        <v>155</v>
      </c>
      <c r="C59" s="3145">
        <v>21000</v>
      </c>
      <c r="D59" s="3145">
        <v>21550</v>
      </c>
      <c r="E59" s="3145">
        <v>21150</v>
      </c>
      <c r="F59" s="3145">
        <v>5250</v>
      </c>
      <c r="G59" s="3145">
        <v>14630</v>
      </c>
      <c r="N59" s="2392" t="s">
        <v>2955</v>
      </c>
    </row>
    <row r="60" spans="1:17" ht="14.25" customHeight="1">
      <c r="A60" s="2392" t="s">
        <v>108</v>
      </c>
      <c r="B60" s="2392" t="s">
        <v>162</v>
      </c>
      <c r="C60" s="3145">
        <v>21640</v>
      </c>
      <c r="D60" s="3145">
        <v>21260</v>
      </c>
      <c r="E60" s="3145">
        <v>24040</v>
      </c>
      <c r="F60" s="3145">
        <v>4470</v>
      </c>
      <c r="G60" s="3145">
        <v>14430</v>
      </c>
      <c r="N60" s="2392" t="s">
        <v>2956</v>
      </c>
    </row>
    <row r="61" spans="1:17" ht="14.25" customHeight="1">
      <c r="A61" s="2392" t="s">
        <v>108</v>
      </c>
      <c r="B61" s="2392" t="s">
        <v>168</v>
      </c>
      <c r="C61" s="3145">
        <v>21330</v>
      </c>
      <c r="D61" s="3145">
        <v>18640</v>
      </c>
      <c r="E61" s="3145">
        <v>21190</v>
      </c>
      <c r="F61" s="3145">
        <v>4180</v>
      </c>
      <c r="G61" s="3145">
        <v>12650</v>
      </c>
      <c r="N61" s="2392" t="s">
        <v>2957</v>
      </c>
    </row>
    <row r="62" spans="1:17" ht="14.25" customHeight="1">
      <c r="A62" s="2392" t="s">
        <v>108</v>
      </c>
      <c r="B62" s="2392" t="s">
        <v>175</v>
      </c>
      <c r="C62" s="3145">
        <v>18710</v>
      </c>
      <c r="D62" s="3145">
        <v>19400</v>
      </c>
      <c r="E62" s="3145">
        <v>23750</v>
      </c>
      <c r="F62" s="3145">
        <v>4860</v>
      </c>
      <c r="G62" s="3145">
        <v>13170</v>
      </c>
      <c r="N62" s="2392" t="s">
        <v>2958</v>
      </c>
    </row>
    <row r="63" spans="1:17" ht="14.25" customHeight="1">
      <c r="A63" s="2392" t="s">
        <v>108</v>
      </c>
      <c r="B63" s="2392" t="s">
        <v>185</v>
      </c>
      <c r="C63" s="3145">
        <v>19480</v>
      </c>
      <c r="D63" s="3145">
        <v>16830</v>
      </c>
      <c r="E63" s="3145">
        <v>21590</v>
      </c>
      <c r="F63" s="3145">
        <v>4560</v>
      </c>
      <c r="G63" s="3145">
        <v>11420</v>
      </c>
      <c r="N63" s="2392" t="s">
        <v>2959</v>
      </c>
    </row>
    <row r="64" spans="1:17" ht="14.25" customHeight="1" thickBot="1">
      <c r="A64" s="2392" t="s">
        <v>108</v>
      </c>
      <c r="B64" s="2392" t="s">
        <v>194</v>
      </c>
      <c r="C64" s="3145">
        <v>16920</v>
      </c>
      <c r="D64" s="3145">
        <v>19190</v>
      </c>
      <c r="E64" s="3145">
        <v>22200</v>
      </c>
      <c r="F64" s="3145">
        <v>4390</v>
      </c>
      <c r="G64" s="3145">
        <v>13030</v>
      </c>
      <c r="N64" s="2399" t="s">
        <v>2960</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2831</v>
      </c>
      <c r="C78" s="3145">
        <v>19820</v>
      </c>
      <c r="D78" s="3145">
        <v>19780</v>
      </c>
      <c r="E78" s="3145">
        <v>18560</v>
      </c>
      <c r="F78" s="3145"/>
      <c r="G78" s="3145">
        <v>13430</v>
      </c>
    </row>
    <row r="79" spans="1:7" s="2257" customFormat="1" ht="14.25" customHeight="1">
      <c r="A79" s="2392" t="s">
        <v>108</v>
      </c>
      <c r="B79" s="2392" t="s">
        <v>2834</v>
      </c>
      <c r="C79" s="3145">
        <v>21660</v>
      </c>
      <c r="D79" s="3145">
        <v>18000</v>
      </c>
      <c r="E79" s="3145">
        <v>22570</v>
      </c>
      <c r="F79" s="3145"/>
      <c r="G79" s="3145">
        <v>12220</v>
      </c>
    </row>
    <row r="80" spans="1:7" s="2257" customFormat="1" ht="14.25" customHeight="1">
      <c r="A80" s="2392" t="s">
        <v>108</v>
      </c>
      <c r="B80" s="2392" t="s">
        <v>2838</v>
      </c>
      <c r="C80" s="3145">
        <v>19850</v>
      </c>
      <c r="D80" s="3145"/>
      <c r="E80" s="3145">
        <v>21700</v>
      </c>
      <c r="F80" s="3145"/>
      <c r="G80" s="3145"/>
    </row>
    <row r="81" spans="1:7" s="2257" customFormat="1" ht="14.25" customHeight="1">
      <c r="A81" s="2392" t="s">
        <v>108</v>
      </c>
      <c r="B81" s="2392" t="s">
        <v>2843</v>
      </c>
      <c r="C81" s="3145">
        <v>18080</v>
      </c>
      <c r="D81" s="3145"/>
      <c r="E81" s="3145">
        <v>20900</v>
      </c>
      <c r="F81" s="3145"/>
      <c r="G81" s="3145"/>
    </row>
    <row r="82" spans="1:7" s="2257" customFormat="1" ht="14.25" customHeight="1">
      <c r="A82" s="2392" t="s">
        <v>108</v>
      </c>
      <c r="B82" s="2392" t="s">
        <v>2850</v>
      </c>
      <c r="C82" s="3145"/>
      <c r="D82" s="3145"/>
      <c r="E82" s="3145">
        <v>20840</v>
      </c>
      <c r="F82" s="3145"/>
      <c r="G82" s="3145"/>
    </row>
    <row r="83" spans="1:7" s="2257" customFormat="1" ht="14.25" customHeight="1">
      <c r="A83" s="2392" t="s">
        <v>108</v>
      </c>
      <c r="B83" s="2392" t="s">
        <v>2961</v>
      </c>
      <c r="C83" s="3145"/>
      <c r="D83" s="3145"/>
      <c r="E83" s="3145"/>
      <c r="F83" s="3145">
        <v>4770</v>
      </c>
      <c r="G83" s="3145"/>
    </row>
    <row r="84" spans="1:7" s="2257" customFormat="1" ht="14.25" customHeight="1">
      <c r="A84" s="2392" t="s">
        <v>108</v>
      </c>
      <c r="B84" s="2392" t="s">
        <v>2962</v>
      </c>
      <c r="C84" s="3145"/>
      <c r="D84" s="3145"/>
      <c r="E84" s="3145"/>
      <c r="F84" s="3145">
        <v>4600</v>
      </c>
      <c r="G84" s="3145"/>
    </row>
    <row r="85" spans="1:7" s="2257" customFormat="1" ht="14.25" customHeight="1">
      <c r="A85" s="2392" t="s">
        <v>108</v>
      </c>
      <c r="B85" s="2392" t="s">
        <v>2963</v>
      </c>
      <c r="C85" s="3145"/>
      <c r="D85" s="3145"/>
      <c r="E85" s="3145"/>
      <c r="F85" s="3145">
        <v>4680</v>
      </c>
      <c r="G85" s="3145"/>
    </row>
    <row r="86" spans="1:7" s="2257" customFormat="1" ht="14.25" customHeight="1" thickBot="1">
      <c r="A86" s="2400" t="s">
        <v>108</v>
      </c>
      <c r="B86" s="2402" t="s">
        <v>2964</v>
      </c>
      <c r="C86" s="3147">
        <v>16610</v>
      </c>
      <c r="D86" s="3147">
        <v>16540</v>
      </c>
      <c r="E86" s="3147">
        <v>18850</v>
      </c>
      <c r="F86" s="3147"/>
      <c r="G86" s="3147">
        <v>11220</v>
      </c>
    </row>
    <row r="87" spans="1:7" s="2257" customFormat="1" ht="14.25" customHeight="1">
      <c r="A87" s="2397" t="s">
        <v>301</v>
      </c>
      <c r="B87" s="2388" t="s">
        <v>2965</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2844</v>
      </c>
      <c r="C113" s="3145">
        <v>15520</v>
      </c>
      <c r="D113" s="3145">
        <v>15450</v>
      </c>
      <c r="E113" s="3145"/>
      <c r="F113" s="3145"/>
      <c r="G113" s="3149">
        <v>10210</v>
      </c>
    </row>
    <row r="114" spans="1:7" s="2257" customFormat="1" ht="14.25" customHeight="1">
      <c r="A114" s="2392" t="s">
        <v>301</v>
      </c>
      <c r="B114" s="2392" t="s">
        <v>2851</v>
      </c>
      <c r="C114" s="3145">
        <v>13110</v>
      </c>
      <c r="D114" s="3145">
        <v>13050</v>
      </c>
      <c r="E114" s="3145"/>
      <c r="F114" s="3145"/>
      <c r="G114" s="3149">
        <v>8620</v>
      </c>
    </row>
    <row r="115" spans="1:7" s="2257" customFormat="1" ht="14.25" customHeight="1">
      <c r="A115" s="2392" t="s">
        <v>301</v>
      </c>
      <c r="B115" s="2392" t="s">
        <v>2857</v>
      </c>
      <c r="C115" s="3145">
        <v>12460</v>
      </c>
      <c r="D115" s="3145">
        <v>12390</v>
      </c>
      <c r="E115" s="3145"/>
      <c r="F115" s="3145"/>
      <c r="G115" s="3149">
        <v>8190</v>
      </c>
    </row>
    <row r="116" spans="1:7" s="2257" customFormat="1" ht="14.25" customHeight="1">
      <c r="A116" s="2392" t="s">
        <v>301</v>
      </c>
      <c r="B116" s="2392" t="s">
        <v>2864</v>
      </c>
      <c r="C116" s="3145">
        <v>13580</v>
      </c>
      <c r="D116" s="3145">
        <v>13520</v>
      </c>
      <c r="E116" s="3145"/>
      <c r="F116" s="3145"/>
      <c r="G116" s="3149">
        <v>8930</v>
      </c>
    </row>
    <row r="117" spans="1:7" s="2257" customFormat="1" ht="14.25" customHeight="1">
      <c r="A117" s="2392" t="s">
        <v>301</v>
      </c>
      <c r="B117" s="2392" t="s">
        <v>2871</v>
      </c>
      <c r="C117" s="3145">
        <v>17120</v>
      </c>
      <c r="D117" s="3145">
        <v>17040</v>
      </c>
      <c r="E117" s="3145"/>
      <c r="F117" s="3145"/>
      <c r="G117" s="3149">
        <v>11260</v>
      </c>
    </row>
    <row r="118" spans="1:7" s="2257" customFormat="1" ht="14.25" customHeight="1">
      <c r="A118" s="2392" t="s">
        <v>301</v>
      </c>
      <c r="B118" s="2392" t="s">
        <v>2876</v>
      </c>
      <c r="C118" s="3145">
        <v>14860</v>
      </c>
      <c r="D118" s="3145">
        <v>14790</v>
      </c>
      <c r="E118" s="3145"/>
      <c r="F118" s="3145"/>
      <c r="G118" s="3149">
        <v>9780</v>
      </c>
    </row>
    <row r="119" spans="1:7" s="2257" customFormat="1" ht="14.25" customHeight="1">
      <c r="A119" s="2392" t="s">
        <v>301</v>
      </c>
      <c r="B119" s="2392" t="s">
        <v>2880</v>
      </c>
      <c r="C119" s="3145">
        <v>16470</v>
      </c>
      <c r="D119" s="3145">
        <v>16400</v>
      </c>
      <c r="E119" s="3145"/>
      <c r="F119" s="3145"/>
      <c r="G119" s="3149">
        <v>10840</v>
      </c>
    </row>
    <row r="120" spans="1:7" s="2257" customFormat="1" ht="14.25" customHeight="1">
      <c r="A120" s="2392" t="s">
        <v>301</v>
      </c>
      <c r="B120" s="2392" t="s">
        <v>2966</v>
      </c>
      <c r="C120" s="3145"/>
      <c r="D120" s="3145"/>
      <c r="E120" s="3145"/>
      <c r="F120" s="3145">
        <v>4160</v>
      </c>
      <c r="G120" s="3149"/>
    </row>
    <row r="121" spans="1:7" s="2257" customFormat="1" ht="14.25" customHeight="1">
      <c r="A121" s="2392" t="s">
        <v>301</v>
      </c>
      <c r="B121" s="2392" t="s">
        <v>2967</v>
      </c>
      <c r="C121" s="3145"/>
      <c r="D121" s="3145"/>
      <c r="E121" s="3145"/>
      <c r="F121" s="3145">
        <v>3880</v>
      </c>
      <c r="G121" s="3149"/>
    </row>
    <row r="122" spans="1:7" s="2257" customFormat="1" ht="14.25" customHeight="1">
      <c r="A122" s="2392" t="s">
        <v>301</v>
      </c>
      <c r="B122" s="2392" t="s">
        <v>2968</v>
      </c>
      <c r="C122" s="3145">
        <v>13750</v>
      </c>
      <c r="D122" s="3145">
        <v>13680</v>
      </c>
      <c r="E122" s="3145">
        <v>16460</v>
      </c>
      <c r="F122" s="3145">
        <v>2880</v>
      </c>
      <c r="G122" s="3149">
        <v>9040</v>
      </c>
    </row>
    <row r="123" spans="1:7" s="2257" customFormat="1" ht="14.25" customHeight="1">
      <c r="A123" s="2392" t="s">
        <v>301</v>
      </c>
      <c r="B123" s="2392" t="s">
        <v>2899</v>
      </c>
      <c r="C123" s="3145">
        <v>13590</v>
      </c>
      <c r="D123" s="3145">
        <v>13520</v>
      </c>
      <c r="E123" s="3145">
        <v>16290</v>
      </c>
      <c r="F123" s="3145">
        <v>2790</v>
      </c>
      <c r="G123" s="3149">
        <v>8930</v>
      </c>
    </row>
    <row r="124" spans="1:7" s="2257" customFormat="1" ht="14.25" customHeight="1">
      <c r="A124" s="2392" t="s">
        <v>301</v>
      </c>
      <c r="B124" s="2392" t="s">
        <v>2904</v>
      </c>
      <c r="C124" s="3145">
        <v>13400</v>
      </c>
      <c r="D124" s="3145">
        <v>13320</v>
      </c>
      <c r="E124" s="3145">
        <v>16100</v>
      </c>
      <c r="F124" s="3145">
        <v>2320</v>
      </c>
      <c r="G124" s="3149">
        <v>8800</v>
      </c>
    </row>
    <row r="125" spans="1:7" s="2257" customFormat="1" ht="14.25" customHeight="1">
      <c r="A125" s="2392" t="s">
        <v>301</v>
      </c>
      <c r="B125" s="2392" t="s">
        <v>2909</v>
      </c>
      <c r="C125" s="3145">
        <v>12860</v>
      </c>
      <c r="D125" s="3145">
        <v>12790</v>
      </c>
      <c r="E125" s="3145">
        <v>15370</v>
      </c>
      <c r="F125" s="3145">
        <v>2280</v>
      </c>
      <c r="G125" s="3149">
        <v>8450</v>
      </c>
    </row>
    <row r="126" spans="1:7" s="2257" customFormat="1" ht="14.25" customHeight="1" thickBot="1">
      <c r="A126" s="2404" t="s">
        <v>301</v>
      </c>
      <c r="B126" s="2399" t="s">
        <v>2914</v>
      </c>
      <c r="C126" s="3146">
        <v>12960</v>
      </c>
      <c r="D126" s="3146">
        <v>12890</v>
      </c>
      <c r="E126" s="3146">
        <v>15530</v>
      </c>
      <c r="F126" s="3146">
        <v>2910</v>
      </c>
      <c r="G126" s="3150">
        <v>8520</v>
      </c>
    </row>
    <row r="127" spans="1:7" s="2257" customFormat="1" ht="14.25" customHeight="1">
      <c r="A127" s="2397" t="s">
        <v>27</v>
      </c>
      <c r="B127" s="2388" t="s">
        <v>2969</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2970</v>
      </c>
      <c r="C148" s="3145">
        <v>10370</v>
      </c>
      <c r="D148" s="3145">
        <v>10310</v>
      </c>
      <c r="E148" s="3145">
        <v>12970</v>
      </c>
      <c r="F148" s="3145"/>
      <c r="G148" s="3145">
        <v>6630</v>
      </c>
    </row>
    <row r="149" spans="1:7" s="2257" customFormat="1" ht="14.25" customHeight="1">
      <c r="A149" s="2392" t="s">
        <v>27</v>
      </c>
      <c r="B149" s="2392" t="s">
        <v>2971</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2845</v>
      </c>
      <c r="C153" s="3145">
        <v>10880</v>
      </c>
      <c r="D153" s="3145">
        <v>10820</v>
      </c>
      <c r="E153" s="3145">
        <v>13660</v>
      </c>
      <c r="F153" s="3145">
        <v>2260</v>
      </c>
      <c r="G153" s="3145">
        <v>6970</v>
      </c>
    </row>
    <row r="154" spans="1:7" s="2257" customFormat="1" ht="14.25" customHeight="1">
      <c r="A154" s="2392" t="s">
        <v>27</v>
      </c>
      <c r="B154" s="2392" t="s">
        <v>2972</v>
      </c>
      <c r="C154" s="3145">
        <v>11220</v>
      </c>
      <c r="D154" s="3145">
        <v>11160</v>
      </c>
      <c r="E154" s="3145">
        <v>14130</v>
      </c>
      <c r="F154" s="3145">
        <v>2230</v>
      </c>
      <c r="G154" s="3145">
        <v>7180</v>
      </c>
    </row>
    <row r="155" spans="1:7" s="2257" customFormat="1" ht="14.25" customHeight="1">
      <c r="A155" s="2392" t="s">
        <v>27</v>
      </c>
      <c r="B155" s="2392" t="s">
        <v>2858</v>
      </c>
      <c r="C155" s="3145">
        <v>10430</v>
      </c>
      <c r="D155" s="3145">
        <v>10380</v>
      </c>
      <c r="E155" s="3145">
        <v>13140</v>
      </c>
      <c r="F155" s="3145">
        <v>2080</v>
      </c>
      <c r="G155" s="3145">
        <v>6650</v>
      </c>
    </row>
    <row r="156" spans="1:7" s="2257" customFormat="1" ht="14.25" customHeight="1">
      <c r="A156" s="2392" t="s">
        <v>27</v>
      </c>
      <c r="B156" s="2392" t="s">
        <v>2973</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2974</v>
      </c>
      <c r="C160" s="3145">
        <v>11180</v>
      </c>
      <c r="D160" s="3145">
        <v>11140</v>
      </c>
      <c r="E160" s="3145">
        <v>14050</v>
      </c>
      <c r="F160" s="3145">
        <v>2270</v>
      </c>
      <c r="G160" s="3145">
        <v>7170</v>
      </c>
    </row>
    <row r="161" spans="1:7" s="2257" customFormat="1" ht="14.25" customHeight="1">
      <c r="A161" s="2392" t="s">
        <v>27</v>
      </c>
      <c r="B161" s="2392" t="s">
        <v>2890</v>
      </c>
      <c r="C161" s="3145">
        <v>11160</v>
      </c>
      <c r="D161" s="3145">
        <v>11120</v>
      </c>
      <c r="E161" s="3145">
        <v>14020</v>
      </c>
      <c r="F161" s="3145">
        <v>2150</v>
      </c>
      <c r="G161" s="3145">
        <v>7160</v>
      </c>
    </row>
    <row r="162" spans="1:7" s="2257" customFormat="1" ht="14.25" customHeight="1">
      <c r="A162" s="2392" t="s">
        <v>27</v>
      </c>
      <c r="B162" s="2392" t="s">
        <v>2895</v>
      </c>
      <c r="C162" s="3145">
        <v>9620</v>
      </c>
      <c r="D162" s="3145">
        <v>9570</v>
      </c>
      <c r="E162" s="3145">
        <v>12320</v>
      </c>
      <c r="F162" s="3145">
        <v>2010</v>
      </c>
      <c r="G162" s="3145">
        <v>6160</v>
      </c>
    </row>
    <row r="163" spans="1:7" s="2257" customFormat="1" ht="14.25" customHeight="1">
      <c r="A163" s="2392" t="s">
        <v>27</v>
      </c>
      <c r="B163" s="2392" t="s">
        <v>2900</v>
      </c>
      <c r="C163" s="3145">
        <v>9320</v>
      </c>
      <c r="D163" s="3145">
        <v>9270</v>
      </c>
      <c r="E163" s="3145">
        <v>11790</v>
      </c>
      <c r="F163" s="3145">
        <v>1920</v>
      </c>
      <c r="G163" s="3145">
        <v>5960</v>
      </c>
    </row>
    <row r="164" spans="1:7" s="2257" customFormat="1" ht="14.25" customHeight="1">
      <c r="A164" s="2392" t="s">
        <v>27</v>
      </c>
      <c r="B164" s="2392" t="s">
        <v>2905</v>
      </c>
      <c r="C164" s="3145"/>
      <c r="D164" s="3145"/>
      <c r="E164" s="3145"/>
      <c r="F164" s="3145">
        <v>1980</v>
      </c>
      <c r="G164" s="3145"/>
    </row>
    <row r="165" spans="1:7" s="2257" customFormat="1" ht="14.25" customHeight="1">
      <c r="A165" s="2392" t="s">
        <v>27</v>
      </c>
      <c r="B165" s="2392" t="s">
        <v>2975</v>
      </c>
      <c r="C165" s="3145">
        <v>11060</v>
      </c>
      <c r="D165" s="3145">
        <v>11030</v>
      </c>
      <c r="E165" s="3145">
        <v>13850</v>
      </c>
      <c r="F165" s="3145">
        <v>2170</v>
      </c>
      <c r="G165" s="3145">
        <v>7090</v>
      </c>
    </row>
    <row r="166" spans="1:7" s="2257" customFormat="1" ht="14.25" customHeight="1">
      <c r="A166" s="2392" t="s">
        <v>27</v>
      </c>
      <c r="B166" s="2392" t="s">
        <v>2915</v>
      </c>
      <c r="C166" s="3145">
        <v>11050</v>
      </c>
      <c r="D166" s="3145">
        <v>11010</v>
      </c>
      <c r="E166" s="3145">
        <v>13920</v>
      </c>
      <c r="F166" s="3145">
        <v>2140</v>
      </c>
      <c r="G166" s="3145">
        <v>7080</v>
      </c>
    </row>
    <row r="167" spans="1:7" s="2257" customFormat="1" ht="14.25" customHeight="1">
      <c r="A167" s="2392" t="s">
        <v>27</v>
      </c>
      <c r="B167" s="2392" t="s">
        <v>2919</v>
      </c>
      <c r="C167" s="3145">
        <v>10930</v>
      </c>
      <c r="D167" s="3145">
        <v>10890</v>
      </c>
      <c r="E167" s="3145">
        <v>13790</v>
      </c>
      <c r="F167" s="3145">
        <v>2010</v>
      </c>
      <c r="G167" s="3145">
        <v>7000</v>
      </c>
    </row>
    <row r="168" spans="1:7" s="2257" customFormat="1" ht="14.25" customHeight="1">
      <c r="A168" s="2392" t="s">
        <v>27</v>
      </c>
      <c r="B168" s="2392" t="s">
        <v>2924</v>
      </c>
      <c r="C168" s="3145">
        <v>9420</v>
      </c>
      <c r="D168" s="3145">
        <v>9380</v>
      </c>
      <c r="E168" s="3145">
        <v>11970</v>
      </c>
      <c r="F168" s="3145"/>
      <c r="G168" s="3145">
        <v>6040</v>
      </c>
    </row>
    <row r="169" spans="1:7" s="2257" customFormat="1" ht="14.25" customHeight="1">
      <c r="A169" s="2392" t="s">
        <v>27</v>
      </c>
      <c r="B169" s="2392" t="s">
        <v>2976</v>
      </c>
      <c r="C169" s="3145"/>
      <c r="D169" s="3145"/>
      <c r="E169" s="3145"/>
      <c r="F169" s="3145">
        <v>2880</v>
      </c>
      <c r="G169" s="3145"/>
    </row>
    <row r="170" spans="1:7" s="2257" customFormat="1" ht="14.25" customHeight="1">
      <c r="A170" s="2392" t="s">
        <v>27</v>
      </c>
      <c r="B170" s="2392" t="s">
        <v>2932</v>
      </c>
      <c r="C170" s="3145"/>
      <c r="D170" s="3145"/>
      <c r="E170" s="3145"/>
      <c r="F170" s="3145">
        <v>2880</v>
      </c>
      <c r="G170" s="3145"/>
    </row>
    <row r="171" spans="1:7" s="2257" customFormat="1" ht="14.25" customHeight="1">
      <c r="A171" s="2392" t="s">
        <v>27</v>
      </c>
      <c r="B171" s="2392" t="s">
        <v>2935</v>
      </c>
      <c r="C171" s="3145"/>
      <c r="D171" s="3145"/>
      <c r="E171" s="3145"/>
      <c r="F171" s="3145">
        <v>2880</v>
      </c>
      <c r="G171" s="3145"/>
    </row>
    <row r="172" spans="1:7" s="2257" customFormat="1" ht="14.25" customHeight="1">
      <c r="A172" s="2392" t="s">
        <v>27</v>
      </c>
      <c r="B172" s="2392" t="s">
        <v>2937</v>
      </c>
      <c r="C172" s="3145"/>
      <c r="D172" s="3145"/>
      <c r="E172" s="3145"/>
      <c r="F172" s="3145">
        <v>2880</v>
      </c>
      <c r="G172" s="3145"/>
    </row>
    <row r="173" spans="1:7" s="2257" customFormat="1" ht="14.25" customHeight="1">
      <c r="A173" s="2392" t="s">
        <v>27</v>
      </c>
      <c r="B173" s="2392" t="s">
        <v>2939</v>
      </c>
      <c r="C173" s="3145"/>
      <c r="D173" s="3145"/>
      <c r="E173" s="3145"/>
      <c r="F173" s="3145">
        <v>2150</v>
      </c>
      <c r="G173" s="3145"/>
    </row>
    <row r="174" spans="1:7" s="2257" customFormat="1" ht="14.25" customHeight="1">
      <c r="A174" s="2392" t="s">
        <v>27</v>
      </c>
      <c r="B174" s="2392" t="s">
        <v>2941</v>
      </c>
      <c r="C174" s="3145"/>
      <c r="D174" s="3145"/>
      <c r="E174" s="3145"/>
      <c r="F174" s="3145">
        <v>2030</v>
      </c>
      <c r="G174" s="3145"/>
    </row>
    <row r="175" spans="1:7" s="2257" customFormat="1" ht="14.25" customHeight="1">
      <c r="A175" s="2392" t="s">
        <v>27</v>
      </c>
      <c r="B175" s="2392" t="s">
        <v>2943</v>
      </c>
      <c r="C175" s="3145"/>
      <c r="D175" s="3145"/>
      <c r="E175" s="3145"/>
      <c r="F175" s="3145">
        <v>2780</v>
      </c>
      <c r="G175" s="3145"/>
    </row>
    <row r="176" spans="1:7" s="2257" customFormat="1" ht="14.25" customHeight="1">
      <c r="A176" s="2392" t="s">
        <v>27</v>
      </c>
      <c r="B176" s="2392" t="s">
        <v>2945</v>
      </c>
      <c r="C176" s="3145"/>
      <c r="D176" s="3145"/>
      <c r="E176" s="3145"/>
      <c r="F176" s="3145">
        <v>2780</v>
      </c>
      <c r="G176" s="3145"/>
    </row>
    <row r="177" spans="1:7" s="2257" customFormat="1" ht="14.25" customHeight="1">
      <c r="A177" s="2392" t="s">
        <v>27</v>
      </c>
      <c r="B177" s="2392" t="s">
        <v>2977</v>
      </c>
      <c r="C177" s="3145"/>
      <c r="D177" s="3145"/>
      <c r="E177" s="3145"/>
      <c r="F177" s="3145">
        <v>2780</v>
      </c>
      <c r="G177" s="3145"/>
    </row>
    <row r="178" spans="1:7" s="2257" customFormat="1" ht="14.25" customHeight="1">
      <c r="A178" s="2392" t="s">
        <v>27</v>
      </c>
      <c r="B178" s="2392" t="s">
        <v>2978</v>
      </c>
      <c r="C178" s="3145"/>
      <c r="D178" s="3145"/>
      <c r="E178" s="3145"/>
      <c r="F178" s="3145">
        <v>2060</v>
      </c>
      <c r="G178" s="3145"/>
    </row>
    <row r="179" spans="1:7" s="2257" customFormat="1" ht="14.25" customHeight="1">
      <c r="A179" s="2392" t="s">
        <v>27</v>
      </c>
      <c r="B179" s="2392" t="s">
        <v>2979</v>
      </c>
      <c r="C179" s="3145"/>
      <c r="D179" s="3145"/>
      <c r="E179" s="3145"/>
      <c r="F179" s="3145">
        <v>2120</v>
      </c>
      <c r="G179" s="3145"/>
    </row>
    <row r="180" spans="1:7" s="2257" customFormat="1" ht="14.25" customHeight="1">
      <c r="A180" s="2392" t="s">
        <v>27</v>
      </c>
      <c r="B180" s="2392" t="s">
        <v>2951</v>
      </c>
      <c r="C180" s="3145"/>
      <c r="D180" s="3145"/>
      <c r="E180" s="3145"/>
      <c r="F180" s="3145">
        <v>2340</v>
      </c>
      <c r="G180" s="3145"/>
    </row>
    <row r="181" spans="1:7" s="2257" customFormat="1" ht="14.25" customHeight="1">
      <c r="A181" s="2392" t="s">
        <v>27</v>
      </c>
      <c r="B181" s="2392" t="s">
        <v>2952</v>
      </c>
      <c r="C181" s="3145"/>
      <c r="D181" s="3145"/>
      <c r="E181" s="3145"/>
      <c r="F181" s="3145">
        <v>2340</v>
      </c>
      <c r="G181" s="3145"/>
    </row>
    <row r="182" spans="1:7" s="2257" customFormat="1" ht="14.25" customHeight="1">
      <c r="A182" s="2392" t="s">
        <v>27</v>
      </c>
      <c r="B182" s="2392" t="s">
        <v>2953</v>
      </c>
      <c r="C182" s="3145"/>
      <c r="D182" s="3145"/>
      <c r="E182" s="3145"/>
      <c r="F182" s="3145">
        <v>2340</v>
      </c>
      <c r="G182" s="3145"/>
    </row>
    <row r="183" spans="1:7" s="2257" customFormat="1" ht="14.25" customHeight="1">
      <c r="A183" s="2392" t="s">
        <v>27</v>
      </c>
      <c r="B183" s="2392" t="s">
        <v>2954</v>
      </c>
      <c r="C183" s="3145"/>
      <c r="D183" s="3145"/>
      <c r="E183" s="3145"/>
      <c r="F183" s="3145">
        <v>2340</v>
      </c>
      <c r="G183" s="3145"/>
    </row>
    <row r="184" spans="1:7" s="2257" customFormat="1" ht="14.25" customHeight="1">
      <c r="A184" s="2392" t="s">
        <v>27</v>
      </c>
      <c r="B184" s="2392" t="s">
        <v>2955</v>
      </c>
      <c r="C184" s="3145"/>
      <c r="D184" s="3145"/>
      <c r="E184" s="3145"/>
      <c r="F184" s="3145">
        <v>2340</v>
      </c>
      <c r="G184" s="3145"/>
    </row>
    <row r="185" spans="1:7" s="2257" customFormat="1" ht="14.25" customHeight="1">
      <c r="A185" s="2392" t="s">
        <v>27</v>
      </c>
      <c r="B185" s="2392" t="s">
        <v>2956</v>
      </c>
      <c r="C185" s="3145"/>
      <c r="D185" s="3145"/>
      <c r="E185" s="3145"/>
      <c r="F185" s="3145">
        <v>2530</v>
      </c>
      <c r="G185" s="3145"/>
    </row>
    <row r="186" spans="1:7" s="2257" customFormat="1" ht="14.25" customHeight="1">
      <c r="A186" s="2392" t="s">
        <v>27</v>
      </c>
      <c r="B186" s="2392" t="s">
        <v>2957</v>
      </c>
      <c r="C186" s="3145"/>
      <c r="D186" s="3145"/>
      <c r="E186" s="3145"/>
      <c r="F186" s="3145">
        <v>2550</v>
      </c>
      <c r="G186" s="3145"/>
    </row>
    <row r="187" spans="1:7" s="2257" customFormat="1" ht="14.25" customHeight="1">
      <c r="A187" s="2392" t="s">
        <v>27</v>
      </c>
      <c r="B187" s="2392" t="s">
        <v>2958</v>
      </c>
      <c r="C187" s="3145"/>
      <c r="D187" s="3145"/>
      <c r="E187" s="3145"/>
      <c r="F187" s="3145">
        <v>2070</v>
      </c>
      <c r="G187" s="3145"/>
    </row>
    <row r="188" spans="1:7" s="2257" customFormat="1" ht="14.25" customHeight="1">
      <c r="A188" s="2392" t="s">
        <v>27</v>
      </c>
      <c r="B188" s="2392" t="s">
        <v>2959</v>
      </c>
      <c r="C188" s="3145"/>
      <c r="D188" s="3145"/>
      <c r="E188" s="3145"/>
      <c r="F188" s="3145">
        <v>2340</v>
      </c>
      <c r="G188" s="3145"/>
    </row>
    <row r="189" spans="1:7" s="2257" customFormat="1" ht="14.25" customHeight="1" thickBot="1">
      <c r="A189" s="2400" t="s">
        <v>27</v>
      </c>
      <c r="B189" s="2403" t="s">
        <v>2960</v>
      </c>
      <c r="C189" s="3147"/>
      <c r="D189" s="3147"/>
      <c r="E189" s="3147"/>
      <c r="F189" s="3147">
        <v>2050</v>
      </c>
      <c r="G189" s="3147"/>
    </row>
    <row r="190" spans="1:7" s="2257" customFormat="1" ht="14.25" customHeight="1">
      <c r="A190" s="2397" t="s">
        <v>302</v>
      </c>
      <c r="B190" s="2388" t="s">
        <v>2980</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2981</v>
      </c>
      <c r="C199" s="3145">
        <v>8690</v>
      </c>
      <c r="D199" s="3145">
        <v>8630</v>
      </c>
      <c r="E199" s="3145">
        <v>11350</v>
      </c>
      <c r="F199" s="3145">
        <v>1600</v>
      </c>
      <c r="G199" s="3149">
        <v>5450</v>
      </c>
    </row>
    <row r="200" spans="1:7" s="2257" customFormat="1" ht="14.25" customHeight="1">
      <c r="A200" s="2392" t="s">
        <v>302</v>
      </c>
      <c r="B200" s="2392" t="s">
        <v>2792</v>
      </c>
      <c r="C200" s="3145"/>
      <c r="D200" s="3145"/>
      <c r="E200" s="3145"/>
      <c r="F200" s="3145">
        <v>1510</v>
      </c>
      <c r="G200" s="3149"/>
    </row>
    <row r="201" spans="1:7" s="2257" customFormat="1" ht="14.25" customHeight="1">
      <c r="A201" s="2392" t="s">
        <v>302</v>
      </c>
      <c r="B201" s="2392" t="s">
        <v>2982</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2983</v>
      </c>
      <c r="C203" s="3145">
        <v>8130</v>
      </c>
      <c r="D203" s="3145">
        <v>8070</v>
      </c>
      <c r="E203" s="3145">
        <v>10820</v>
      </c>
      <c r="F203" s="3145">
        <v>1690</v>
      </c>
      <c r="G203" s="3149">
        <v>5100</v>
      </c>
    </row>
    <row r="204" spans="1:7" s="2257" customFormat="1" ht="14.25" customHeight="1">
      <c r="A204" s="2392" t="s">
        <v>302</v>
      </c>
      <c r="B204" s="2392" t="s">
        <v>2803</v>
      </c>
      <c r="C204" s="3145">
        <v>8350</v>
      </c>
      <c r="D204" s="3145">
        <v>8290</v>
      </c>
      <c r="E204" s="3145">
        <v>11080</v>
      </c>
      <c r="F204" s="3145">
        <v>1450</v>
      </c>
      <c r="G204" s="3149">
        <v>5240</v>
      </c>
    </row>
    <row r="205" spans="1:7" s="2257" customFormat="1" ht="14.25" customHeight="1">
      <c r="A205" s="2392" t="s">
        <v>302</v>
      </c>
      <c r="B205" s="2392" t="s">
        <v>2805</v>
      </c>
      <c r="C205" s="3145">
        <v>7190</v>
      </c>
      <c r="D205" s="3145">
        <v>7130</v>
      </c>
      <c r="E205" s="3145">
        <v>9490</v>
      </c>
      <c r="F205" s="3145">
        <v>1470</v>
      </c>
      <c r="G205" s="3149">
        <v>4510</v>
      </c>
    </row>
    <row r="206" spans="1:7" s="2257" customFormat="1" ht="14.25" customHeight="1">
      <c r="A206" s="2392" t="s">
        <v>302</v>
      </c>
      <c r="B206" s="2392" t="s">
        <v>2808</v>
      </c>
      <c r="C206" s="3145">
        <v>7000</v>
      </c>
      <c r="D206" s="3145">
        <v>6950</v>
      </c>
      <c r="E206" s="3145">
        <v>9170</v>
      </c>
      <c r="F206" s="3145">
        <v>1400</v>
      </c>
      <c r="G206" s="3149">
        <v>4380</v>
      </c>
    </row>
    <row r="207" spans="1:7" s="2257" customFormat="1" ht="14.25" customHeight="1">
      <c r="A207" s="2392" t="s">
        <v>302</v>
      </c>
      <c r="B207" s="2392" t="s">
        <v>2810</v>
      </c>
      <c r="C207" s="3145">
        <v>6950</v>
      </c>
      <c r="D207" s="3145">
        <v>6900</v>
      </c>
      <c r="E207" s="3145">
        <v>9110</v>
      </c>
      <c r="F207" s="3145">
        <v>1790</v>
      </c>
      <c r="G207" s="3149">
        <v>4360</v>
      </c>
    </row>
    <row r="208" spans="1:7" s="2257" customFormat="1" ht="14.25" customHeight="1">
      <c r="A208" s="2392" t="s">
        <v>302</v>
      </c>
      <c r="B208" s="2392" t="s">
        <v>2984</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2820</v>
      </c>
      <c r="C210" s="3145">
        <v>8710</v>
      </c>
      <c r="D210" s="3145">
        <v>8660</v>
      </c>
      <c r="E210" s="3145">
        <v>11440</v>
      </c>
      <c r="F210" s="3145">
        <v>1740</v>
      </c>
      <c r="G210" s="3149">
        <v>5470</v>
      </c>
    </row>
    <row r="211" spans="1:7" s="2257" customFormat="1" ht="14.25" customHeight="1">
      <c r="A211" s="2392" t="s">
        <v>302</v>
      </c>
      <c r="B211" s="2392" t="s">
        <v>2985</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2986</v>
      </c>
      <c r="C214" s="3145">
        <v>8090</v>
      </c>
      <c r="D214" s="3145">
        <v>8030</v>
      </c>
      <c r="E214" s="3145">
        <v>10780</v>
      </c>
      <c r="F214" s="3145">
        <v>1570</v>
      </c>
      <c r="G214" s="3149">
        <v>5070</v>
      </c>
    </row>
    <row r="215" spans="1:7" s="2257" customFormat="1" ht="14.25" customHeight="1">
      <c r="A215" s="2392" t="s">
        <v>302</v>
      </c>
      <c r="B215" s="2392" t="s">
        <v>2987</v>
      </c>
      <c r="C215" s="3145">
        <v>7950</v>
      </c>
      <c r="D215" s="3145">
        <v>7900</v>
      </c>
      <c r="E215" s="3145">
        <v>10560</v>
      </c>
      <c r="F215" s="3145">
        <v>1630</v>
      </c>
      <c r="G215" s="3149">
        <v>4990</v>
      </c>
    </row>
    <row r="216" spans="1:7" s="2257" customFormat="1" ht="14.25" customHeight="1">
      <c r="A216" s="2392" t="s">
        <v>302</v>
      </c>
      <c r="B216" s="2392" t="s">
        <v>2988</v>
      </c>
      <c r="C216" s="3145">
        <v>8490</v>
      </c>
      <c r="D216" s="3145">
        <v>8440</v>
      </c>
      <c r="E216" s="3145">
        <v>11260</v>
      </c>
      <c r="F216" s="3145">
        <v>1690</v>
      </c>
      <c r="G216" s="3149">
        <v>5330</v>
      </c>
    </row>
    <row r="217" spans="1:7" s="2257" customFormat="1" ht="14.25" customHeight="1">
      <c r="A217" s="2392" t="s">
        <v>302</v>
      </c>
      <c r="B217" s="2392" t="s">
        <v>2853</v>
      </c>
      <c r="C217" s="3145">
        <v>8200</v>
      </c>
      <c r="D217" s="3145">
        <v>8150</v>
      </c>
      <c r="E217" s="3145">
        <v>10910</v>
      </c>
      <c r="F217" s="3145">
        <v>1670</v>
      </c>
      <c r="G217" s="3149">
        <v>5150</v>
      </c>
    </row>
    <row r="218" spans="1:7" s="2257" customFormat="1" ht="14.25" customHeight="1">
      <c r="A218" s="2392" t="s">
        <v>302</v>
      </c>
      <c r="B218" s="2392" t="s">
        <v>2989</v>
      </c>
      <c r="C218" s="3145"/>
      <c r="D218" s="3145"/>
      <c r="E218" s="3145"/>
      <c r="F218" s="3145">
        <v>2040</v>
      </c>
      <c r="G218" s="3149"/>
    </row>
    <row r="219" spans="1:7" s="2257" customFormat="1" ht="14.25" customHeight="1">
      <c r="A219" s="2392" t="s">
        <v>302</v>
      </c>
      <c r="B219" s="2392" t="s">
        <v>2990</v>
      </c>
      <c r="C219" s="3145"/>
      <c r="D219" s="3145"/>
      <c r="E219" s="3145"/>
      <c r="F219" s="3145">
        <v>2040</v>
      </c>
      <c r="G219" s="3149"/>
    </row>
    <row r="220" spans="1:7" s="2257" customFormat="1" ht="14.25" customHeight="1">
      <c r="A220" s="2392" t="s">
        <v>302</v>
      </c>
      <c r="B220" s="2392" t="s">
        <v>2991</v>
      </c>
      <c r="C220" s="3145"/>
      <c r="D220" s="3145"/>
      <c r="E220" s="3145"/>
      <c r="F220" s="3145">
        <v>2040</v>
      </c>
      <c r="G220" s="3149"/>
    </row>
    <row r="221" spans="1:7" s="2257" customFormat="1" ht="14.25" customHeight="1">
      <c r="A221" s="2392" t="s">
        <v>302</v>
      </c>
      <c r="B221" s="2392" t="s">
        <v>2992</v>
      </c>
      <c r="C221" s="3145"/>
      <c r="D221" s="3145"/>
      <c r="E221" s="3145"/>
      <c r="F221" s="3145">
        <v>2040</v>
      </c>
      <c r="G221" s="3149"/>
    </row>
    <row r="222" spans="1:7" s="2257" customFormat="1" ht="14.25" customHeight="1">
      <c r="A222" s="2392" t="s">
        <v>302</v>
      </c>
      <c r="B222" s="2392" t="s">
        <v>2993</v>
      </c>
      <c r="C222" s="3145"/>
      <c r="D222" s="3145"/>
      <c r="E222" s="3145"/>
      <c r="F222" s="3145">
        <v>2040</v>
      </c>
      <c r="G222" s="3149"/>
    </row>
    <row r="223" spans="1:7" s="2257" customFormat="1" ht="14.25" customHeight="1">
      <c r="A223" s="2392" t="s">
        <v>302</v>
      </c>
      <c r="B223" s="2392" t="s">
        <v>2994</v>
      </c>
      <c r="C223" s="3145"/>
      <c r="D223" s="3145"/>
      <c r="E223" s="3145"/>
      <c r="F223" s="3145">
        <v>1930</v>
      </c>
      <c r="G223" s="3149"/>
    </row>
    <row r="224" spans="1:7" s="2257" customFormat="1" ht="14.25" customHeight="1">
      <c r="A224" s="2392" t="s">
        <v>302</v>
      </c>
      <c r="B224" s="2392" t="s">
        <v>2995</v>
      </c>
      <c r="C224" s="3145"/>
      <c r="D224" s="3145"/>
      <c r="E224" s="3145"/>
      <c r="F224" s="3145">
        <v>1930</v>
      </c>
      <c r="G224" s="3149"/>
    </row>
    <row r="225" spans="1:7" s="2257" customFormat="1" ht="14.25" customHeight="1">
      <c r="A225" s="2392" t="s">
        <v>302</v>
      </c>
      <c r="B225" s="2392" t="s">
        <v>2996</v>
      </c>
      <c r="C225" s="3145"/>
      <c r="D225" s="3145"/>
      <c r="E225" s="3145"/>
      <c r="F225" s="3145">
        <v>1930</v>
      </c>
      <c r="G225" s="3149"/>
    </row>
    <row r="226" spans="1:7" s="2257" customFormat="1" ht="14.25" customHeight="1">
      <c r="A226" s="2392" t="s">
        <v>302</v>
      </c>
      <c r="B226" s="2392" t="s">
        <v>2997</v>
      </c>
      <c r="C226" s="3145"/>
      <c r="D226" s="3145"/>
      <c r="E226" s="3145"/>
      <c r="F226" s="3145">
        <v>1700</v>
      </c>
      <c r="G226" s="3149"/>
    </row>
    <row r="227" spans="1:7" s="2257" customFormat="1" ht="14.25" customHeight="1">
      <c r="A227" s="2392" t="s">
        <v>302</v>
      </c>
      <c r="B227" s="2392" t="s">
        <v>2998</v>
      </c>
      <c r="C227" s="3145"/>
      <c r="D227" s="3145"/>
      <c r="E227" s="3145"/>
      <c r="F227" s="3145">
        <v>1520</v>
      </c>
      <c r="G227" s="3149"/>
    </row>
    <row r="228" spans="1:7" s="2257" customFormat="1" ht="14.25" customHeight="1">
      <c r="A228" s="2392" t="s">
        <v>302</v>
      </c>
      <c r="B228" s="2392" t="s">
        <v>2999</v>
      </c>
      <c r="C228" s="3145"/>
      <c r="D228" s="3145"/>
      <c r="E228" s="3145"/>
      <c r="F228" s="3145">
        <v>1520</v>
      </c>
      <c r="G228" s="3149"/>
    </row>
    <row r="229" spans="1:7" s="2257" customFormat="1" ht="14.25" customHeight="1">
      <c r="A229" s="2392" t="s">
        <v>302</v>
      </c>
      <c r="B229" s="2392" t="s">
        <v>2916</v>
      </c>
      <c r="C229" s="3145"/>
      <c r="D229" s="3145"/>
      <c r="E229" s="3145"/>
      <c r="F229" s="3145">
        <v>1520</v>
      </c>
      <c r="G229" s="3149"/>
    </row>
    <row r="230" spans="1:7" s="2257" customFormat="1" ht="14.25" customHeight="1">
      <c r="A230" s="2392" t="s">
        <v>302</v>
      </c>
      <c r="B230" s="2392" t="s">
        <v>3000</v>
      </c>
      <c r="C230" s="3145"/>
      <c r="D230" s="3145"/>
      <c r="E230" s="3145"/>
      <c r="F230" s="3145">
        <v>1820</v>
      </c>
      <c r="G230" s="3149"/>
    </row>
    <row r="231" spans="1:7" s="2257" customFormat="1" ht="14.25" customHeight="1">
      <c r="A231" s="2392" t="s">
        <v>302</v>
      </c>
      <c r="B231" s="2392" t="s">
        <v>3001</v>
      </c>
      <c r="C231" s="3145"/>
      <c r="D231" s="3145"/>
      <c r="E231" s="3145"/>
      <c r="F231" s="3145">
        <v>1760</v>
      </c>
      <c r="G231" s="3149"/>
    </row>
    <row r="232" spans="1:7" s="2257" customFormat="1" ht="14.25" customHeight="1">
      <c r="A232" s="2392" t="s">
        <v>302</v>
      </c>
      <c r="B232" s="2392" t="s">
        <v>3002</v>
      </c>
      <c r="C232" s="3145"/>
      <c r="D232" s="3145"/>
      <c r="E232" s="3145"/>
      <c r="F232" s="3145">
        <v>1840</v>
      </c>
      <c r="G232" s="3149"/>
    </row>
    <row r="233" spans="1:7" s="2257" customFormat="1" ht="14.25" customHeight="1" thickBot="1">
      <c r="A233" s="2404" t="s">
        <v>302</v>
      </c>
      <c r="B233" s="2399" t="s">
        <v>2933</v>
      </c>
      <c r="C233" s="3146"/>
      <c r="D233" s="3146"/>
      <c r="E233" s="3146"/>
      <c r="F233" s="3146">
        <v>1770</v>
      </c>
      <c r="G233" s="3150"/>
    </row>
    <row r="234" spans="1:7" s="2257" customFormat="1" ht="14.25" customHeight="1">
      <c r="A234" s="2397" t="s">
        <v>303</v>
      </c>
      <c r="B234" s="2388" t="s">
        <v>3003</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2774</v>
      </c>
      <c r="C238" s="3145">
        <v>6920</v>
      </c>
      <c r="D238" s="3145">
        <v>6890</v>
      </c>
      <c r="E238" s="3145">
        <v>8640</v>
      </c>
      <c r="F238" s="3145">
        <v>1310</v>
      </c>
      <c r="G238" s="3145">
        <v>4230</v>
      </c>
    </row>
    <row r="239" spans="1:7" s="2257" customFormat="1" ht="14.25" customHeight="1">
      <c r="A239" s="2392" t="s">
        <v>303</v>
      </c>
      <c r="B239" s="2392" t="s">
        <v>3004</v>
      </c>
      <c r="C239" s="3145">
        <v>6780</v>
      </c>
      <c r="D239" s="3145">
        <v>6750</v>
      </c>
      <c r="E239" s="3145">
        <v>8440</v>
      </c>
      <c r="F239" s="3145">
        <v>1160</v>
      </c>
      <c r="G239" s="3145">
        <v>4140</v>
      </c>
    </row>
    <row r="240" spans="1:7" s="2257" customFormat="1" ht="14.25" customHeight="1">
      <c r="A240" s="2392" t="s">
        <v>303</v>
      </c>
      <c r="B240" s="2392" t="s">
        <v>3005</v>
      </c>
      <c r="C240" s="3145">
        <v>5420</v>
      </c>
      <c r="D240" s="3145">
        <v>5380</v>
      </c>
      <c r="E240" s="3145">
        <v>6640</v>
      </c>
      <c r="F240" s="3145">
        <v>1020</v>
      </c>
      <c r="G240" s="3145">
        <v>3300</v>
      </c>
    </row>
    <row r="241" spans="1:7" s="2257" customFormat="1" ht="14.25" customHeight="1">
      <c r="A241" s="2392" t="s">
        <v>303</v>
      </c>
      <c r="B241" s="2392" t="s">
        <v>3006</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3007</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3008</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3009</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3010</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3011</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2836</v>
      </c>
      <c r="C258" s="3145">
        <v>6190</v>
      </c>
      <c r="D258" s="3145">
        <v>6160</v>
      </c>
      <c r="E258" s="3145">
        <v>7680</v>
      </c>
      <c r="F258" s="3145">
        <v>1170</v>
      </c>
      <c r="G258" s="3145">
        <v>3780</v>
      </c>
    </row>
    <row r="259" spans="1:7" s="2257" customFormat="1" ht="14.25" customHeight="1">
      <c r="A259" s="2392" t="s">
        <v>303</v>
      </c>
      <c r="B259" s="2392" t="s">
        <v>3012</v>
      </c>
      <c r="C259" s="3145">
        <v>7610</v>
      </c>
      <c r="D259" s="3145">
        <v>7570</v>
      </c>
      <c r="E259" s="3145">
        <v>9350</v>
      </c>
      <c r="F259" s="3145">
        <v>1350</v>
      </c>
      <c r="G259" s="3145">
        <v>4650</v>
      </c>
    </row>
    <row r="260" spans="1:7" s="2257" customFormat="1" ht="14.25" customHeight="1">
      <c r="A260" s="2392" t="s">
        <v>303</v>
      </c>
      <c r="B260" s="2392" t="s">
        <v>3013</v>
      </c>
      <c r="C260" s="3145">
        <v>6920</v>
      </c>
      <c r="D260" s="3145">
        <v>6880</v>
      </c>
      <c r="E260" s="3145">
        <v>8380</v>
      </c>
      <c r="F260" s="3145">
        <v>1160</v>
      </c>
      <c r="G260" s="3145">
        <v>4220</v>
      </c>
    </row>
    <row r="261" spans="1:7" s="2257" customFormat="1" ht="14.25" customHeight="1">
      <c r="A261" s="2392" t="s">
        <v>303</v>
      </c>
      <c r="B261" s="2392" t="s">
        <v>3014</v>
      </c>
      <c r="C261" s="3145">
        <v>6850</v>
      </c>
      <c r="D261" s="3145">
        <v>6810</v>
      </c>
      <c r="E261" s="3145">
        <v>8290</v>
      </c>
      <c r="F261" s="3145">
        <v>1130</v>
      </c>
      <c r="G261" s="3145">
        <v>4180</v>
      </c>
    </row>
    <row r="262" spans="1:7" s="2257" customFormat="1" ht="14.25" customHeight="1">
      <c r="A262" s="2392" t="s">
        <v>303</v>
      </c>
      <c r="B262" s="2392" t="s">
        <v>3015</v>
      </c>
      <c r="C262" s="3145">
        <v>5860</v>
      </c>
      <c r="D262" s="3145">
        <v>5820</v>
      </c>
      <c r="E262" s="3145">
        <v>7640</v>
      </c>
      <c r="F262" s="3145">
        <v>1070</v>
      </c>
      <c r="G262" s="3145">
        <v>3570</v>
      </c>
    </row>
    <row r="263" spans="1:7" s="2257" customFormat="1" ht="14.25" customHeight="1">
      <c r="A263" s="2392" t="s">
        <v>303</v>
      </c>
      <c r="B263" s="2392" t="s">
        <v>3016</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3017</v>
      </c>
      <c r="C265" s="3145"/>
      <c r="D265" s="3145"/>
      <c r="E265" s="3145"/>
      <c r="F265" s="3145">
        <v>1500</v>
      </c>
      <c r="G265" s="3145"/>
    </row>
    <row r="266" spans="1:7" s="2257" customFormat="1" ht="14.25" customHeight="1">
      <c r="A266" s="2392" t="s">
        <v>303</v>
      </c>
      <c r="B266" s="2392" t="s">
        <v>3018</v>
      </c>
      <c r="C266" s="3145"/>
      <c r="D266" s="3145"/>
      <c r="E266" s="3145"/>
      <c r="F266" s="3145">
        <v>1500</v>
      </c>
      <c r="G266" s="3145"/>
    </row>
    <row r="267" spans="1:7" s="2257" customFormat="1" ht="14.25" customHeight="1">
      <c r="A267" s="2392" t="s">
        <v>303</v>
      </c>
      <c r="B267" s="2392" t="s">
        <v>3019</v>
      </c>
      <c r="C267" s="3145"/>
      <c r="D267" s="3145"/>
      <c r="E267" s="3145"/>
      <c r="F267" s="3145">
        <v>1500</v>
      </c>
      <c r="G267" s="3145"/>
    </row>
    <row r="268" spans="1:7" s="2257" customFormat="1" ht="14.25" customHeight="1">
      <c r="A268" s="2392" t="s">
        <v>303</v>
      </c>
      <c r="B268" s="2392" t="s">
        <v>3020</v>
      </c>
      <c r="C268" s="3145"/>
      <c r="D268" s="3145"/>
      <c r="E268" s="3145"/>
      <c r="F268" s="3145">
        <v>1290</v>
      </c>
      <c r="G268" s="3145"/>
    </row>
    <row r="269" spans="1:7" s="2257" customFormat="1" ht="14.25" customHeight="1">
      <c r="A269" s="2392" t="s">
        <v>303</v>
      </c>
      <c r="B269" s="2392" t="s">
        <v>3021</v>
      </c>
      <c r="C269" s="3145"/>
      <c r="D269" s="3145"/>
      <c r="E269" s="3145"/>
      <c r="F269" s="3145">
        <v>1150</v>
      </c>
      <c r="G269" s="3145"/>
    </row>
    <row r="270" spans="1:7" s="2257" customFormat="1" ht="14.25" customHeight="1">
      <c r="A270" s="2392" t="s">
        <v>303</v>
      </c>
      <c r="B270" s="2392" t="s">
        <v>3022</v>
      </c>
      <c r="C270" s="3145"/>
      <c r="D270" s="3145"/>
      <c r="E270" s="3145"/>
      <c r="F270" s="3145">
        <v>1380</v>
      </c>
      <c r="G270" s="3145"/>
    </row>
    <row r="271" spans="1:7" s="2257" customFormat="1" ht="14.25" customHeight="1">
      <c r="A271" s="2392" t="s">
        <v>303</v>
      </c>
      <c r="B271" s="2392" t="s">
        <v>3023</v>
      </c>
      <c r="C271" s="3145"/>
      <c r="D271" s="3145"/>
      <c r="E271" s="3145"/>
      <c r="F271" s="3145">
        <v>1460</v>
      </c>
      <c r="G271" s="3145"/>
    </row>
    <row r="272" spans="1:7" s="2257" customFormat="1" ht="14.25" customHeight="1">
      <c r="A272" s="2392" t="s">
        <v>303</v>
      </c>
      <c r="B272" s="2392" t="s">
        <v>3024</v>
      </c>
      <c r="C272" s="3145"/>
      <c r="D272" s="3145"/>
      <c r="E272" s="3145"/>
      <c r="F272" s="3145">
        <v>1460</v>
      </c>
      <c r="G272" s="3145"/>
    </row>
    <row r="273" spans="1:7" s="2257" customFormat="1" ht="14.25" customHeight="1">
      <c r="A273" s="2392" t="s">
        <v>303</v>
      </c>
      <c r="B273" s="2392" t="s">
        <v>2917</v>
      </c>
      <c r="C273" s="3145"/>
      <c r="D273" s="3145"/>
      <c r="E273" s="3145"/>
      <c r="F273" s="3145">
        <v>1490</v>
      </c>
      <c r="G273" s="3145"/>
    </row>
    <row r="274" spans="1:7" s="2257" customFormat="1" ht="14.25" customHeight="1">
      <c r="A274" s="2392" t="s">
        <v>303</v>
      </c>
      <c r="B274" s="2392" t="s">
        <v>3025</v>
      </c>
      <c r="C274" s="3145"/>
      <c r="D274" s="3145"/>
      <c r="E274" s="3145"/>
      <c r="F274" s="3145">
        <v>1490</v>
      </c>
      <c r="G274" s="3145"/>
    </row>
    <row r="275" spans="1:7" s="2257" customFormat="1" ht="14.25" customHeight="1">
      <c r="A275" s="2392" t="s">
        <v>303</v>
      </c>
      <c r="B275" s="2392" t="s">
        <v>3026</v>
      </c>
      <c r="C275" s="3145"/>
      <c r="D275" s="3145"/>
      <c r="E275" s="3145"/>
      <c r="F275" s="3145">
        <v>1220</v>
      </c>
      <c r="G275" s="3145"/>
    </row>
    <row r="276" spans="1:7" s="2257" customFormat="1" ht="14.25" customHeight="1" thickBot="1">
      <c r="A276" s="2400" t="s">
        <v>303</v>
      </c>
      <c r="B276" s="2402" t="s">
        <v>3027</v>
      </c>
      <c r="C276" s="3147"/>
      <c r="D276" s="3147"/>
      <c r="E276" s="3147"/>
      <c r="F276" s="3147">
        <v>1380</v>
      </c>
      <c r="G276" s="3147"/>
    </row>
    <row r="277" spans="1:7" s="2257" customFormat="1" ht="14.25" customHeight="1">
      <c r="A277" s="2397" t="s">
        <v>304</v>
      </c>
      <c r="B277" s="2388" t="s">
        <v>3028</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3029</v>
      </c>
      <c r="C279" s="3145">
        <v>4760</v>
      </c>
      <c r="D279" s="3145">
        <v>4720</v>
      </c>
      <c r="E279" s="3145">
        <v>5540</v>
      </c>
      <c r="F279" s="3145">
        <v>810</v>
      </c>
      <c r="G279" s="3149">
        <v>2850</v>
      </c>
    </row>
    <row r="280" spans="1:7" s="2257" customFormat="1" ht="14.25" customHeight="1">
      <c r="A280" s="2392" t="s">
        <v>304</v>
      </c>
      <c r="B280" s="2392" t="s">
        <v>3030</v>
      </c>
      <c r="C280" s="3145">
        <v>4010</v>
      </c>
      <c r="D280" s="3145">
        <v>3950</v>
      </c>
      <c r="E280" s="3145">
        <v>4710</v>
      </c>
      <c r="F280" s="3145">
        <v>800</v>
      </c>
      <c r="G280" s="3149">
        <v>2390</v>
      </c>
    </row>
    <row r="281" spans="1:7" s="2257" customFormat="1" ht="14.25" customHeight="1">
      <c r="A281" s="2392" t="s">
        <v>304</v>
      </c>
      <c r="B281" s="2392" t="s">
        <v>3031</v>
      </c>
      <c r="C281" s="3145">
        <v>4480</v>
      </c>
      <c r="D281" s="3145">
        <v>4420</v>
      </c>
      <c r="E281" s="3145">
        <v>5230</v>
      </c>
      <c r="F281" s="3145">
        <v>870</v>
      </c>
      <c r="G281" s="3149">
        <v>2660</v>
      </c>
    </row>
    <row r="282" spans="1:7" s="2257" customFormat="1" ht="14.25" customHeight="1">
      <c r="A282" s="2392" t="s">
        <v>304</v>
      </c>
      <c r="B282" s="2392" t="s">
        <v>3032</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3033</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3034</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2809</v>
      </c>
      <c r="C293" s="3145">
        <v>5320</v>
      </c>
      <c r="D293" s="3145">
        <v>5270</v>
      </c>
      <c r="E293" s="3145">
        <v>6160</v>
      </c>
      <c r="F293" s="3145">
        <v>990</v>
      </c>
      <c r="G293" s="3149">
        <v>3170</v>
      </c>
    </row>
    <row r="294" spans="1:7" s="2257" customFormat="1" ht="14.25" customHeight="1">
      <c r="A294" s="2392" t="s">
        <v>304</v>
      </c>
      <c r="B294" s="2392" t="s">
        <v>3035</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2828</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3036</v>
      </c>
      <c r="C302" s="3145">
        <v>5520</v>
      </c>
      <c r="D302" s="3145">
        <v>5470</v>
      </c>
      <c r="E302" s="3145">
        <v>6410</v>
      </c>
      <c r="F302" s="3145">
        <v>950</v>
      </c>
      <c r="G302" s="3149">
        <v>3300</v>
      </c>
    </row>
    <row r="303" spans="1:7" s="2257" customFormat="1" ht="14.25" customHeight="1">
      <c r="A303" s="2392" t="s">
        <v>304</v>
      </c>
      <c r="B303" s="2392" t="s">
        <v>2848</v>
      </c>
      <c r="C303" s="3145">
        <v>5630</v>
      </c>
      <c r="D303" s="3145">
        <v>5590</v>
      </c>
      <c r="E303" s="3145">
        <v>6550</v>
      </c>
      <c r="F303" s="3145">
        <v>1010</v>
      </c>
      <c r="G303" s="3149">
        <v>3370</v>
      </c>
    </row>
    <row r="304" spans="1:7" s="2257" customFormat="1" ht="14.25" customHeight="1">
      <c r="A304" s="2392" t="s">
        <v>304</v>
      </c>
      <c r="B304" s="2392" t="s">
        <v>2855</v>
      </c>
      <c r="C304" s="3145">
        <v>5680</v>
      </c>
      <c r="D304" s="3145">
        <v>5620</v>
      </c>
      <c r="E304" s="3145">
        <v>6620</v>
      </c>
      <c r="F304" s="3145">
        <v>1050</v>
      </c>
      <c r="G304" s="3149">
        <v>3390</v>
      </c>
    </row>
    <row r="305" spans="1:7" s="2257" customFormat="1" ht="14.25" customHeight="1">
      <c r="A305" s="2392" t="s">
        <v>304</v>
      </c>
      <c r="B305" s="2392" t="s">
        <v>2861</v>
      </c>
      <c r="C305" s="3145">
        <v>5590</v>
      </c>
      <c r="D305" s="3145">
        <v>5530</v>
      </c>
      <c r="E305" s="3145">
        <v>6460</v>
      </c>
      <c r="F305" s="3145">
        <v>900</v>
      </c>
      <c r="G305" s="3149">
        <v>3340</v>
      </c>
    </row>
    <row r="306" spans="1:7" s="2257" customFormat="1" ht="14.25" customHeight="1">
      <c r="A306" s="2392" t="s">
        <v>304</v>
      </c>
      <c r="B306" s="2392" t="s">
        <v>3037</v>
      </c>
      <c r="C306" s="3145">
        <v>5560</v>
      </c>
      <c r="D306" s="3145">
        <v>5510</v>
      </c>
      <c r="E306" s="3145">
        <v>6440</v>
      </c>
      <c r="F306" s="3145">
        <v>900</v>
      </c>
      <c r="G306" s="3149">
        <v>3320</v>
      </c>
    </row>
    <row r="307" spans="1:7" s="2257" customFormat="1" ht="14.25" customHeight="1">
      <c r="A307" s="2392" t="s">
        <v>304</v>
      </c>
      <c r="B307" s="2392" t="s">
        <v>2873</v>
      </c>
      <c r="C307" s="3145">
        <v>5650</v>
      </c>
      <c r="D307" s="3145">
        <v>5600</v>
      </c>
      <c r="E307" s="3145">
        <v>6590</v>
      </c>
      <c r="F307" s="3145">
        <v>930</v>
      </c>
      <c r="G307" s="3149">
        <v>3380</v>
      </c>
    </row>
    <row r="308" spans="1:7" s="2257" customFormat="1" ht="14.25" customHeight="1">
      <c r="A308" s="2392" t="s">
        <v>304</v>
      </c>
      <c r="B308" s="2392" t="s">
        <v>3038</v>
      </c>
      <c r="C308" s="3145">
        <v>5620</v>
      </c>
      <c r="D308" s="3145">
        <v>5580</v>
      </c>
      <c r="E308" s="3145">
        <v>6540</v>
      </c>
      <c r="F308" s="3145">
        <v>910</v>
      </c>
      <c r="G308" s="3149">
        <v>3370</v>
      </c>
    </row>
    <row r="309" spans="1:7" s="2257" customFormat="1" ht="14.25" customHeight="1">
      <c r="A309" s="2392" t="s">
        <v>304</v>
      </c>
      <c r="B309" s="2392" t="s">
        <v>3039</v>
      </c>
      <c r="C309" s="3145">
        <v>5060</v>
      </c>
      <c r="D309" s="3145">
        <v>5020</v>
      </c>
      <c r="E309" s="3145">
        <v>6370</v>
      </c>
      <c r="F309" s="3145">
        <v>800</v>
      </c>
      <c r="G309" s="3149">
        <v>3020</v>
      </c>
    </row>
    <row r="310" spans="1:7" s="2257" customFormat="1" ht="14.25" customHeight="1">
      <c r="A310" s="2392" t="s">
        <v>304</v>
      </c>
      <c r="B310" s="2392" t="s">
        <v>2888</v>
      </c>
      <c r="C310" s="3145">
        <v>5150</v>
      </c>
      <c r="D310" s="3145">
        <v>5110</v>
      </c>
      <c r="E310" s="3145">
        <v>6500</v>
      </c>
      <c r="F310" s="3145">
        <v>880</v>
      </c>
      <c r="G310" s="3149">
        <v>3080</v>
      </c>
    </row>
    <row r="311" spans="1:7" s="2257" customFormat="1" ht="14.25" customHeight="1">
      <c r="A311" s="2392" t="s">
        <v>304</v>
      </c>
      <c r="B311" s="2392" t="s">
        <v>3040</v>
      </c>
      <c r="C311" s="3145">
        <v>4750</v>
      </c>
      <c r="D311" s="3145">
        <v>4710</v>
      </c>
      <c r="E311" s="3145">
        <v>5510</v>
      </c>
      <c r="F311" s="3145">
        <v>880</v>
      </c>
      <c r="G311" s="3149">
        <v>2840</v>
      </c>
    </row>
    <row r="312" spans="1:7" s="2257" customFormat="1" ht="14.25" customHeight="1">
      <c r="A312" s="2392" t="s">
        <v>304</v>
      </c>
      <c r="B312" s="2392" t="s">
        <v>2898</v>
      </c>
      <c r="C312" s="3145">
        <v>4690</v>
      </c>
      <c r="D312" s="3145">
        <v>4640</v>
      </c>
      <c r="E312" s="3145">
        <v>5420</v>
      </c>
      <c r="F312" s="3145">
        <v>800</v>
      </c>
      <c r="G312" s="3149">
        <v>2800</v>
      </c>
    </row>
    <row r="313" spans="1:7" s="2257" customFormat="1" ht="14.25" customHeight="1">
      <c r="A313" s="2392" t="s">
        <v>304</v>
      </c>
      <c r="B313" s="2392" t="s">
        <v>2903</v>
      </c>
      <c r="C313" s="3145">
        <v>4810</v>
      </c>
      <c r="D313" s="3145">
        <v>4760</v>
      </c>
      <c r="E313" s="3145">
        <v>5550</v>
      </c>
      <c r="F313" s="3145">
        <v>920</v>
      </c>
      <c r="G313" s="3149">
        <v>2870</v>
      </c>
    </row>
    <row r="314" spans="1:7" s="2257" customFormat="1" ht="14.25" customHeight="1">
      <c r="A314" s="2392" t="s">
        <v>304</v>
      </c>
      <c r="B314" s="2392" t="s">
        <v>3041</v>
      </c>
      <c r="C314" s="3145"/>
      <c r="D314" s="3145"/>
      <c r="E314" s="3145"/>
      <c r="F314" s="3145">
        <v>1020</v>
      </c>
      <c r="G314" s="3149"/>
    </row>
    <row r="315" spans="1:7" s="2257" customFormat="1" ht="14.25" customHeight="1">
      <c r="A315" s="2392" t="s">
        <v>304</v>
      </c>
      <c r="B315" s="2392" t="s">
        <v>3042</v>
      </c>
      <c r="C315" s="3145"/>
      <c r="D315" s="3145"/>
      <c r="E315" s="3145"/>
      <c r="F315" s="3145">
        <v>1050</v>
      </c>
      <c r="G315" s="3149"/>
    </row>
    <row r="316" spans="1:7" s="2257" customFormat="1" ht="14.25" customHeight="1">
      <c r="A316" s="2392" t="s">
        <v>304</v>
      </c>
      <c r="B316" s="2392" t="s">
        <v>2918</v>
      </c>
      <c r="C316" s="3145"/>
      <c r="D316" s="3145"/>
      <c r="E316" s="3145"/>
      <c r="F316" s="3145">
        <v>900</v>
      </c>
      <c r="G316" s="3149"/>
    </row>
    <row r="317" spans="1:7" s="2257" customFormat="1" ht="14.25" customHeight="1">
      <c r="A317" s="2392" t="s">
        <v>304</v>
      </c>
      <c r="B317" s="2392" t="s">
        <v>3043</v>
      </c>
      <c r="C317" s="3145"/>
      <c r="D317" s="3145"/>
      <c r="E317" s="3145"/>
      <c r="F317" s="3145">
        <v>920</v>
      </c>
      <c r="G317" s="3149"/>
    </row>
    <row r="318" spans="1:7" s="2257" customFormat="1" ht="14.25" customHeight="1">
      <c r="A318" s="2392" t="s">
        <v>304</v>
      </c>
      <c r="B318" s="2392" t="s">
        <v>3044</v>
      </c>
      <c r="C318" s="3145"/>
      <c r="D318" s="3145"/>
      <c r="E318" s="3145"/>
      <c r="F318" s="3145">
        <v>1080</v>
      </c>
      <c r="G318" s="3149"/>
    </row>
    <row r="319" spans="1:7" s="2257" customFormat="1" ht="14.25" customHeight="1">
      <c r="A319" s="2392" t="s">
        <v>304</v>
      </c>
      <c r="B319" s="2392" t="s">
        <v>2931</v>
      </c>
      <c r="C319" s="3145"/>
      <c r="D319" s="3145"/>
      <c r="E319" s="3145"/>
      <c r="F319" s="3145">
        <v>1020</v>
      </c>
      <c r="G319" s="3149"/>
    </row>
    <row r="320" spans="1:7" s="2257" customFormat="1" ht="14.25" customHeight="1">
      <c r="A320" s="2392" t="s">
        <v>304</v>
      </c>
      <c r="B320" s="2392" t="s">
        <v>2934</v>
      </c>
      <c r="C320" s="3145"/>
      <c r="D320" s="3145"/>
      <c r="E320" s="3145"/>
      <c r="F320" s="3145">
        <v>1050</v>
      </c>
      <c r="G320" s="3149"/>
    </row>
    <row r="321" spans="1:7" s="2257" customFormat="1" ht="14.25" customHeight="1">
      <c r="A321" s="2392" t="s">
        <v>304</v>
      </c>
      <c r="B321" s="2392" t="s">
        <v>2936</v>
      </c>
      <c r="C321" s="3145"/>
      <c r="D321" s="3145"/>
      <c r="E321" s="3145"/>
      <c r="F321" s="3145">
        <v>960</v>
      </c>
      <c r="G321" s="3149"/>
    </row>
    <row r="322" spans="1:7" s="2257" customFormat="1" ht="14.25" customHeight="1">
      <c r="A322" s="2392" t="s">
        <v>304</v>
      </c>
      <c r="B322" s="2392" t="s">
        <v>2938</v>
      </c>
      <c r="C322" s="3145"/>
      <c r="D322" s="3145"/>
      <c r="E322" s="3145"/>
      <c r="F322" s="3145">
        <v>960</v>
      </c>
      <c r="G322" s="3149"/>
    </row>
    <row r="323" spans="1:7" s="2257" customFormat="1" ht="14.25" customHeight="1">
      <c r="A323" s="2392" t="s">
        <v>304</v>
      </c>
      <c r="B323" s="2392" t="s">
        <v>2940</v>
      </c>
      <c r="C323" s="3145"/>
      <c r="D323" s="3145"/>
      <c r="E323" s="3145"/>
      <c r="F323" s="3145">
        <v>880</v>
      </c>
      <c r="G323" s="3149"/>
    </row>
    <row r="324" spans="1:7" s="2257" customFormat="1" ht="14.25" customHeight="1">
      <c r="A324" s="2392" t="s">
        <v>304</v>
      </c>
      <c r="B324" s="2392" t="s">
        <v>2942</v>
      </c>
      <c r="C324" s="3145"/>
      <c r="D324" s="3145"/>
      <c r="E324" s="3145"/>
      <c r="F324" s="3145">
        <v>930</v>
      </c>
      <c r="G324" s="3149"/>
    </row>
    <row r="325" spans="1:7" s="2257" customFormat="1" ht="14.25" customHeight="1">
      <c r="A325" s="2392" t="s">
        <v>304</v>
      </c>
      <c r="B325" s="2393" t="s">
        <v>2944</v>
      </c>
      <c r="C325" s="3145"/>
      <c r="D325" s="3145"/>
      <c r="E325" s="3145"/>
      <c r="F325" s="3145">
        <v>900</v>
      </c>
      <c r="G325" s="3149"/>
    </row>
    <row r="326" spans="1:7" s="2257" customFormat="1" ht="14.25" customHeight="1" thickBot="1">
      <c r="A326" s="2404" t="s">
        <v>304</v>
      </c>
      <c r="B326" s="2399" t="s">
        <v>2946</v>
      </c>
      <c r="C326" s="3146"/>
      <c r="D326" s="3146"/>
      <c r="E326" s="3146"/>
      <c r="F326" s="3146">
        <v>790</v>
      </c>
      <c r="G326" s="3150"/>
    </row>
    <row r="327" spans="1:7" s="2257" customFormat="1" ht="14.25" customHeight="1">
      <c r="A327" s="2397" t="s">
        <v>305</v>
      </c>
      <c r="B327" s="2388" t="s">
        <v>3045</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3046</v>
      </c>
      <c r="C329" s="3145">
        <v>2730</v>
      </c>
      <c r="D329" s="3145">
        <v>2690</v>
      </c>
      <c r="E329" s="3145">
        <v>3100</v>
      </c>
      <c r="F329" s="3145">
        <v>660</v>
      </c>
      <c r="G329" s="3145">
        <v>1610</v>
      </c>
    </row>
    <row r="330" spans="1:7" s="2257" customFormat="1" ht="14.25" customHeight="1">
      <c r="A330" s="2392" t="s">
        <v>305</v>
      </c>
      <c r="B330" s="2392" t="s">
        <v>3047</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2780</v>
      </c>
      <c r="C332" s="3145">
        <v>3520</v>
      </c>
      <c r="D332" s="3145">
        <v>3480</v>
      </c>
      <c r="E332" s="3145">
        <v>3830</v>
      </c>
      <c r="F332" s="3145">
        <v>720</v>
      </c>
      <c r="G332" s="3145">
        <v>2090</v>
      </c>
    </row>
    <row r="333" spans="1:7" s="2257" customFormat="1" ht="14.25" customHeight="1">
      <c r="A333" s="2392" t="s">
        <v>305</v>
      </c>
      <c r="B333" s="2392" t="s">
        <v>3048</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2790</v>
      </c>
      <c r="C336" s="3145">
        <v>3570</v>
      </c>
      <c r="D336" s="3145">
        <v>3530</v>
      </c>
      <c r="E336" s="3145">
        <v>3880</v>
      </c>
      <c r="F336" s="3145">
        <v>770</v>
      </c>
      <c r="G336" s="3145">
        <v>2110</v>
      </c>
    </row>
    <row r="337" spans="1:10" s="2257" customFormat="1" ht="14.25" customHeight="1">
      <c r="A337" s="2392" t="s">
        <v>305</v>
      </c>
      <c r="B337" s="2392" t="s">
        <v>3049</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3050</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3051</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2815</v>
      </c>
      <c r="C345" s="3145">
        <v>3190</v>
      </c>
      <c r="D345" s="3145">
        <v>3140</v>
      </c>
      <c r="E345" s="3145">
        <v>3450</v>
      </c>
      <c r="F345" s="3145">
        <v>720</v>
      </c>
      <c r="G345" s="3145">
        <v>1880</v>
      </c>
      <c r="J345" s="2257"/>
    </row>
    <row r="346" spans="1:10">
      <c r="A346" s="2392" t="s">
        <v>305</v>
      </c>
      <c r="B346" s="2392" t="s">
        <v>3052</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2824</v>
      </c>
      <c r="C348" s="3145">
        <v>4000</v>
      </c>
      <c r="D348" s="3145">
        <v>3950</v>
      </c>
      <c r="E348" s="3145">
        <v>4430</v>
      </c>
      <c r="F348" s="3145">
        <v>760</v>
      </c>
      <c r="G348" s="3145">
        <v>2360</v>
      </c>
      <c r="J348" s="2257"/>
    </row>
    <row r="349" spans="1:10">
      <c r="A349" s="2392" t="s">
        <v>305</v>
      </c>
      <c r="B349" s="2392" t="s">
        <v>2829</v>
      </c>
      <c r="C349" s="3145">
        <v>3820</v>
      </c>
      <c r="D349" s="3145">
        <v>3780</v>
      </c>
      <c r="E349" s="3145">
        <v>4170</v>
      </c>
      <c r="F349" s="3145">
        <v>710</v>
      </c>
      <c r="G349" s="3145">
        <v>2260</v>
      </c>
      <c r="J349" s="2257"/>
    </row>
    <row r="350" spans="1:10">
      <c r="A350" s="2392" t="s">
        <v>305</v>
      </c>
      <c r="B350" s="2392" t="s">
        <v>3053</v>
      </c>
      <c r="C350" s="3145">
        <v>3760</v>
      </c>
      <c r="D350" s="3145">
        <v>3730</v>
      </c>
      <c r="E350" s="3145">
        <v>4100</v>
      </c>
      <c r="F350" s="3145">
        <v>800</v>
      </c>
      <c r="G350" s="3145">
        <v>2230</v>
      </c>
      <c r="J350" s="2257"/>
    </row>
    <row r="351" spans="1:10">
      <c r="A351" s="2392" t="s">
        <v>305</v>
      </c>
      <c r="B351" s="2392" t="s">
        <v>2837</v>
      </c>
      <c r="C351" s="3145">
        <v>3610</v>
      </c>
      <c r="D351" s="3145">
        <v>3580</v>
      </c>
      <c r="E351" s="3145">
        <v>3930</v>
      </c>
      <c r="F351" s="3145">
        <v>700</v>
      </c>
      <c r="G351" s="3145">
        <v>2140</v>
      </c>
      <c r="J351" s="2257"/>
    </row>
    <row r="352" spans="1:10">
      <c r="A352" s="2392" t="s">
        <v>305</v>
      </c>
      <c r="B352" s="2392" t="s">
        <v>2842</v>
      </c>
      <c r="C352" s="3145">
        <v>3670</v>
      </c>
      <c r="D352" s="3145">
        <v>3630</v>
      </c>
      <c r="E352" s="3145">
        <v>4000</v>
      </c>
      <c r="F352" s="3145">
        <v>750</v>
      </c>
      <c r="G352" s="3145">
        <v>2180</v>
      </c>
    </row>
    <row r="353" spans="1:7" s="2258" customFormat="1">
      <c r="A353" s="2392" t="s">
        <v>305</v>
      </c>
      <c r="B353" s="2392" t="s">
        <v>3054</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2862</v>
      </c>
      <c r="C355" s="3145">
        <v>3650</v>
      </c>
      <c r="D355" s="3145">
        <v>3610</v>
      </c>
      <c r="E355" s="3145">
        <v>4200</v>
      </c>
      <c r="F355" s="3145">
        <v>640</v>
      </c>
      <c r="G355" s="3145">
        <v>2160</v>
      </c>
    </row>
    <row r="356" spans="1:7" s="2258" customFormat="1">
      <c r="A356" s="2392" t="s">
        <v>305</v>
      </c>
      <c r="B356" s="2392" t="s">
        <v>2869</v>
      </c>
      <c r="C356" s="3145">
        <v>3260</v>
      </c>
      <c r="D356" s="3145">
        <v>3230</v>
      </c>
      <c r="E356" s="3145">
        <v>3740</v>
      </c>
      <c r="F356" s="3145">
        <v>600</v>
      </c>
      <c r="G356" s="3145">
        <v>1930</v>
      </c>
    </row>
    <row r="357" spans="1:7" s="2258" customFormat="1" ht="12" thickBot="1">
      <c r="A357" s="2400" t="s">
        <v>305</v>
      </c>
      <c r="B357" s="2403" t="s">
        <v>3055</v>
      </c>
      <c r="C357" s="3147">
        <v>3690</v>
      </c>
      <c r="D357" s="3147">
        <v>3650</v>
      </c>
      <c r="E357" s="3147">
        <v>4020</v>
      </c>
      <c r="F357" s="3147">
        <v>700</v>
      </c>
      <c r="G357" s="3147">
        <v>2190</v>
      </c>
    </row>
    <row r="358" spans="1:7" s="2258" customFormat="1">
      <c r="A358" s="2397" t="s">
        <v>3056</v>
      </c>
      <c r="B358" s="2388" t="s">
        <v>3057</v>
      </c>
      <c r="C358" s="3144">
        <v>2080</v>
      </c>
      <c r="D358" s="3144">
        <v>2040</v>
      </c>
      <c r="E358" s="3144">
        <v>2010</v>
      </c>
      <c r="F358" s="3144">
        <v>530</v>
      </c>
      <c r="G358" s="3148">
        <v>1230</v>
      </c>
    </row>
    <row r="359" spans="1:7" s="2258" customFormat="1">
      <c r="A359" s="2392" t="s">
        <v>3056</v>
      </c>
      <c r="B359" s="2392" t="s">
        <v>3058</v>
      </c>
      <c r="C359" s="3145">
        <v>1850</v>
      </c>
      <c r="D359" s="3145">
        <v>1820</v>
      </c>
      <c r="E359" s="3145">
        <v>1780</v>
      </c>
      <c r="F359" s="3145">
        <v>520</v>
      </c>
      <c r="G359" s="3149">
        <v>1100</v>
      </c>
    </row>
    <row r="360" spans="1:7" s="2258" customFormat="1">
      <c r="A360" s="2392" t="s">
        <v>3056</v>
      </c>
      <c r="B360" s="2392" t="s">
        <v>3059</v>
      </c>
      <c r="C360" s="3145">
        <v>2020</v>
      </c>
      <c r="D360" s="3145">
        <v>1990</v>
      </c>
      <c r="E360" s="3145">
        <v>1950</v>
      </c>
      <c r="F360" s="3145">
        <v>500</v>
      </c>
      <c r="G360" s="3149">
        <v>1200</v>
      </c>
    </row>
    <row r="361" spans="1:7" s="2258" customFormat="1">
      <c r="A361" s="2392" t="s">
        <v>3056</v>
      </c>
      <c r="B361" s="2392" t="s">
        <v>151</v>
      </c>
      <c r="C361" s="3145">
        <v>2260</v>
      </c>
      <c r="D361" s="3145">
        <v>2220</v>
      </c>
      <c r="E361" s="3145">
        <v>2180</v>
      </c>
      <c r="F361" s="3145">
        <v>580</v>
      </c>
      <c r="G361" s="3149">
        <v>1340</v>
      </c>
    </row>
    <row r="362" spans="1:7" s="2258" customFormat="1">
      <c r="A362" s="2392" t="s">
        <v>3056</v>
      </c>
      <c r="B362" s="2392" t="s">
        <v>3060</v>
      </c>
      <c r="C362" s="3145">
        <v>2650</v>
      </c>
      <c r="D362" s="3145">
        <v>2610</v>
      </c>
      <c r="E362" s="3145">
        <v>2570</v>
      </c>
      <c r="F362" s="3145">
        <v>630</v>
      </c>
      <c r="G362" s="3149">
        <v>1570</v>
      </c>
    </row>
    <row r="363" spans="1:7" s="2258" customFormat="1">
      <c r="A363" s="2392" t="s">
        <v>3056</v>
      </c>
      <c r="B363" s="2392" t="s">
        <v>2781</v>
      </c>
      <c r="C363" s="3145">
        <v>2390</v>
      </c>
      <c r="D363" s="3145">
        <v>2360</v>
      </c>
      <c r="E363" s="3145">
        <v>2320</v>
      </c>
      <c r="F363" s="3145">
        <v>600</v>
      </c>
      <c r="G363" s="3149">
        <v>1420</v>
      </c>
    </row>
    <row r="364" spans="1:7" s="2258" customFormat="1">
      <c r="A364" s="2392" t="s">
        <v>3056</v>
      </c>
      <c r="B364" s="2392" t="s">
        <v>3061</v>
      </c>
      <c r="C364" s="3145">
        <v>2050</v>
      </c>
      <c r="D364" s="3145">
        <v>2030</v>
      </c>
      <c r="E364" s="3145">
        <v>1990</v>
      </c>
      <c r="F364" s="3145">
        <v>550</v>
      </c>
      <c r="G364" s="3149">
        <v>1220</v>
      </c>
    </row>
    <row r="365" spans="1:7" s="2258" customFormat="1">
      <c r="A365" s="2392" t="s">
        <v>3056</v>
      </c>
      <c r="B365" s="2392" t="s">
        <v>198</v>
      </c>
      <c r="C365" s="3145">
        <v>2140</v>
      </c>
      <c r="D365" s="3145">
        <v>2100</v>
      </c>
      <c r="E365" s="3145">
        <v>2060</v>
      </c>
      <c r="F365" s="3145">
        <v>540</v>
      </c>
      <c r="G365" s="3149">
        <v>1270</v>
      </c>
    </row>
    <row r="366" spans="1:7" s="2258" customFormat="1">
      <c r="A366" s="2392" t="s">
        <v>3056</v>
      </c>
      <c r="B366" s="2392" t="s">
        <v>2788</v>
      </c>
      <c r="C366" s="3145">
        <v>2410</v>
      </c>
      <c r="D366" s="3145">
        <v>2370</v>
      </c>
      <c r="E366" s="3145">
        <v>2330</v>
      </c>
      <c r="F366" s="3145">
        <v>570</v>
      </c>
      <c r="G366" s="3149">
        <v>1440</v>
      </c>
    </row>
    <row r="367" spans="1:7" s="2258" customFormat="1">
      <c r="A367" s="2392" t="s">
        <v>3056</v>
      </c>
      <c r="B367" s="2392" t="s">
        <v>3062</v>
      </c>
      <c r="C367" s="3145">
        <v>2300</v>
      </c>
      <c r="D367" s="3145">
        <v>2260</v>
      </c>
      <c r="E367" s="3145">
        <v>2220</v>
      </c>
      <c r="F367" s="3145">
        <v>560</v>
      </c>
      <c r="G367" s="3149">
        <v>1370</v>
      </c>
    </row>
    <row r="368" spans="1:7" s="2258" customFormat="1">
      <c r="A368" s="2392" t="s">
        <v>3056</v>
      </c>
      <c r="B368" s="2392" t="s">
        <v>3063</v>
      </c>
      <c r="C368" s="3145">
        <v>2430</v>
      </c>
      <c r="D368" s="3145">
        <v>2390</v>
      </c>
      <c r="E368" s="3145">
        <v>2350</v>
      </c>
      <c r="F368" s="3145">
        <v>570</v>
      </c>
      <c r="G368" s="3149">
        <v>1450</v>
      </c>
    </row>
    <row r="369" spans="1:7" s="2258" customFormat="1">
      <c r="A369" s="2392" t="s">
        <v>3056</v>
      </c>
      <c r="B369" s="2392" t="s">
        <v>212</v>
      </c>
      <c r="C369" s="3145">
        <v>2320</v>
      </c>
      <c r="D369" s="3145">
        <v>2290</v>
      </c>
      <c r="E369" s="3145">
        <v>2250</v>
      </c>
      <c r="F369" s="3145">
        <v>550</v>
      </c>
      <c r="G369" s="3149">
        <v>1380</v>
      </c>
    </row>
    <row r="370" spans="1:7" s="2258" customFormat="1">
      <c r="A370" s="2392" t="s">
        <v>3056</v>
      </c>
      <c r="B370" s="2392" t="s">
        <v>219</v>
      </c>
      <c r="C370" s="3145">
        <v>2190</v>
      </c>
      <c r="D370" s="3145">
        <v>2170</v>
      </c>
      <c r="E370" s="3145">
        <v>2130</v>
      </c>
      <c r="F370" s="3145">
        <v>530</v>
      </c>
      <c r="G370" s="3149">
        <v>1310</v>
      </c>
    </row>
    <row r="371" spans="1:7" s="2258" customFormat="1">
      <c r="A371" s="2392" t="s">
        <v>3056</v>
      </c>
      <c r="B371" s="2392" t="s">
        <v>227</v>
      </c>
      <c r="C371" s="3145">
        <v>2460</v>
      </c>
      <c r="D371" s="3145">
        <v>2420</v>
      </c>
      <c r="E371" s="3145">
        <v>2370</v>
      </c>
      <c r="F371" s="3145">
        <v>560</v>
      </c>
      <c r="G371" s="3149">
        <v>1470</v>
      </c>
    </row>
    <row r="372" spans="1:7" s="2258" customFormat="1">
      <c r="A372" s="2392" t="s">
        <v>3056</v>
      </c>
      <c r="B372" s="2392" t="s">
        <v>3064</v>
      </c>
      <c r="C372" s="3145">
        <v>2250</v>
      </c>
      <c r="D372" s="3145">
        <v>2210</v>
      </c>
      <c r="E372" s="3145">
        <v>2180</v>
      </c>
      <c r="F372" s="3145">
        <v>550</v>
      </c>
      <c r="G372" s="3149">
        <v>1340</v>
      </c>
    </row>
    <row r="373" spans="1:7" s="2258" customFormat="1">
      <c r="A373" s="2392" t="s">
        <v>3056</v>
      </c>
      <c r="B373" s="2392" t="s">
        <v>256</v>
      </c>
      <c r="C373" s="3145">
        <v>2210</v>
      </c>
      <c r="D373" s="3145">
        <v>2190</v>
      </c>
      <c r="E373" s="3145">
        <v>2150</v>
      </c>
      <c r="F373" s="3145">
        <v>530</v>
      </c>
      <c r="G373" s="3149">
        <v>1320</v>
      </c>
    </row>
    <row r="374" spans="1:7" s="2258" customFormat="1">
      <c r="A374" s="2392" t="s">
        <v>3056</v>
      </c>
      <c r="B374" s="2392" t="s">
        <v>264</v>
      </c>
      <c r="C374" s="3145">
        <v>2320</v>
      </c>
      <c r="D374" s="3145">
        <v>2280</v>
      </c>
      <c r="E374" s="3145">
        <v>2230</v>
      </c>
      <c r="F374" s="3145">
        <v>580</v>
      </c>
      <c r="G374" s="3149">
        <v>1380</v>
      </c>
    </row>
    <row r="375" spans="1:7" s="2258" customFormat="1">
      <c r="A375" s="2392" t="s">
        <v>3056</v>
      </c>
      <c r="B375" s="2392" t="s">
        <v>3065</v>
      </c>
      <c r="C375" s="3145">
        <v>2090</v>
      </c>
      <c r="D375" s="3145">
        <v>2050</v>
      </c>
      <c r="E375" s="3145">
        <v>2020</v>
      </c>
      <c r="F375" s="3145">
        <v>520</v>
      </c>
      <c r="G375" s="3149">
        <v>1240</v>
      </c>
    </row>
    <row r="376" spans="1:7" s="2258" customFormat="1">
      <c r="A376" s="2392" t="s">
        <v>3056</v>
      </c>
      <c r="B376" s="2392" t="s">
        <v>275</v>
      </c>
      <c r="C376" s="3145">
        <v>2010</v>
      </c>
      <c r="D376" s="3145">
        <v>1980</v>
      </c>
      <c r="E376" s="3145">
        <v>1940</v>
      </c>
      <c r="F376" s="3145">
        <v>540</v>
      </c>
      <c r="G376" s="3149">
        <v>1190</v>
      </c>
    </row>
    <row r="377" spans="1:7" s="2258" customFormat="1" ht="12" thickBot="1">
      <c r="A377" s="2400" t="s">
        <v>3056</v>
      </c>
      <c r="B377" s="2403" t="s">
        <v>2818</v>
      </c>
      <c r="C377" s="3147">
        <v>1930</v>
      </c>
      <c r="D377" s="3147">
        <v>1890</v>
      </c>
      <c r="E377" s="3147">
        <v>1860</v>
      </c>
      <c r="F377" s="3147">
        <v>530</v>
      </c>
      <c r="G377" s="3151">
        <v>1150</v>
      </c>
    </row>
    <row r="378" spans="1:7" s="2258" customFormat="1">
      <c r="A378" s="2405" t="s">
        <v>3066</v>
      </c>
      <c r="B378" s="2388" t="s">
        <v>3067</v>
      </c>
      <c r="C378" s="3144">
        <v>1520</v>
      </c>
      <c r="D378" s="3144">
        <v>1490</v>
      </c>
      <c r="E378" s="3144">
        <v>1460</v>
      </c>
      <c r="F378" s="3144">
        <v>460</v>
      </c>
      <c r="G378" s="3148">
        <v>940</v>
      </c>
    </row>
    <row r="379" spans="1:7" s="2258" customFormat="1">
      <c r="A379" s="2406" t="s">
        <v>3066</v>
      </c>
      <c r="B379" s="2392" t="s">
        <v>3068</v>
      </c>
      <c r="C379" s="3145">
        <v>1500</v>
      </c>
      <c r="D379" s="3145">
        <v>1470</v>
      </c>
      <c r="E379" s="3145">
        <v>1430</v>
      </c>
      <c r="F379" s="3145">
        <v>460</v>
      </c>
      <c r="G379" s="3149">
        <v>920</v>
      </c>
    </row>
    <row r="380" spans="1:7" s="2258" customFormat="1">
      <c r="A380" s="2406" t="s">
        <v>3066</v>
      </c>
      <c r="B380" s="2392" t="s">
        <v>3069</v>
      </c>
      <c r="C380" s="3145">
        <v>1620</v>
      </c>
      <c r="D380" s="3145">
        <v>1590</v>
      </c>
      <c r="E380" s="3145">
        <v>1560</v>
      </c>
      <c r="F380" s="3145">
        <v>480</v>
      </c>
      <c r="G380" s="3149">
        <v>1000</v>
      </c>
    </row>
    <row r="381" spans="1:7" s="2258" customFormat="1">
      <c r="A381" s="2406" t="s">
        <v>3066</v>
      </c>
      <c r="B381" s="2392" t="s">
        <v>3070</v>
      </c>
      <c r="C381" s="3145">
        <v>1460</v>
      </c>
      <c r="D381" s="3145">
        <v>1430</v>
      </c>
      <c r="E381" s="3145">
        <v>1390</v>
      </c>
      <c r="F381" s="3145">
        <v>450</v>
      </c>
      <c r="G381" s="3149">
        <v>900</v>
      </c>
    </row>
    <row r="382" spans="1:7" s="2258" customFormat="1">
      <c r="A382" s="2406" t="s">
        <v>3066</v>
      </c>
      <c r="B382" s="2392" t="s">
        <v>3071</v>
      </c>
      <c r="C382" s="3145">
        <v>1310</v>
      </c>
      <c r="D382" s="3145">
        <v>1280</v>
      </c>
      <c r="E382" s="3145">
        <v>1250</v>
      </c>
      <c r="F382" s="3145">
        <v>440</v>
      </c>
      <c r="G382" s="3149">
        <v>800</v>
      </c>
    </row>
    <row r="383" spans="1:7" s="2258" customFormat="1">
      <c r="A383" s="2406" t="s">
        <v>3066</v>
      </c>
      <c r="B383" s="2392" t="s">
        <v>3072</v>
      </c>
      <c r="C383" s="3145">
        <v>1260</v>
      </c>
      <c r="D383" s="3145">
        <v>1230</v>
      </c>
      <c r="E383" s="3145">
        <v>1200</v>
      </c>
      <c r="F383" s="3145">
        <v>420</v>
      </c>
      <c r="G383" s="3149">
        <v>770</v>
      </c>
    </row>
    <row r="384" spans="1:7" s="2258" customFormat="1" ht="12" thickBot="1">
      <c r="A384" s="2407" t="s">
        <v>3066</v>
      </c>
      <c r="B384" s="2399" t="s">
        <v>3073</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46043</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2207</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82" t="s">
        <v>935</v>
      </c>
      <c r="B1" s="4182"/>
      <c r="C1" s="4182"/>
      <c r="D1" s="4182"/>
    </row>
    <row r="2" spans="1:4" ht="18">
      <c r="A2" s="4183" t="s">
        <v>919</v>
      </c>
      <c r="B2" s="4183"/>
      <c r="C2" s="4183"/>
      <c r="D2" s="4183"/>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83" t="s">
        <v>925</v>
      </c>
      <c r="B6" s="4183"/>
      <c r="C6" s="4183"/>
      <c r="D6" s="4183"/>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84" t="s">
        <v>928</v>
      </c>
      <c r="B11" s="4185"/>
      <c r="C11" s="4185"/>
      <c r="D11" s="4185"/>
    </row>
    <row r="12" spans="1:4" ht="15.75">
      <c r="A12" s="4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6"/>
      <c r="C12" s="4186"/>
      <c r="D12" s="4186"/>
    </row>
    <row r="13" spans="1:4" ht="30" customHeight="1">
      <c r="A13" s="4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6"/>
      <c r="C13" s="4186"/>
      <c r="D13" s="4186"/>
    </row>
    <row r="14" spans="1:4" ht="15.75" customHeight="1">
      <c r="A14" s="4185" t="str">
        <f>IF(项目基本情况!B8="抵押","4.本次评估估价师所知悉的法定优先受偿款情况说明如下：","——")</f>
        <v>4.本次评估估价师所知悉的法定优先受偿款情况说明如下：</v>
      </c>
      <c r="B14" s="4186"/>
      <c r="C14" s="4186"/>
      <c r="D14" s="4186"/>
    </row>
    <row r="15" spans="1:4" ht="42" customHeight="1">
      <c r="A15" s="4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5"/>
      <c r="C15" s="4185"/>
      <c r="D15" s="4185"/>
    </row>
    <row r="16" spans="1:4" ht="30" customHeight="1">
      <c r="A16" s="4188" t="s">
        <v>929</v>
      </c>
      <c r="B16" s="4188"/>
      <c r="C16" s="4188"/>
      <c r="D16" s="4188"/>
    </row>
    <row r="17" spans="1:4" ht="144" customHeight="1">
      <c r="A17" s="4188" t="s">
        <v>930</v>
      </c>
      <c r="B17" s="4188"/>
      <c r="C17" s="4188"/>
      <c r="D17" s="4188"/>
    </row>
    <row r="18" spans="1:4" ht="15.75" customHeight="1">
      <c r="A18" s="4185" t="str">
        <f>IF(项目基本情况!B8="抵押",结果表!K120,"——")</f>
        <v>故，本次评估不存在估价师知悉的法定优先受偿款</v>
      </c>
      <c r="B18" s="4185"/>
      <c r="C18" s="4185"/>
      <c r="D18" s="4185"/>
    </row>
    <row r="19" spans="1:4" ht="46.5" customHeight="1">
      <c r="A19" s="4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5"/>
      <c r="C19" s="4185"/>
      <c r="D19" s="4185"/>
    </row>
    <row r="20" spans="1:4" ht="57.75" customHeight="1">
      <c r="A20" s="4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5"/>
      <c r="C20" s="4185"/>
      <c r="D20" s="4185"/>
    </row>
    <row r="21" spans="1:4" ht="57.75" customHeight="1">
      <c r="A21" s="4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9"/>
      <c r="C21" s="4189"/>
      <c r="D21" s="4189"/>
    </row>
    <row r="22" spans="1:4" ht="18.75" customHeight="1">
      <c r="A22" s="4190" t="s">
        <v>931</v>
      </c>
      <c r="B22" s="4190"/>
      <c r="C22" s="4190"/>
      <c r="D22" s="4190"/>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7">
        <v>42551</v>
      </c>
      <c r="D31" s="418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6" t="s">
        <v>942</v>
      </c>
      <c r="B15" s="4191" t="s">
        <v>107</v>
      </c>
      <c r="C15" s="4192"/>
    </row>
    <row r="16" spans="1:7" ht="13.5">
      <c r="A16" s="4197"/>
      <c r="B16" s="4191" t="s">
        <v>40</v>
      </c>
      <c r="C16" s="4192"/>
    </row>
    <row r="17" spans="1:3" ht="13.5">
      <c r="A17" s="4197"/>
      <c r="B17" s="4194" t="s">
        <v>943</v>
      </c>
      <c r="C17" s="1110" t="s">
        <v>942</v>
      </c>
    </row>
    <row r="18" spans="1:3" ht="13.5">
      <c r="A18" s="4197"/>
      <c r="B18" s="4194"/>
      <c r="C18" s="1110" t="s">
        <v>944</v>
      </c>
    </row>
    <row r="19" spans="1:3" ht="13.5">
      <c r="A19" s="4197"/>
      <c r="B19" s="4194"/>
      <c r="C19" s="1110" t="s">
        <v>945</v>
      </c>
    </row>
    <row r="20" spans="1:3" ht="13.5">
      <c r="A20" s="4198"/>
      <c r="B20" s="4193" t="s">
        <v>946</v>
      </c>
      <c r="C20" s="4192"/>
    </row>
    <row r="21" spans="1:3" ht="13.5">
      <c r="A21" s="1111" t="s">
        <v>947</v>
      </c>
      <c r="B21" s="1112"/>
      <c r="C21" s="1113"/>
    </row>
    <row r="22" spans="1:3" ht="13.5">
      <c r="A22" s="4195" t="s">
        <v>948</v>
      </c>
      <c r="B22" s="4193" t="s">
        <v>949</v>
      </c>
      <c r="C22" s="4192"/>
    </row>
    <row r="23" spans="1:3" ht="13.5">
      <c r="A23" s="4195"/>
      <c r="B23" s="4193" t="s">
        <v>950</v>
      </c>
      <c r="C23" s="4192"/>
    </row>
    <row r="24" spans="1:3" ht="13.5">
      <c r="A24" s="4195"/>
      <c r="B24" s="4193" t="s">
        <v>951</v>
      </c>
      <c r="C24" s="4192"/>
    </row>
    <row r="25" spans="1:3" ht="13.5">
      <c r="A25" s="4195"/>
      <c r="B25" s="4194" t="s">
        <v>952</v>
      </c>
      <c r="C25" s="1110" t="s">
        <v>953</v>
      </c>
    </row>
    <row r="26" spans="1:3" ht="13.5">
      <c r="A26" s="4195"/>
      <c r="B26" s="4194"/>
      <c r="C26" s="1110" t="s">
        <v>954</v>
      </c>
    </row>
    <row r="27" spans="1:3" ht="13.5">
      <c r="A27" s="4195"/>
      <c r="B27" s="4194"/>
      <c r="C27" s="1110" t="s">
        <v>955</v>
      </c>
    </row>
    <row r="28" spans="1:3" ht="13.5">
      <c r="A28" s="4195"/>
      <c r="B28" s="4194"/>
      <c r="C28" s="1110" t="s">
        <v>956</v>
      </c>
    </row>
    <row r="29" spans="1:3" ht="13.5">
      <c r="A29" s="4195"/>
      <c r="B29" s="4194"/>
      <c r="C29" s="1110" t="s">
        <v>957</v>
      </c>
    </row>
    <row r="30" spans="1:3" ht="13.5">
      <c r="A30" s="4195"/>
      <c r="B30" s="4194"/>
      <c r="C30" s="1110" t="s">
        <v>958</v>
      </c>
    </row>
    <row r="31" spans="1:3" ht="13.5">
      <c r="A31" s="4195"/>
      <c r="B31" s="4194"/>
      <c r="C31" s="1110" t="s">
        <v>959</v>
      </c>
    </row>
    <row r="32" spans="1:3" ht="13.5">
      <c r="A32" s="4195"/>
      <c r="B32" s="4194"/>
      <c r="C32" s="1110" t="s">
        <v>960</v>
      </c>
    </row>
    <row r="33" spans="1:3" ht="13.5">
      <c r="A33" s="4195"/>
      <c r="B33" s="4194"/>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46050</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92" t="str">
        <f ca="1">IF(C4&lt;B2,"已过期",1119970066)</f>
        <v>已过期</v>
      </c>
      <c r="C4" s="912">
        <v>45937</v>
      </c>
      <c r="D4" s="1753" t="str">
        <f ca="1">A4&amp;"（注册号："&amp;B4&amp;"）"</f>
        <v>梁津（注册号：已过期）</v>
      </c>
      <c r="E4" s="1754" t="s">
        <v>2058</v>
      </c>
      <c r="F4" s="3692">
        <f ca="1">IF(G4&lt;B2,"已过期",96010014)</f>
        <v>96010014</v>
      </c>
      <c r="G4" s="1755">
        <v>47118</v>
      </c>
      <c r="H4" s="1756" t="str">
        <f ca="1">E4&amp;"（注册号："&amp;F4&amp;"）"</f>
        <v>梁津（注册号：96010014）</v>
      </c>
    </row>
    <row r="5" spans="1:8" ht="24" customHeight="1">
      <c r="A5" s="912" t="s">
        <v>2059</v>
      </c>
      <c r="B5" s="3692" t="str">
        <f ca="1">IF(C5&lt;B2,"已过期",1119970111)</f>
        <v>已过期</v>
      </c>
      <c r="C5" s="912">
        <v>45937</v>
      </c>
      <c r="D5" s="1753" t="str">
        <f t="shared" ref="D5:D15" ca="1" si="0">A5&amp;"（注册号："&amp;B5&amp;"）"</f>
        <v>叶凌（注册号：已过期）</v>
      </c>
      <c r="E5" s="1754" t="s">
        <v>2059</v>
      </c>
      <c r="F5" s="3692">
        <f ca="1">IF(G5&lt;B2,"已过期",94010078)</f>
        <v>94010078</v>
      </c>
      <c r="G5" s="1755">
        <v>46387</v>
      </c>
      <c r="H5" s="1756" t="str">
        <f t="shared" ref="H5:H16" ca="1" si="1">E5&amp;"（注册号："&amp;F5&amp;"）"</f>
        <v>叶凌（注册号：94010078）</v>
      </c>
    </row>
    <row r="6" spans="1:8" ht="24" customHeight="1">
      <c r="A6" s="912" t="s">
        <v>2060</v>
      </c>
      <c r="B6" s="3692" t="str">
        <f ca="1">IF(C6&lt;B2,"已过期",1120050019)</f>
        <v>已过期</v>
      </c>
      <c r="C6" s="912">
        <v>45410</v>
      </c>
      <c r="D6" s="1753" t="str">
        <f t="shared" ca="1" si="0"/>
        <v>王鹏（注册号：已过期）</v>
      </c>
      <c r="E6" s="1754" t="s">
        <v>2060</v>
      </c>
      <c r="F6" s="3692">
        <f ca="1">IF(G6&lt;B2,"已过期",2002110030)</f>
        <v>2002110030</v>
      </c>
      <c r="G6" s="1755">
        <v>46387</v>
      </c>
      <c r="H6" s="1756" t="str">
        <f t="shared" ca="1" si="1"/>
        <v>王鹏（注册号：2002110030）</v>
      </c>
    </row>
    <row r="7" spans="1:8" ht="24" customHeight="1">
      <c r="A7" s="912" t="s">
        <v>2061</v>
      </c>
      <c r="B7" s="3692" t="str">
        <f ca="1">IF(C7&lt;B2,"已过期",1120000080)</f>
        <v>已过期</v>
      </c>
      <c r="C7" s="912">
        <v>45937</v>
      </c>
      <c r="D7" s="1753" t="str">
        <f t="shared" ca="1" si="0"/>
        <v>欧红伟（注册号：已过期）</v>
      </c>
      <c r="E7" s="1754" t="s">
        <v>2061</v>
      </c>
      <c r="F7" s="3692">
        <f ca="1">IF(G7&lt;B2,"已过期",2000110082)</f>
        <v>2000110082</v>
      </c>
      <c r="G7" s="1755">
        <v>46387</v>
      </c>
      <c r="H7" s="1756" t="str">
        <f t="shared" ca="1" si="1"/>
        <v>欧红伟（注册号：2000110082）</v>
      </c>
    </row>
    <row r="8" spans="1:8" ht="24" customHeight="1">
      <c r="A8" s="912" t="s">
        <v>2062</v>
      </c>
      <c r="B8" s="3692" t="str">
        <f ca="1">IF(C8&lt;B2,"已过期",1419970001)</f>
        <v>已过期</v>
      </c>
      <c r="C8" s="912">
        <v>45937</v>
      </c>
      <c r="D8" s="1753" t="str">
        <f t="shared" ca="1" si="0"/>
        <v>吴薇（注册号：已过期）</v>
      </c>
      <c r="E8" s="1754" t="s">
        <v>2062</v>
      </c>
      <c r="F8" s="3692">
        <f ca="1">IF(G8&lt;B2,"已过期",2002110125)</f>
        <v>2002110125</v>
      </c>
      <c r="G8" s="1755">
        <v>47118</v>
      </c>
      <c r="H8" s="1756" t="str">
        <f t="shared" ca="1" si="1"/>
        <v>吴薇（注册号：2002110125）</v>
      </c>
    </row>
    <row r="9" spans="1:8" ht="24" customHeight="1">
      <c r="A9" s="912" t="s">
        <v>2063</v>
      </c>
      <c r="B9" s="3692" t="str">
        <f ca="1">IF(C9&lt;B2,"已过期",1120060040)</f>
        <v>已过期</v>
      </c>
      <c r="C9" s="1751">
        <v>45592</v>
      </c>
      <c r="D9" s="1753" t="str">
        <f t="shared" ca="1" si="0"/>
        <v>陈颖（注册号：已过期）</v>
      </c>
      <c r="E9" s="1754" t="s">
        <v>2063</v>
      </c>
      <c r="F9" s="3692">
        <f ca="1">IF(G9&lt;B2,"已过期",2004110096)</f>
        <v>2004110096</v>
      </c>
      <c r="G9" s="1755">
        <v>47118</v>
      </c>
      <c r="H9" s="1756" t="str">
        <f t="shared" ca="1" si="1"/>
        <v>陈颖（注册号：2004110096）</v>
      </c>
    </row>
    <row r="10" spans="1:8" ht="24" customHeight="1">
      <c r="A10" s="912" t="s">
        <v>2064</v>
      </c>
      <c r="B10" s="3692" t="str">
        <f ca="1">IF(C10&lt;B2,"已过期",1120100036)</f>
        <v>已过期</v>
      </c>
      <c r="C10" s="1751">
        <v>45752</v>
      </c>
      <c r="D10" s="1753" t="str">
        <f t="shared" ca="1" si="0"/>
        <v>崔锴（注册号：已过期）</v>
      </c>
      <c r="E10" s="1754" t="s">
        <v>2064</v>
      </c>
      <c r="F10" s="3692">
        <f ca="1">IF(G10&lt;B2,"已过期",2010110070)</f>
        <v>2010110070</v>
      </c>
      <c r="G10" s="1755">
        <v>47907</v>
      </c>
      <c r="H10" s="1756" t="str">
        <f t="shared" ca="1" si="1"/>
        <v>崔锴（注册号：2010110070）</v>
      </c>
    </row>
    <row r="11" spans="1:8" ht="24" customHeight="1">
      <c r="A11" s="912" t="s">
        <v>2065</v>
      </c>
      <c r="B11" s="3692" t="str">
        <f ca="1">IF(C11&lt;B2,"已过期",1120070131)</f>
        <v>已过期</v>
      </c>
      <c r="C11" s="912">
        <v>45937</v>
      </c>
      <c r="D11" s="1753" t="str">
        <f t="shared" ca="1" si="0"/>
        <v>郑燚（注册号：已过期）</v>
      </c>
      <c r="E11" s="1754" t="s">
        <v>2065</v>
      </c>
      <c r="F11" s="3692">
        <f ca="1">IF(G11&lt;B2,"已过期",2014110011)</f>
        <v>2014110011</v>
      </c>
      <c r="G11" s="1755">
        <v>49302</v>
      </c>
      <c r="H11" s="1756" t="str">
        <f t="shared" ca="1" si="1"/>
        <v>郑燚（注册号：2014110011）</v>
      </c>
    </row>
    <row r="12" spans="1:8" ht="24" customHeight="1">
      <c r="A12" s="912" t="s">
        <v>2066</v>
      </c>
      <c r="B12" s="3692" t="str">
        <f ca="1">IF(C12&lt;B2,"已过期",1120040230)</f>
        <v>已过期</v>
      </c>
      <c r="C12" s="1751">
        <v>45937</v>
      </c>
      <c r="D12" s="1753" t="str">
        <f t="shared" ca="1" si="0"/>
        <v>苏海（注册号：已过期）</v>
      </c>
      <c r="E12" s="1754" t="s">
        <v>2066</v>
      </c>
      <c r="F12" s="3692">
        <f ca="1">IF(G12&lt;B2,"已过期",98030020)</f>
        <v>98030020</v>
      </c>
      <c r="G12" s="1755">
        <v>47118</v>
      </c>
      <c r="H12" s="1756" t="str">
        <f t="shared" ca="1" si="1"/>
        <v>苏海（注册号：98030020）</v>
      </c>
    </row>
    <row r="13" spans="1:8" ht="24" customHeight="1">
      <c r="A13" s="912" t="s">
        <v>2067</v>
      </c>
      <c r="B13" s="3692" t="str">
        <f ca="1">IF(C13&lt;B2,"已过期",1120020033)</f>
        <v>已过期</v>
      </c>
      <c r="C13" s="912">
        <v>45375</v>
      </c>
      <c r="D13" s="1753" t="str">
        <f t="shared" ca="1" si="0"/>
        <v>刘敬东（注册号：已过期）</v>
      </c>
      <c r="E13" s="1754" t="s">
        <v>2067</v>
      </c>
      <c r="F13" s="3692">
        <f ca="1">IF(G13&lt;B2,"已过期",2000110137)</f>
        <v>2000110137</v>
      </c>
      <c r="G13" s="1755">
        <v>46387</v>
      </c>
      <c r="H13" s="1756" t="str">
        <f t="shared" ca="1" si="1"/>
        <v>刘敬东（注册号：2000110137）</v>
      </c>
    </row>
    <row r="14" spans="1:8" ht="24" customHeight="1">
      <c r="A14" s="912" t="s">
        <v>2068</v>
      </c>
      <c r="B14" s="3692" t="str">
        <f ca="1">IF(C14&lt;B2,"已过期",1119980106)</f>
        <v>已过期</v>
      </c>
      <c r="C14" s="1751">
        <v>44969</v>
      </c>
      <c r="D14" s="1753" t="str">
        <f t="shared" ca="1" si="0"/>
        <v>刘俊财（注册号：已过期）</v>
      </c>
      <c r="E14" s="1754" t="s">
        <v>2068</v>
      </c>
      <c r="F14" s="3692">
        <f ca="1">IF(G14&lt;B2,"已过期",96010063)</f>
        <v>96010063</v>
      </c>
      <c r="G14" s="1755">
        <v>47483</v>
      </c>
      <c r="H14" s="1756" t="str">
        <f t="shared" ca="1" si="1"/>
        <v>刘俊财（注册号：96010063）</v>
      </c>
    </row>
    <row r="15" spans="1:8" ht="24" customHeight="1">
      <c r="A15" s="912" t="s">
        <v>2330</v>
      </c>
      <c r="B15" s="3692">
        <v>1120210056</v>
      </c>
      <c r="C15" s="1751">
        <v>45410</v>
      </c>
      <c r="D15" s="1753" t="str">
        <f t="shared" si="0"/>
        <v>宁小鳗（注册号：1120210056）</v>
      </c>
      <c r="E15" s="1754" t="s">
        <v>2069</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9" t="s">
        <v>2070</v>
      </c>
      <c r="B17" s="4199"/>
      <c r="C17" s="4199"/>
      <c r="D17" s="4199"/>
      <c r="E17" s="4199"/>
      <c r="F17" s="4199"/>
      <c r="G17" s="4199"/>
      <c r="H17" s="4199"/>
    </row>
    <row r="18" spans="1:8" ht="24" customHeight="1">
      <c r="A18" s="4200" t="s">
        <v>2071</v>
      </c>
      <c r="B18" s="4200"/>
      <c r="C18" s="4200"/>
      <c r="D18" s="1751"/>
      <c r="E18" s="4201" t="s">
        <v>2072</v>
      </c>
      <c r="F18" s="4200"/>
      <c r="G18" s="4200"/>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2331</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本项目成交情况</vt:lpstr>
      <vt:lpstr>假设开发法</vt:lpstr>
      <vt:lpstr>比较法-住宅</vt:lpstr>
      <vt:lpstr>住宅</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2026-01-28T11:23:20Z</dcterms:modified>
</cp:coreProperties>
</file>