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1"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成新率" sheetId="77" r:id="rId45"/>
    <sheet name="租赁情况" sheetId="78" r:id="rId46"/>
    <sheet name="剩余年限" sheetId="79" r:id="rId47"/>
    <sheet name="Sheet1" sheetId="80" r:id="rId48"/>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47">Sheet1!$A$1:$N$28</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_xlnm.Print_Area" localSheetId="45">租赁情况!$A$1:$Q$28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37" i="6" l="1"/>
  <c r="Z6" i="1"/>
  <c r="AD6" i="1"/>
  <c r="N31" i="78"/>
  <c r="N30" i="78"/>
  <c r="N6" i="1"/>
  <c r="I15" i="3"/>
  <c r="N32" i="78" l="1"/>
  <c r="N6" i="77"/>
  <c r="L6" i="77"/>
  <c r="K12" i="80"/>
  <c r="K14" i="80"/>
  <c r="K30" i="80" s="1"/>
  <c r="K15" i="80"/>
  <c r="K16" i="80"/>
  <c r="K17" i="80"/>
  <c r="K18" i="80"/>
  <c r="K19" i="80"/>
  <c r="K20" i="80"/>
  <c r="K21" i="80"/>
  <c r="K22" i="80"/>
  <c r="K23" i="80"/>
  <c r="E14" i="80"/>
  <c r="E25" i="80"/>
  <c r="E28" i="80" s="1"/>
  <c r="C12" i="80"/>
  <c r="C14" i="80"/>
  <c r="C25" i="80"/>
  <c r="D25" i="80"/>
  <c r="D3" i="4"/>
  <c r="B2" i="1"/>
  <c r="G19" i="43" s="1"/>
  <c r="D5" i="43"/>
  <c r="C42" i="1"/>
  <c r="M4" i="77"/>
  <c r="O4" i="77"/>
  <c r="BB15" i="3"/>
  <c r="BC16" i="3"/>
  <c r="BB16" i="3"/>
  <c r="R6" i="78"/>
  <c r="R3" i="78"/>
  <c r="C4" i="79"/>
  <c r="AF6" i="1"/>
  <c r="N3" i="78"/>
  <c r="N4" i="78"/>
  <c r="N5" i="78"/>
  <c r="N6" i="78"/>
  <c r="N7" i="78"/>
  <c r="N8" i="78"/>
  <c r="N9" i="78"/>
  <c r="N10" i="78"/>
  <c r="N11" i="78"/>
  <c r="N13" i="78"/>
  <c r="N24" i="78"/>
  <c r="BB13" i="3"/>
  <c r="BC13" i="3"/>
  <c r="BD13" i="3"/>
  <c r="BE13" i="3"/>
  <c r="BF13" i="3"/>
  <c r="BG13" i="3"/>
  <c r="BH13" i="3"/>
  <c r="BI13" i="3"/>
  <c r="BJ13" i="3"/>
  <c r="BK13" i="3"/>
  <c r="BA13" i="3"/>
  <c r="BM13" i="3"/>
  <c r="BN13" i="3"/>
  <c r="BL13" i="3" s="1"/>
  <c r="AZ13" i="3" s="1"/>
  <c r="BO13" i="3"/>
  <c r="BP13" i="3"/>
  <c r="BQ13" i="3"/>
  <c r="BR13" i="3"/>
  <c r="BS13" i="3"/>
  <c r="BT13" i="3"/>
  <c r="BB14" i="3"/>
  <c r="BC14" i="3"/>
  <c r="BA14" i="3" s="1"/>
  <c r="AZ14" i="3" s="1"/>
  <c r="BD14" i="3"/>
  <c r="BE14" i="3"/>
  <c r="BF14" i="3"/>
  <c r="BG14" i="3"/>
  <c r="BH14" i="3"/>
  <c r="BI14" i="3"/>
  <c r="BJ14" i="3"/>
  <c r="BK14" i="3"/>
  <c r="BM14" i="3"/>
  <c r="BN14" i="3"/>
  <c r="BO14" i="3"/>
  <c r="BP14" i="3"/>
  <c r="BQ14" i="3"/>
  <c r="BR14" i="3"/>
  <c r="BS14" i="3"/>
  <c r="BT14" i="3"/>
  <c r="BL14" i="3"/>
  <c r="BC15" i="3"/>
  <c r="BA15" i="3" s="1"/>
  <c r="BD15" i="3"/>
  <c r="BE15" i="3"/>
  <c r="BF15" i="3"/>
  <c r="BG15" i="3"/>
  <c r="BH15" i="3"/>
  <c r="BI15" i="3"/>
  <c r="BJ15" i="3"/>
  <c r="BK15" i="3"/>
  <c r="BM15" i="3"/>
  <c r="BN15" i="3"/>
  <c r="BL15" i="3" s="1"/>
  <c r="BO15" i="3"/>
  <c r="BP15" i="3"/>
  <c r="BQ15" i="3"/>
  <c r="BR15" i="3"/>
  <c r="BS15" i="3"/>
  <c r="BT15" i="3"/>
  <c r="BD16" i="3"/>
  <c r="BA16" i="3" s="1"/>
  <c r="AZ16" i="3" s="1"/>
  <c r="BE16" i="3"/>
  <c r="BF16" i="3"/>
  <c r="BG16" i="3"/>
  <c r="BH16" i="3"/>
  <c r="BI16" i="3"/>
  <c r="BJ16" i="3"/>
  <c r="BK16" i="3"/>
  <c r="BM16" i="3"/>
  <c r="BN16" i="3"/>
  <c r="BO16" i="3"/>
  <c r="BP16" i="3"/>
  <c r="BQ16" i="3"/>
  <c r="BR16" i="3"/>
  <c r="BS16" i="3"/>
  <c r="BT16" i="3"/>
  <c r="BL16" i="3"/>
  <c r="BB17" i="3"/>
  <c r="BC17" i="3"/>
  <c r="BA17" i="3" s="1"/>
  <c r="AZ17" i="3" s="1"/>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L18" i="3" s="1"/>
  <c r="AZ18" i="3" s="1"/>
  <c r="BO18" i="3"/>
  <c r="BP18" i="3"/>
  <c r="BQ18" i="3"/>
  <c r="BR18" i="3"/>
  <c r="BS18" i="3"/>
  <c r="BT18" i="3"/>
  <c r="BB19" i="3"/>
  <c r="BC19" i="3"/>
  <c r="BA19" i="3" s="1"/>
  <c r="AZ19" i="3" s="1"/>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L20" i="3" s="1"/>
  <c r="AZ20" i="3" s="1"/>
  <c r="BO20" i="3"/>
  <c r="BP20" i="3"/>
  <c r="BQ20" i="3"/>
  <c r="BR20" i="3"/>
  <c r="BS20" i="3"/>
  <c r="BT20" i="3"/>
  <c r="BB21" i="3"/>
  <c r="BC21" i="3"/>
  <c r="BA21" i="3" s="1"/>
  <c r="AZ21" i="3" s="1"/>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L22" i="3" s="1"/>
  <c r="AZ22" i="3" s="1"/>
  <c r="BO22" i="3"/>
  <c r="BP22" i="3"/>
  <c r="BQ22" i="3"/>
  <c r="BR22" i="3"/>
  <c r="BS22" i="3"/>
  <c r="BT22" i="3"/>
  <c r="BB23" i="3"/>
  <c r="BC23" i="3"/>
  <c r="BA23" i="3" s="1"/>
  <c r="AZ23" i="3" s="1"/>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L24" i="3" s="1"/>
  <c r="AZ24" i="3" s="1"/>
  <c r="BO24" i="3"/>
  <c r="BP24" i="3"/>
  <c r="BQ24" i="3"/>
  <c r="BR24" i="3"/>
  <c r="BS24" i="3"/>
  <c r="BT24" i="3"/>
  <c r="BB25" i="3"/>
  <c r="BC25" i="3"/>
  <c r="BA25" i="3" s="1"/>
  <c r="AZ25" i="3" s="1"/>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L26" i="3" s="1"/>
  <c r="AZ26" i="3" s="1"/>
  <c r="BO26" i="3"/>
  <c r="BP26" i="3"/>
  <c r="BQ26" i="3"/>
  <c r="BR26" i="3"/>
  <c r="BS26" i="3"/>
  <c r="BT26" i="3"/>
  <c r="BB27" i="3"/>
  <c r="BC27" i="3"/>
  <c r="BA27" i="3" s="1"/>
  <c r="AZ27" i="3" s="1"/>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L28" i="3" s="1"/>
  <c r="AZ28" i="3" s="1"/>
  <c r="BO28" i="3"/>
  <c r="BP28" i="3"/>
  <c r="BQ28" i="3"/>
  <c r="BR28" i="3"/>
  <c r="BS28" i="3"/>
  <c r="BT28" i="3"/>
  <c r="BB29" i="3"/>
  <c r="BC29" i="3"/>
  <c r="BA29" i="3" s="1"/>
  <c r="AZ29" i="3" s="1"/>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L30" i="3" s="1"/>
  <c r="AZ30" i="3" s="1"/>
  <c r="BO30" i="3"/>
  <c r="BP30" i="3"/>
  <c r="BQ30" i="3"/>
  <c r="BR30" i="3"/>
  <c r="BS30" i="3"/>
  <c r="BT30" i="3"/>
  <c r="BB31" i="3"/>
  <c r="BC31" i="3"/>
  <c r="BA31" i="3" s="1"/>
  <c r="AZ31" i="3" s="1"/>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L32" i="3" s="1"/>
  <c r="AZ32" i="3" s="1"/>
  <c r="BO32" i="3"/>
  <c r="BP32" i="3"/>
  <c r="BQ32" i="3"/>
  <c r="BR32" i="3"/>
  <c r="BS32" i="3"/>
  <c r="BT32" i="3"/>
  <c r="BB33" i="3"/>
  <c r="BC33" i="3"/>
  <c r="BA33" i="3" s="1"/>
  <c r="AZ33" i="3" s="1"/>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L34" i="3" s="1"/>
  <c r="AZ34" i="3" s="1"/>
  <c r="BO34" i="3"/>
  <c r="BP34" i="3"/>
  <c r="BQ34" i="3"/>
  <c r="BR34" i="3"/>
  <c r="BS34" i="3"/>
  <c r="BT34" i="3"/>
  <c r="BB35" i="3"/>
  <c r="BC35" i="3"/>
  <c r="BA35" i="3" s="1"/>
  <c r="AZ35" i="3" s="1"/>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L36" i="3" s="1"/>
  <c r="AZ36" i="3" s="1"/>
  <c r="BO36" i="3"/>
  <c r="BP36" i="3"/>
  <c r="BQ36" i="3"/>
  <c r="BR36" i="3"/>
  <c r="BS36" i="3"/>
  <c r="BT36" i="3"/>
  <c r="BB37" i="3"/>
  <c r="BC37" i="3"/>
  <c r="BA37" i="3" s="1"/>
  <c r="AZ37" i="3" s="1"/>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L38" i="3" s="1"/>
  <c r="AZ38" i="3" s="1"/>
  <c r="BO38" i="3"/>
  <c r="BP38" i="3"/>
  <c r="BQ38" i="3"/>
  <c r="BR38" i="3"/>
  <c r="BS38" i="3"/>
  <c r="BT38" i="3"/>
  <c r="BB39" i="3"/>
  <c r="BC39" i="3"/>
  <c r="BA39" i="3" s="1"/>
  <c r="AZ39" i="3" s="1"/>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L40" i="3" s="1"/>
  <c r="AZ40" i="3" s="1"/>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L46" i="3" s="1"/>
  <c r="AZ46" i="3" s="1"/>
  <c r="BO46" i="3"/>
  <c r="BP46" i="3"/>
  <c r="BQ46" i="3"/>
  <c r="BR46" i="3"/>
  <c r="BS46" i="3"/>
  <c r="BT46" i="3"/>
  <c r="BB47" i="3"/>
  <c r="BC47" i="3"/>
  <c r="BA47" i="3" s="1"/>
  <c r="AZ47" i="3" s="1"/>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L48" i="3" s="1"/>
  <c r="AZ48" i="3" s="1"/>
  <c r="BO48" i="3"/>
  <c r="BP48" i="3"/>
  <c r="BQ48" i="3"/>
  <c r="BR48" i="3"/>
  <c r="BS48" i="3"/>
  <c r="BT48" i="3"/>
  <c r="BB49" i="3"/>
  <c r="BC49" i="3"/>
  <c r="BA49" i="3" s="1"/>
  <c r="AZ49" i="3" s="1"/>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L50" i="3" s="1"/>
  <c r="AZ50" i="3" s="1"/>
  <c r="BO50" i="3"/>
  <c r="BP50" i="3"/>
  <c r="BQ50" i="3"/>
  <c r="BR50" i="3"/>
  <c r="BS50" i="3"/>
  <c r="BT50" i="3"/>
  <c r="BB51" i="3"/>
  <c r="BC51" i="3"/>
  <c r="BA51" i="3" s="1"/>
  <c r="AZ51" i="3" s="1"/>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L52" i="3" s="1"/>
  <c r="AZ52" i="3" s="1"/>
  <c r="BO52" i="3"/>
  <c r="BP52" i="3"/>
  <c r="BQ52" i="3"/>
  <c r="BR52" i="3"/>
  <c r="BS52" i="3"/>
  <c r="BT52" i="3"/>
  <c r="BB53" i="3"/>
  <c r="BC53" i="3"/>
  <c r="BA53" i="3" s="1"/>
  <c r="AZ53" i="3" s="1"/>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L54" i="3" s="1"/>
  <c r="AZ54" i="3" s="1"/>
  <c r="BO54" i="3"/>
  <c r="BP54" i="3"/>
  <c r="BQ54" i="3"/>
  <c r="BR54" i="3"/>
  <c r="BS54" i="3"/>
  <c r="BT54" i="3"/>
  <c r="BB55" i="3"/>
  <c r="BC55" i="3"/>
  <c r="BA55" i="3" s="1"/>
  <c r="AZ55" i="3" s="1"/>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L56" i="3" s="1"/>
  <c r="AZ56" i="3" s="1"/>
  <c r="BO56" i="3"/>
  <c r="BP56" i="3"/>
  <c r="BQ56" i="3"/>
  <c r="BR56" i="3"/>
  <c r="BS56" i="3"/>
  <c r="BT56" i="3"/>
  <c r="BB57" i="3"/>
  <c r="BC57" i="3"/>
  <c r="BA57" i="3" s="1"/>
  <c r="AZ57" i="3" s="1"/>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L58" i="3" s="1"/>
  <c r="AZ58" i="3" s="1"/>
  <c r="BO58" i="3"/>
  <c r="BP58" i="3"/>
  <c r="BQ58" i="3"/>
  <c r="BR58" i="3"/>
  <c r="BS58" i="3"/>
  <c r="BT58" i="3"/>
  <c r="BB59" i="3"/>
  <c r="BC59" i="3"/>
  <c r="BA59" i="3" s="1"/>
  <c r="AZ59" i="3" s="1"/>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L60" i="3" s="1"/>
  <c r="AZ60" i="3" s="1"/>
  <c r="BO60" i="3"/>
  <c r="BP60" i="3"/>
  <c r="BQ60" i="3"/>
  <c r="BR60" i="3"/>
  <c r="BS60" i="3"/>
  <c r="BT60" i="3"/>
  <c r="BB61" i="3"/>
  <c r="BC61" i="3"/>
  <c r="BA61" i="3" s="1"/>
  <c r="AZ61" i="3" s="1"/>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L62" i="3" s="1"/>
  <c r="AZ62" i="3" s="1"/>
  <c r="BO62" i="3"/>
  <c r="BP62" i="3"/>
  <c r="BQ62" i="3"/>
  <c r="BR62" i="3"/>
  <c r="BS62" i="3"/>
  <c r="BT62" i="3"/>
  <c r="BB63" i="3"/>
  <c r="BC63" i="3"/>
  <c r="BA63" i="3" s="1"/>
  <c r="AZ63" i="3" s="1"/>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L64" i="3" s="1"/>
  <c r="AZ64" i="3" s="1"/>
  <c r="BO64" i="3"/>
  <c r="BP64" i="3"/>
  <c r="BQ64" i="3"/>
  <c r="BR64" i="3"/>
  <c r="BS64" i="3"/>
  <c r="BT64" i="3"/>
  <c r="BB65" i="3"/>
  <c r="BC65" i="3"/>
  <c r="BA65" i="3" s="1"/>
  <c r="AZ65" i="3" s="1"/>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L66" i="3" s="1"/>
  <c r="AZ66" i="3" s="1"/>
  <c r="BO66" i="3"/>
  <c r="BP66" i="3"/>
  <c r="BQ66" i="3"/>
  <c r="BR66" i="3"/>
  <c r="BS66" i="3"/>
  <c r="BT66" i="3"/>
  <c r="BB67" i="3"/>
  <c r="BC67" i="3"/>
  <c r="BA67" i="3" s="1"/>
  <c r="AZ67" i="3" s="1"/>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L68" i="3" s="1"/>
  <c r="AZ68" i="3" s="1"/>
  <c r="BO68" i="3"/>
  <c r="BP68" i="3"/>
  <c r="BQ68" i="3"/>
  <c r="BR68" i="3"/>
  <c r="BS68" i="3"/>
  <c r="BT68" i="3"/>
  <c r="BB69" i="3"/>
  <c r="BC69" i="3"/>
  <c r="BA69" i="3" s="1"/>
  <c r="AZ69" i="3" s="1"/>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L70" i="3" s="1"/>
  <c r="AZ70" i="3" s="1"/>
  <c r="BO70" i="3"/>
  <c r="BP70" i="3"/>
  <c r="BQ70" i="3"/>
  <c r="BR70" i="3"/>
  <c r="BS70" i="3"/>
  <c r="BT70" i="3"/>
  <c r="BB71" i="3"/>
  <c r="BC71" i="3"/>
  <c r="BA71" i="3" s="1"/>
  <c r="AZ71" i="3" s="1"/>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L72" i="3" s="1"/>
  <c r="AZ72" i="3" s="1"/>
  <c r="BO72" i="3"/>
  <c r="BP72" i="3"/>
  <c r="BQ72" i="3"/>
  <c r="BR72" i="3"/>
  <c r="BS72" i="3"/>
  <c r="BT72" i="3"/>
  <c r="BB73" i="3"/>
  <c r="BC73" i="3"/>
  <c r="BA73" i="3" s="1"/>
  <c r="AZ73" i="3" s="1"/>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L74" i="3" s="1"/>
  <c r="AZ74" i="3" s="1"/>
  <c r="BO74" i="3"/>
  <c r="BP74" i="3"/>
  <c r="BQ74" i="3"/>
  <c r="BR74" i="3"/>
  <c r="BS74" i="3"/>
  <c r="BT74" i="3"/>
  <c r="BB75" i="3"/>
  <c r="BC75" i="3"/>
  <c r="BA75" i="3" s="1"/>
  <c r="AZ75" i="3" s="1"/>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L76" i="3" s="1"/>
  <c r="AZ76" i="3" s="1"/>
  <c r="BO76" i="3"/>
  <c r="BP76" i="3"/>
  <c r="BQ76" i="3"/>
  <c r="BR76" i="3"/>
  <c r="BS76" i="3"/>
  <c r="BT76" i="3"/>
  <c r="BB77" i="3"/>
  <c r="BC77" i="3"/>
  <c r="BA77" i="3" s="1"/>
  <c r="AZ77" i="3" s="1"/>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L78" i="3" s="1"/>
  <c r="AZ78" i="3" s="1"/>
  <c r="BO78" i="3"/>
  <c r="BP78" i="3"/>
  <c r="BQ78" i="3"/>
  <c r="BR78" i="3"/>
  <c r="BS78" i="3"/>
  <c r="BT78" i="3"/>
  <c r="BB79" i="3"/>
  <c r="BC79" i="3"/>
  <c r="BA79" i="3" s="1"/>
  <c r="AZ79" i="3" s="1"/>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L80" i="3" s="1"/>
  <c r="AZ80" i="3" s="1"/>
  <c r="BO80" i="3"/>
  <c r="BP80" i="3"/>
  <c r="BQ80" i="3"/>
  <c r="BR80" i="3"/>
  <c r="BS80" i="3"/>
  <c r="BT80" i="3"/>
  <c r="BB81" i="3"/>
  <c r="BC81" i="3"/>
  <c r="BA81" i="3" s="1"/>
  <c r="AZ81" i="3" s="1"/>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L82" i="3" s="1"/>
  <c r="AZ82" i="3" s="1"/>
  <c r="BO82" i="3"/>
  <c r="BP82" i="3"/>
  <c r="BQ82" i="3"/>
  <c r="BR82" i="3"/>
  <c r="BS82" i="3"/>
  <c r="BT82" i="3"/>
  <c r="BB83" i="3"/>
  <c r="BC83" i="3"/>
  <c r="BA83" i="3" s="1"/>
  <c r="AZ83" i="3" s="1"/>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L84" i="3" s="1"/>
  <c r="AZ84" i="3" s="1"/>
  <c r="BO84" i="3"/>
  <c r="BP84" i="3"/>
  <c r="BQ84" i="3"/>
  <c r="BR84" i="3"/>
  <c r="BS84" i="3"/>
  <c r="BT84" i="3"/>
  <c r="BB85" i="3"/>
  <c r="BC85" i="3"/>
  <c r="BA85" i="3" s="1"/>
  <c r="AZ85" i="3" s="1"/>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L86" i="3" s="1"/>
  <c r="AZ86" i="3" s="1"/>
  <c r="BO86" i="3"/>
  <c r="BP86" i="3"/>
  <c r="BQ86" i="3"/>
  <c r="BR86" i="3"/>
  <c r="BS86" i="3"/>
  <c r="BT86" i="3"/>
  <c r="BB87" i="3"/>
  <c r="BC87" i="3"/>
  <c r="BA87" i="3" s="1"/>
  <c r="AZ87" i="3" s="1"/>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L88" i="3" s="1"/>
  <c r="AZ88" i="3" s="1"/>
  <c r="BO88" i="3"/>
  <c r="BP88" i="3"/>
  <c r="BQ88" i="3"/>
  <c r="BR88" i="3"/>
  <c r="BS88" i="3"/>
  <c r="BT88" i="3"/>
  <c r="BB89" i="3"/>
  <c r="BC89" i="3"/>
  <c r="BA89" i="3" s="1"/>
  <c r="AZ89" i="3" s="1"/>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L90" i="3" s="1"/>
  <c r="AZ90" i="3" s="1"/>
  <c r="BO90" i="3"/>
  <c r="BP90" i="3"/>
  <c r="BQ90" i="3"/>
  <c r="BR90" i="3"/>
  <c r="BS90" i="3"/>
  <c r="BT90" i="3"/>
  <c r="BB91" i="3"/>
  <c r="BC91" i="3"/>
  <c r="BA91" i="3" s="1"/>
  <c r="AZ91" i="3" s="1"/>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L92" i="3" s="1"/>
  <c r="AZ92" i="3" s="1"/>
  <c r="BO92" i="3"/>
  <c r="BP92" i="3"/>
  <c r="BQ92" i="3"/>
  <c r="BR92" i="3"/>
  <c r="BS92" i="3"/>
  <c r="BT92" i="3"/>
  <c r="BB93" i="3"/>
  <c r="BC93" i="3"/>
  <c r="BA93" i="3" s="1"/>
  <c r="AZ93" i="3" s="1"/>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AZ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L96" i="3" s="1"/>
  <c r="AZ96" i="3" s="1"/>
  <c r="BO96" i="3"/>
  <c r="BP96" i="3"/>
  <c r="BQ96" i="3"/>
  <c r="BR96" i="3"/>
  <c r="BS96" i="3"/>
  <c r="BT96" i="3"/>
  <c r="BB97" i="3"/>
  <c r="BC97" i="3"/>
  <c r="BA97" i="3" s="1"/>
  <c r="AZ97" i="3" s="1"/>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L98" i="3" s="1"/>
  <c r="AZ98" i="3" s="1"/>
  <c r="BO98" i="3"/>
  <c r="BP98" i="3"/>
  <c r="BQ98" i="3"/>
  <c r="BR98" i="3"/>
  <c r="BS98" i="3"/>
  <c r="BT98" i="3"/>
  <c r="BB99" i="3"/>
  <c r="BC99" i="3"/>
  <c r="BA99" i="3" s="1"/>
  <c r="AZ99" i="3" s="1"/>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L100" i="3" s="1"/>
  <c r="AZ100" i="3" s="1"/>
  <c r="BO100" i="3"/>
  <c r="BP100" i="3"/>
  <c r="BQ100" i="3"/>
  <c r="BR100" i="3"/>
  <c r="BS100" i="3"/>
  <c r="BT100" i="3"/>
  <c r="BB101" i="3"/>
  <c r="BC101" i="3"/>
  <c r="BA101" i="3" s="1"/>
  <c r="AZ101" i="3" s="1"/>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L102" i="3" s="1"/>
  <c r="AZ102" i="3" s="1"/>
  <c r="BO102" i="3"/>
  <c r="BP102" i="3"/>
  <c r="BQ102" i="3"/>
  <c r="BR102" i="3"/>
  <c r="BS102" i="3"/>
  <c r="BT102" i="3"/>
  <c r="BB103" i="3"/>
  <c r="BC103" i="3"/>
  <c r="BA103" i="3" s="1"/>
  <c r="AZ103" i="3" s="1"/>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s="1"/>
  <c r="AZ104" i="3" s="1"/>
  <c r="BO104" i="3"/>
  <c r="BP104" i="3"/>
  <c r="BQ104" i="3"/>
  <c r="BR104" i="3"/>
  <c r="BS104" i="3"/>
  <c r="BT104" i="3"/>
  <c r="BB105" i="3"/>
  <c r="BC105" i="3"/>
  <c r="BA105" i="3" s="1"/>
  <c r="AZ105" i="3" s="1"/>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L106" i="3" s="1"/>
  <c r="AZ106" i="3" s="1"/>
  <c r="BO106" i="3"/>
  <c r="BP106" i="3"/>
  <c r="BQ106" i="3"/>
  <c r="BR106" i="3"/>
  <c r="BS106" i="3"/>
  <c r="BT106" i="3"/>
  <c r="BB107" i="3"/>
  <c r="BC107" i="3"/>
  <c r="BA107" i="3" s="1"/>
  <c r="AZ107" i="3" s="1"/>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L108" i="3" s="1"/>
  <c r="AZ108" i="3" s="1"/>
  <c r="BO108" i="3"/>
  <c r="BP108" i="3"/>
  <c r="BQ108" i="3"/>
  <c r="BR108" i="3"/>
  <c r="BS108" i="3"/>
  <c r="BT108" i="3"/>
  <c r="BB109" i="3"/>
  <c r="BC109" i="3"/>
  <c r="BA109" i="3" s="1"/>
  <c r="AZ109" i="3" s="1"/>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L110" i="3" s="1"/>
  <c r="AZ110" i="3" s="1"/>
  <c r="BO110" i="3"/>
  <c r="BP110" i="3"/>
  <c r="BQ110" i="3"/>
  <c r="BR110" i="3"/>
  <c r="BS110" i="3"/>
  <c r="BT110" i="3"/>
  <c r="BB111" i="3"/>
  <c r="BC111" i="3"/>
  <c r="BA111" i="3" s="1"/>
  <c r="AZ111" i="3" s="1"/>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L112" i="3" s="1"/>
  <c r="AZ112" i="3" s="1"/>
  <c r="BO112" i="3"/>
  <c r="BP112" i="3"/>
  <c r="BQ112" i="3"/>
  <c r="BR112" i="3"/>
  <c r="BS112" i="3"/>
  <c r="BT112" i="3"/>
  <c r="BB113" i="3"/>
  <c r="BC113" i="3"/>
  <c r="BA113" i="3" s="1"/>
  <c r="AZ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L114" i="3" s="1"/>
  <c r="AZ114" i="3" s="1"/>
  <c r="BO114" i="3"/>
  <c r="BP114" i="3"/>
  <c r="BQ114" i="3"/>
  <c r="BR114" i="3"/>
  <c r="BS114" i="3"/>
  <c r="BT114" i="3"/>
  <c r="BB115" i="3"/>
  <c r="BC115" i="3"/>
  <c r="BA115" i="3" s="1"/>
  <c r="AZ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L116" i="3" s="1"/>
  <c r="AZ116" i="3" s="1"/>
  <c r="BO116" i="3"/>
  <c r="BP116" i="3"/>
  <c r="BQ116" i="3"/>
  <c r="BR116" i="3"/>
  <c r="BS116" i="3"/>
  <c r="BT116" i="3"/>
  <c r="BB117" i="3"/>
  <c r="BC117" i="3"/>
  <c r="BA117" i="3" s="1"/>
  <c r="AZ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L118" i="3" s="1"/>
  <c r="AZ118" i="3" s="1"/>
  <c r="BO118" i="3"/>
  <c r="BP118" i="3"/>
  <c r="BQ118" i="3"/>
  <c r="BR118" i="3"/>
  <c r="BS118" i="3"/>
  <c r="BT118" i="3"/>
  <c r="BB119" i="3"/>
  <c r="BC119" i="3"/>
  <c r="BA119" i="3" s="1"/>
  <c r="AZ119" i="3" s="1"/>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L120" i="3" s="1"/>
  <c r="AZ120" i="3" s="1"/>
  <c r="BO120" i="3"/>
  <c r="BP120" i="3"/>
  <c r="BQ120" i="3"/>
  <c r="BR120" i="3"/>
  <c r="BS120" i="3"/>
  <c r="BT120" i="3"/>
  <c r="BB121" i="3"/>
  <c r="BC121" i="3"/>
  <c r="BA121" i="3" s="1"/>
  <c r="AZ121" i="3" s="1"/>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L122" i="3" s="1"/>
  <c r="AZ122" i="3" s="1"/>
  <c r="BO122" i="3"/>
  <c r="BP122" i="3"/>
  <c r="BQ122" i="3"/>
  <c r="BR122" i="3"/>
  <c r="BS122" i="3"/>
  <c r="BT122" i="3"/>
  <c r="BB123" i="3"/>
  <c r="BC123" i="3"/>
  <c r="BA123" i="3" s="1"/>
  <c r="AZ123" i="3" s="1"/>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L124" i="3" s="1"/>
  <c r="AZ124" i="3" s="1"/>
  <c r="BO124" i="3"/>
  <c r="BP124" i="3"/>
  <c r="BQ124" i="3"/>
  <c r="BR124" i="3"/>
  <c r="BS124" i="3"/>
  <c r="BT124" i="3"/>
  <c r="BB125" i="3"/>
  <c r="BC125" i="3"/>
  <c r="BA125" i="3" s="1"/>
  <c r="AZ125" i="3" s="1"/>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s="1"/>
  <c r="AZ126" i="3" s="1"/>
  <c r="BO126" i="3"/>
  <c r="BP126" i="3"/>
  <c r="BQ126" i="3"/>
  <c r="BR126" i="3"/>
  <c r="BS126" i="3"/>
  <c r="BT126" i="3"/>
  <c r="BB127" i="3"/>
  <c r="BC127" i="3"/>
  <c r="BA127" i="3" s="1"/>
  <c r="AZ127" i="3" s="1"/>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L128" i="3" s="1"/>
  <c r="AZ128" i="3" s="1"/>
  <c r="BO128" i="3"/>
  <c r="BP128" i="3"/>
  <c r="BQ128" i="3"/>
  <c r="BR128" i="3"/>
  <c r="BS128" i="3"/>
  <c r="BT128" i="3"/>
  <c r="BB129" i="3"/>
  <c r="BC129" i="3"/>
  <c r="BA129" i="3" s="1"/>
  <c r="AZ129" i="3" s="1"/>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L130" i="3" s="1"/>
  <c r="AZ130" i="3" s="1"/>
  <c r="BO130" i="3"/>
  <c r="BP130" i="3"/>
  <c r="BQ130" i="3"/>
  <c r="BR130" i="3"/>
  <c r="BS130" i="3"/>
  <c r="BT130" i="3"/>
  <c r="BB131" i="3"/>
  <c r="BC131" i="3"/>
  <c r="BA131" i="3" s="1"/>
  <c r="AZ131" i="3" s="1"/>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L132" i="3" s="1"/>
  <c r="AZ132" i="3" s="1"/>
  <c r="BO132" i="3"/>
  <c r="BP132" i="3"/>
  <c r="BQ132" i="3"/>
  <c r="BR132" i="3"/>
  <c r="BS132" i="3"/>
  <c r="BT132" i="3"/>
  <c r="BB133" i="3"/>
  <c r="BC133" i="3"/>
  <c r="BD133" i="3"/>
  <c r="BE133" i="3"/>
  <c r="BF133" i="3"/>
  <c r="BG133" i="3"/>
  <c r="BA133" i="3" s="1"/>
  <c r="AZ133" i="3" s="1"/>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L134" i="3" s="1"/>
  <c r="AZ134" i="3" s="1"/>
  <c r="BO134" i="3"/>
  <c r="BP134" i="3"/>
  <c r="BQ134" i="3"/>
  <c r="BR134" i="3"/>
  <c r="BS134" i="3"/>
  <c r="BT134" i="3"/>
  <c r="BB135" i="3"/>
  <c r="BC135" i="3"/>
  <c r="BA135" i="3" s="1"/>
  <c r="AZ135" i="3" s="1"/>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L136" i="3" s="1"/>
  <c r="AZ136" i="3" s="1"/>
  <c r="BO136" i="3"/>
  <c r="BP136" i="3"/>
  <c r="BQ136" i="3"/>
  <c r="BR136" i="3"/>
  <c r="BS136" i="3"/>
  <c r="BT136" i="3"/>
  <c r="BB137" i="3"/>
  <c r="BC137" i="3"/>
  <c r="BD137" i="3"/>
  <c r="BE137" i="3"/>
  <c r="BF137" i="3"/>
  <c r="BG137" i="3"/>
  <c r="BA137" i="3" s="1"/>
  <c r="AZ137" i="3" s="1"/>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L138" i="3" s="1"/>
  <c r="AZ138" i="3" s="1"/>
  <c r="BB139" i="3"/>
  <c r="BC139" i="3"/>
  <c r="BD139" i="3"/>
  <c r="BE139" i="3"/>
  <c r="BF139" i="3"/>
  <c r="BG139" i="3"/>
  <c r="BH139" i="3"/>
  <c r="BI139" i="3"/>
  <c r="BJ139" i="3"/>
  <c r="BK139" i="3"/>
  <c r="BA139" i="3"/>
  <c r="BM139" i="3"/>
  <c r="BN139" i="3"/>
  <c r="BO139" i="3"/>
  <c r="BP139" i="3"/>
  <c r="BQ139" i="3"/>
  <c r="BR139" i="3"/>
  <c r="BS139" i="3"/>
  <c r="BT139" i="3"/>
  <c r="BL139" i="3" s="1"/>
  <c r="AZ139" i="3" s="1"/>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s="1"/>
  <c r="AZ141" i="3" s="1"/>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L143" i="3" s="1"/>
  <c r="AZ143" i="3" s="1"/>
  <c r="BS143" i="3"/>
  <c r="BT143" i="3"/>
  <c r="BB144" i="3"/>
  <c r="BC144" i="3"/>
  <c r="BD144" i="3"/>
  <c r="BE144" i="3"/>
  <c r="BF144" i="3"/>
  <c r="BG144" i="3"/>
  <c r="BH144" i="3"/>
  <c r="BI144" i="3"/>
  <c r="BJ144" i="3"/>
  <c r="BK144" i="3"/>
  <c r="BA144" i="3"/>
  <c r="BM144" i="3"/>
  <c r="BN144" i="3"/>
  <c r="BO144" i="3"/>
  <c r="BP144" i="3"/>
  <c r="BQ144" i="3"/>
  <c r="BR144" i="3"/>
  <c r="BS144" i="3"/>
  <c r="BT144" i="3"/>
  <c r="BL144" i="3" s="1"/>
  <c r="AZ144" i="3" s="1"/>
  <c r="BB145" i="3"/>
  <c r="BC145" i="3"/>
  <c r="BD145" i="3"/>
  <c r="BE145" i="3"/>
  <c r="BF145" i="3"/>
  <c r="BG145" i="3"/>
  <c r="BH145" i="3"/>
  <c r="BI145" i="3"/>
  <c r="BJ145" i="3"/>
  <c r="BK145" i="3"/>
  <c r="BA145" i="3"/>
  <c r="BM145" i="3"/>
  <c r="BN145" i="3"/>
  <c r="BO145" i="3"/>
  <c r="BP145" i="3"/>
  <c r="BQ145" i="3"/>
  <c r="BR145" i="3"/>
  <c r="BL145" i="3" s="1"/>
  <c r="AZ145" i="3" s="1"/>
  <c r="BS145" i="3"/>
  <c r="BT145" i="3"/>
  <c r="BB146" i="3"/>
  <c r="BC146" i="3"/>
  <c r="BD146" i="3"/>
  <c r="BE146" i="3"/>
  <c r="BF146" i="3"/>
  <c r="BG146" i="3"/>
  <c r="BH146" i="3"/>
  <c r="BI146" i="3"/>
  <c r="BJ146" i="3"/>
  <c r="BK146" i="3"/>
  <c r="BA146" i="3"/>
  <c r="BM146" i="3"/>
  <c r="BN146" i="3"/>
  <c r="BO146" i="3"/>
  <c r="BP146" i="3"/>
  <c r="BQ146" i="3"/>
  <c r="BR146" i="3"/>
  <c r="BL146" i="3" s="1"/>
  <c r="AZ146" i="3" s="1"/>
  <c r="BS146" i="3"/>
  <c r="BT146" i="3"/>
  <c r="BB147" i="3"/>
  <c r="BC147" i="3"/>
  <c r="BD147" i="3"/>
  <c r="BE147" i="3"/>
  <c r="BF147" i="3"/>
  <c r="BG147" i="3"/>
  <c r="BH147" i="3"/>
  <c r="BI147" i="3"/>
  <c r="BJ147" i="3"/>
  <c r="BK147" i="3"/>
  <c r="BA147" i="3" s="1"/>
  <c r="AZ147" i="3" s="1"/>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L148" i="3" s="1"/>
  <c r="AZ148" i="3" s="1"/>
  <c r="BS148" i="3"/>
  <c r="BT148" i="3"/>
  <c r="BB149" i="3"/>
  <c r="BC149" i="3"/>
  <c r="BD149" i="3"/>
  <c r="BE149" i="3"/>
  <c r="BF149" i="3"/>
  <c r="BG149" i="3"/>
  <c r="BH149" i="3"/>
  <c r="BI149" i="3"/>
  <c r="BJ149" i="3"/>
  <c r="BK149" i="3"/>
  <c r="BA149" i="3" s="1"/>
  <c r="AZ149" i="3" s="1"/>
  <c r="BM149" i="3"/>
  <c r="BN149" i="3"/>
  <c r="BO149" i="3"/>
  <c r="BP149" i="3"/>
  <c r="BQ149" i="3"/>
  <c r="BR149" i="3"/>
  <c r="BS149" i="3"/>
  <c r="BT149" i="3"/>
  <c r="BL149" i="3"/>
  <c r="BB150" i="3"/>
  <c r="BC150" i="3"/>
  <c r="BD150" i="3"/>
  <c r="BE150" i="3"/>
  <c r="BF150" i="3"/>
  <c r="BG150" i="3"/>
  <c r="BH150" i="3"/>
  <c r="BI150" i="3"/>
  <c r="BJ150" i="3"/>
  <c r="BK150" i="3"/>
  <c r="BA150" i="3"/>
  <c r="BM150" i="3"/>
  <c r="BN150" i="3"/>
  <c r="BL150" i="3" s="1"/>
  <c r="AZ150" i="3" s="1"/>
  <c r="BO150" i="3"/>
  <c r="BP150" i="3"/>
  <c r="BQ150" i="3"/>
  <c r="BR150" i="3"/>
  <c r="BS150" i="3"/>
  <c r="BT150" i="3"/>
  <c r="BB151" i="3"/>
  <c r="BC151" i="3"/>
  <c r="BD151" i="3"/>
  <c r="BE151" i="3"/>
  <c r="BF151" i="3"/>
  <c r="BG151" i="3"/>
  <c r="BA151" i="3" s="1"/>
  <c r="AZ151" i="3" s="1"/>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L153" i="3" s="1"/>
  <c r="AZ153" i="3" s="1"/>
  <c r="BQ153" i="3"/>
  <c r="BR153" i="3"/>
  <c r="BS153" i="3"/>
  <c r="BT153" i="3"/>
  <c r="BB154" i="3"/>
  <c r="BC154" i="3"/>
  <c r="BD154" i="3"/>
  <c r="BE154" i="3"/>
  <c r="BA154" i="3" s="1"/>
  <c r="AZ154" i="3" s="1"/>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L155" i="3" s="1"/>
  <c r="AZ155" i="3" s="1"/>
  <c r="BO155" i="3"/>
  <c r="BP155" i="3"/>
  <c r="BQ155" i="3"/>
  <c r="BR155" i="3"/>
  <c r="BS155" i="3"/>
  <c r="BT155" i="3"/>
  <c r="BB156" i="3"/>
  <c r="BC156" i="3"/>
  <c r="BD156" i="3"/>
  <c r="BE156" i="3"/>
  <c r="BF156" i="3"/>
  <c r="BG156" i="3"/>
  <c r="BH156" i="3"/>
  <c r="BI156" i="3"/>
  <c r="BA156" i="3" s="1"/>
  <c r="AZ156" i="3" s="1"/>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O157" i="3"/>
  <c r="BP157" i="3"/>
  <c r="BL157" i="3" s="1"/>
  <c r="AZ157" i="3" s="1"/>
  <c r="BQ157" i="3"/>
  <c r="BR157" i="3"/>
  <c r="BS157" i="3"/>
  <c r="BT157" i="3"/>
  <c r="BB158" i="3"/>
  <c r="BC158" i="3"/>
  <c r="BD158" i="3"/>
  <c r="BE158" i="3"/>
  <c r="BF158" i="3"/>
  <c r="BG158" i="3"/>
  <c r="BH158" i="3"/>
  <c r="BI158" i="3"/>
  <c r="BJ158" i="3"/>
  <c r="BK158" i="3"/>
  <c r="BA158" i="3" s="1"/>
  <c r="AZ158" i="3" s="1"/>
  <c r="BM158" i="3"/>
  <c r="BN158" i="3"/>
  <c r="BO158" i="3"/>
  <c r="BP158" i="3"/>
  <c r="BQ158" i="3"/>
  <c r="BR158" i="3"/>
  <c r="BS158" i="3"/>
  <c r="BT158" i="3"/>
  <c r="BL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s="1"/>
  <c r="AZ160" i="3" s="1"/>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s="1"/>
  <c r="AZ162" i="3" s="1"/>
  <c r="BM162" i="3"/>
  <c r="BN162" i="3"/>
  <c r="BO162" i="3"/>
  <c r="BP162" i="3"/>
  <c r="BQ162" i="3"/>
  <c r="BR162" i="3"/>
  <c r="BS162" i="3"/>
  <c r="BT162" i="3"/>
  <c r="BL162" i="3"/>
  <c r="BB163" i="3"/>
  <c r="BC163" i="3"/>
  <c r="BD163" i="3"/>
  <c r="BE163" i="3"/>
  <c r="BF163" i="3"/>
  <c r="BG163" i="3"/>
  <c r="BH163" i="3"/>
  <c r="BI163" i="3"/>
  <c r="BJ163" i="3"/>
  <c r="BK163" i="3"/>
  <c r="BA163" i="3"/>
  <c r="BM163" i="3"/>
  <c r="BN163" i="3"/>
  <c r="BO163" i="3"/>
  <c r="BP163" i="3"/>
  <c r="BQ163" i="3"/>
  <c r="BR163" i="3"/>
  <c r="BS163" i="3"/>
  <c r="BT163" i="3"/>
  <c r="BL163" i="3" s="1"/>
  <c r="AZ163" i="3" s="1"/>
  <c r="BB164" i="3"/>
  <c r="BC164" i="3"/>
  <c r="BD164" i="3"/>
  <c r="BE164" i="3"/>
  <c r="BF164" i="3"/>
  <c r="BG164" i="3"/>
  <c r="BH164" i="3"/>
  <c r="BI164" i="3"/>
  <c r="BJ164" i="3"/>
  <c r="BK164" i="3"/>
  <c r="BA164" i="3"/>
  <c r="BM164" i="3"/>
  <c r="BN164" i="3"/>
  <c r="BO164" i="3"/>
  <c r="BP164" i="3"/>
  <c r="BL164" i="3" s="1"/>
  <c r="AZ164" i="3" s="1"/>
  <c r="BQ164" i="3"/>
  <c r="BR164" i="3"/>
  <c r="BS164" i="3"/>
  <c r="BT164" i="3"/>
  <c r="BB165" i="3"/>
  <c r="BC165" i="3"/>
  <c r="BD165" i="3"/>
  <c r="BE165" i="3"/>
  <c r="BA165" i="3" s="1"/>
  <c r="AZ165" i="3" s="1"/>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L166" i="3" s="1"/>
  <c r="AZ166" i="3" s="1"/>
  <c r="BO166" i="3"/>
  <c r="BP166" i="3"/>
  <c r="BQ166" i="3"/>
  <c r="BR166" i="3"/>
  <c r="BS166" i="3"/>
  <c r="BT166" i="3"/>
  <c r="BB167" i="3"/>
  <c r="BC167" i="3"/>
  <c r="BA167" i="3" s="1"/>
  <c r="AZ167" i="3" s="1"/>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A169" i="3"/>
  <c r="BM169" i="3"/>
  <c r="BN169" i="3"/>
  <c r="BL169" i="3" s="1"/>
  <c r="AZ169" i="3" s="1"/>
  <c r="BO169" i="3"/>
  <c r="BP169" i="3"/>
  <c r="BQ169" i="3"/>
  <c r="BR169" i="3"/>
  <c r="BS169" i="3"/>
  <c r="BT169" i="3"/>
  <c r="BB170" i="3"/>
  <c r="BC170" i="3"/>
  <c r="BA170" i="3" s="1"/>
  <c r="AZ170" i="3" s="1"/>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L171" i="3" s="1"/>
  <c r="AZ171" i="3" s="1"/>
  <c r="BO171" i="3"/>
  <c r="BP171" i="3"/>
  <c r="BQ171" i="3"/>
  <c r="BR171" i="3"/>
  <c r="BS171" i="3"/>
  <c r="BT171" i="3"/>
  <c r="BB172" i="3"/>
  <c r="BC172" i="3"/>
  <c r="BA172" i="3" s="1"/>
  <c r="AZ172" i="3" s="1"/>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s="1"/>
  <c r="AZ173" i="3" s="1"/>
  <c r="BO173" i="3"/>
  <c r="BP173" i="3"/>
  <c r="BQ173" i="3"/>
  <c r="BR173" i="3"/>
  <c r="BS173" i="3"/>
  <c r="BT173" i="3"/>
  <c r="BB174" i="3"/>
  <c r="BC174" i="3"/>
  <c r="BA174" i="3" s="1"/>
  <c r="AZ174" i="3" s="1"/>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s="1"/>
  <c r="AZ175" i="3" s="1"/>
  <c r="BO175" i="3"/>
  <c r="BP175" i="3"/>
  <c r="BQ175" i="3"/>
  <c r="BR175" i="3"/>
  <c r="BS175" i="3"/>
  <c r="BT175" i="3"/>
  <c r="BB176" i="3"/>
  <c r="BC176" i="3"/>
  <c r="BA176" i="3" s="1"/>
  <c r="AZ176" i="3" s="1"/>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s="1"/>
  <c r="AZ177" i="3" s="1"/>
  <c r="BO177" i="3"/>
  <c r="BP177" i="3"/>
  <c r="BQ177" i="3"/>
  <c r="BR177" i="3"/>
  <c r="BS177" i="3"/>
  <c r="BT177" i="3"/>
  <c r="BB178" i="3"/>
  <c r="BC178" i="3"/>
  <c r="BA178" i="3" s="1"/>
  <c r="AZ178" i="3" s="1"/>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s="1"/>
  <c r="AZ179" i="3" s="1"/>
  <c r="BO179" i="3"/>
  <c r="BP179" i="3"/>
  <c r="BQ179" i="3"/>
  <c r="BR179" i="3"/>
  <c r="BS179" i="3"/>
  <c r="BT179" i="3"/>
  <c r="BB180" i="3"/>
  <c r="BC180" i="3"/>
  <c r="BA180" i="3" s="1"/>
  <c r="AZ180" i="3" s="1"/>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s="1"/>
  <c r="AZ181" i="3" s="1"/>
  <c r="BO181" i="3"/>
  <c r="BP181" i="3"/>
  <c r="BQ181" i="3"/>
  <c r="BR181" i="3"/>
  <c r="BS181" i="3"/>
  <c r="BT181" i="3"/>
  <c r="BB182" i="3"/>
  <c r="BC182" i="3"/>
  <c r="BA182" i="3" s="1"/>
  <c r="AZ182" i="3" s="1"/>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s="1"/>
  <c r="AZ183" i="3" s="1"/>
  <c r="BO183" i="3"/>
  <c r="BP183" i="3"/>
  <c r="BQ183" i="3"/>
  <c r="BR183" i="3"/>
  <c r="BS183" i="3"/>
  <c r="BT183" i="3"/>
  <c r="BB184" i="3"/>
  <c r="BC184" i="3"/>
  <c r="BA184" i="3" s="1"/>
  <c r="AZ184" i="3" s="1"/>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s="1"/>
  <c r="AZ185" i="3" s="1"/>
  <c r="BO185" i="3"/>
  <c r="BP185" i="3"/>
  <c r="BQ185" i="3"/>
  <c r="BR185" i="3"/>
  <c r="BS185" i="3"/>
  <c r="BT185" i="3"/>
  <c r="BB186" i="3"/>
  <c r="BC186" i="3"/>
  <c r="BA186" i="3" s="1"/>
  <c r="AZ186" i="3" s="1"/>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s="1"/>
  <c r="AZ187" i="3" s="1"/>
  <c r="BO187" i="3"/>
  <c r="BP187" i="3"/>
  <c r="BQ187" i="3"/>
  <c r="BR187" i="3"/>
  <c r="BS187" i="3"/>
  <c r="BT187" i="3"/>
  <c r="BB188" i="3"/>
  <c r="BC188" i="3"/>
  <c r="BA188" i="3" s="1"/>
  <c r="AZ188" i="3" s="1"/>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s="1"/>
  <c r="AZ189" i="3" s="1"/>
  <c r="BO189" i="3"/>
  <c r="BP189" i="3"/>
  <c r="BQ189" i="3"/>
  <c r="BR189" i="3"/>
  <c r="BS189" i="3"/>
  <c r="BT189" i="3"/>
  <c r="BB190" i="3"/>
  <c r="BC190" i="3"/>
  <c r="BA190" i="3" s="1"/>
  <c r="AZ190" i="3" s="1"/>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s="1"/>
  <c r="AZ191" i="3" s="1"/>
  <c r="BO191" i="3"/>
  <c r="BP191" i="3"/>
  <c r="BQ191" i="3"/>
  <c r="BR191" i="3"/>
  <c r="BS191" i="3"/>
  <c r="BT191" i="3"/>
  <c r="BB192" i="3"/>
  <c r="BC192" i="3"/>
  <c r="BA192" i="3" s="1"/>
  <c r="AZ192" i="3" s="1"/>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s="1"/>
  <c r="AZ193" i="3" s="1"/>
  <c r="BO193" i="3"/>
  <c r="BP193" i="3"/>
  <c r="BQ193" i="3"/>
  <c r="BR193" i="3"/>
  <c r="BS193" i="3"/>
  <c r="BT193" i="3"/>
  <c r="BB194" i="3"/>
  <c r="BC194" i="3"/>
  <c r="BA194" i="3" s="1"/>
  <c r="AZ194" i="3" s="1"/>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s="1"/>
  <c r="AZ195" i="3" s="1"/>
  <c r="BO195" i="3"/>
  <c r="BP195" i="3"/>
  <c r="BQ195" i="3"/>
  <c r="BR195" i="3"/>
  <c r="BS195" i="3"/>
  <c r="BT195" i="3"/>
  <c r="BB196" i="3"/>
  <c r="BC196" i="3"/>
  <c r="BA196" i="3" s="1"/>
  <c r="AZ196" i="3" s="1"/>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s="1"/>
  <c r="AZ197" i="3" s="1"/>
  <c r="BO197" i="3"/>
  <c r="BP197" i="3"/>
  <c r="BQ197" i="3"/>
  <c r="BR197" i="3"/>
  <c r="BS197" i="3"/>
  <c r="BT197" i="3"/>
  <c r="BB198" i="3"/>
  <c r="BC198" i="3"/>
  <c r="BA198" i="3" s="1"/>
  <c r="AZ198" i="3" s="1"/>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s="1"/>
  <c r="AZ199" i="3" s="1"/>
  <c r="BO199" i="3"/>
  <c r="BP199" i="3"/>
  <c r="BQ199" i="3"/>
  <c r="BR199" i="3"/>
  <c r="BS199" i="3"/>
  <c r="BT199" i="3"/>
  <c r="BB200" i="3"/>
  <c r="BC200" i="3"/>
  <c r="BA200" i="3" s="1"/>
  <c r="AZ200" i="3" s="1"/>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s="1"/>
  <c r="AZ201" i="3" s="1"/>
  <c r="BO201" i="3"/>
  <c r="BP201" i="3"/>
  <c r="BQ201" i="3"/>
  <c r="BR201" i="3"/>
  <c r="BS201" i="3"/>
  <c r="BT201" i="3"/>
  <c r="BB202" i="3"/>
  <c r="BC202" i="3"/>
  <c r="BA202" i="3" s="1"/>
  <c r="AZ202" i="3" s="1"/>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s="1"/>
  <c r="AZ203" i="3" s="1"/>
  <c r="BO203" i="3"/>
  <c r="BP203" i="3"/>
  <c r="BQ203" i="3"/>
  <c r="BR203" i="3"/>
  <c r="BS203" i="3"/>
  <c r="BT203" i="3"/>
  <c r="BB204" i="3"/>
  <c r="BC204" i="3"/>
  <c r="BA204" i="3" s="1"/>
  <c r="AZ204" i="3" s="1"/>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s="1"/>
  <c r="AZ205" i="3" s="1"/>
  <c r="BO205" i="3"/>
  <c r="BP205" i="3"/>
  <c r="BQ205" i="3"/>
  <c r="BR205" i="3"/>
  <c r="BS205" i="3"/>
  <c r="BT205" i="3"/>
  <c r="BB206" i="3"/>
  <c r="BC206" i="3"/>
  <c r="BA206" i="3" s="1"/>
  <c r="AZ206" i="3" s="1"/>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s="1"/>
  <c r="AZ207" i="3" s="1"/>
  <c r="BO207" i="3"/>
  <c r="BP207" i="3"/>
  <c r="BQ207" i="3"/>
  <c r="BR207" i="3"/>
  <c r="BS207" i="3"/>
  <c r="BT207" i="3"/>
  <c r="BB208" i="3"/>
  <c r="BC208" i="3"/>
  <c r="BA208" i="3" s="1"/>
  <c r="AZ208" i="3" s="1"/>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s="1"/>
  <c r="AZ209" i="3" s="1"/>
  <c r="BO209" i="3"/>
  <c r="BP209" i="3"/>
  <c r="BQ209" i="3"/>
  <c r="BR209" i="3"/>
  <c r="BS209" i="3"/>
  <c r="BT209" i="3"/>
  <c r="BB210" i="3"/>
  <c r="BC210" i="3"/>
  <c r="BA210" i="3" s="1"/>
  <c r="AZ210" i="3" s="1"/>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s="1"/>
  <c r="AZ211" i="3" s="1"/>
  <c r="BO211" i="3"/>
  <c r="BP211" i="3"/>
  <c r="BQ211" i="3"/>
  <c r="BR211" i="3"/>
  <c r="BS211" i="3"/>
  <c r="BT211" i="3"/>
  <c r="BB212" i="3"/>
  <c r="BC212" i="3"/>
  <c r="BA212" i="3" s="1"/>
  <c r="AZ212" i="3" s="1"/>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s="1"/>
  <c r="AZ213" i="3" s="1"/>
  <c r="BO213" i="3"/>
  <c r="BP213" i="3"/>
  <c r="BQ213" i="3"/>
  <c r="BR213" i="3"/>
  <c r="BS213" i="3"/>
  <c r="BT213" i="3"/>
  <c r="BB214" i="3"/>
  <c r="BC214" i="3"/>
  <c r="BA214" i="3" s="1"/>
  <c r="AZ214" i="3" s="1"/>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s="1"/>
  <c r="AZ215" i="3" s="1"/>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s="1"/>
  <c r="AZ217" i="3" s="1"/>
  <c r="BO217" i="3"/>
  <c r="BP217" i="3"/>
  <c r="BQ217" i="3"/>
  <c r="BR217" i="3"/>
  <c r="BS217" i="3"/>
  <c r="BT217" i="3"/>
  <c r="BB218" i="3"/>
  <c r="BC218" i="3"/>
  <c r="BA218" i="3" s="1"/>
  <c r="AZ218" i="3" s="1"/>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s="1"/>
  <c r="AZ219" i="3" s="1"/>
  <c r="BO219" i="3"/>
  <c r="BP219" i="3"/>
  <c r="BQ219" i="3"/>
  <c r="BR219" i="3"/>
  <c r="BS219" i="3"/>
  <c r="BT219" i="3"/>
  <c r="BB220" i="3"/>
  <c r="BC220" i="3"/>
  <c r="BA220" i="3" s="1"/>
  <c r="AZ220" i="3" s="1"/>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s="1"/>
  <c r="AZ221" i="3" s="1"/>
  <c r="BO221" i="3"/>
  <c r="BP221" i="3"/>
  <c r="BQ221" i="3"/>
  <c r="BR221" i="3"/>
  <c r="BS221" i="3"/>
  <c r="BT221" i="3"/>
  <c r="BB222" i="3"/>
  <c r="BC222" i="3"/>
  <c r="BA222" i="3" s="1"/>
  <c r="AZ222" i="3" s="1"/>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s="1"/>
  <c r="AZ223" i="3" s="1"/>
  <c r="BO223" i="3"/>
  <c r="BP223" i="3"/>
  <c r="BQ223" i="3"/>
  <c r="BR223" i="3"/>
  <c r="BS223" i="3"/>
  <c r="BT223" i="3"/>
  <c r="BB224" i="3"/>
  <c r="BC224" i="3"/>
  <c r="BA224" i="3" s="1"/>
  <c r="AZ224" i="3" s="1"/>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s="1"/>
  <c r="AZ225" i="3" s="1"/>
  <c r="BO225" i="3"/>
  <c r="BP225" i="3"/>
  <c r="BQ225" i="3"/>
  <c r="BR225" i="3"/>
  <c r="BS225" i="3"/>
  <c r="BT225" i="3"/>
  <c r="BB226" i="3"/>
  <c r="BC226" i="3"/>
  <c r="BA226" i="3" s="1"/>
  <c r="AZ226" i="3" s="1"/>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s="1"/>
  <c r="AZ227" i="3" s="1"/>
  <c r="BO227" i="3"/>
  <c r="BP227" i="3"/>
  <c r="BQ227" i="3"/>
  <c r="BR227" i="3"/>
  <c r="BS227" i="3"/>
  <c r="BT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s="1"/>
  <c r="AZ231" i="3" s="1"/>
  <c r="BO231" i="3"/>
  <c r="BP231" i="3"/>
  <c r="BQ231" i="3"/>
  <c r="BR231" i="3"/>
  <c r="BS231" i="3"/>
  <c r="BT231" i="3"/>
  <c r="BB232" i="3"/>
  <c r="BC232" i="3"/>
  <c r="BA232" i="3" s="1"/>
  <c r="AZ232" i="3" s="1"/>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A234" i="3" s="1"/>
  <c r="AZ234" i="3" s="1"/>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s="1"/>
  <c r="AZ235" i="3" s="1"/>
  <c r="BO235" i="3"/>
  <c r="BP235" i="3"/>
  <c r="BQ235" i="3"/>
  <c r="BR235" i="3"/>
  <c r="BS235" i="3"/>
  <c r="BT235" i="3"/>
  <c r="BB236" i="3"/>
  <c r="BC236" i="3"/>
  <c r="BA236" i="3" s="1"/>
  <c r="AZ236" i="3" s="1"/>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s="1"/>
  <c r="AZ237" i="3" s="1"/>
  <c r="BO237" i="3"/>
  <c r="BP237" i="3"/>
  <c r="BQ237" i="3"/>
  <c r="BR237" i="3"/>
  <c r="BS237" i="3"/>
  <c r="BT237" i="3"/>
  <c r="BB238" i="3"/>
  <c r="BC238" i="3"/>
  <c r="BA238" i="3" s="1"/>
  <c r="AZ238" i="3" s="1"/>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L239" i="3" s="1"/>
  <c r="AZ239" i="3" s="1"/>
  <c r="BO239" i="3"/>
  <c r="BP239" i="3"/>
  <c r="BQ239" i="3"/>
  <c r="BR239" i="3"/>
  <c r="BS239" i="3"/>
  <c r="BT239" i="3"/>
  <c r="BB240" i="3"/>
  <c r="BC240" i="3"/>
  <c r="BA240" i="3" s="1"/>
  <c r="AZ240" i="3" s="1"/>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s="1"/>
  <c r="AZ241" i="3" s="1"/>
  <c r="BO241" i="3"/>
  <c r="BP241" i="3"/>
  <c r="BQ241" i="3"/>
  <c r="BR241" i="3"/>
  <c r="BS241" i="3"/>
  <c r="BT241" i="3"/>
  <c r="BB242" i="3"/>
  <c r="BC242" i="3"/>
  <c r="BA242" i="3" s="1"/>
  <c r="AZ242" i="3" s="1"/>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A244" i="3" s="1"/>
  <c r="AZ244" i="3" s="1"/>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s="1"/>
  <c r="AZ245" i="3" s="1"/>
  <c r="BO245" i="3"/>
  <c r="BP245" i="3"/>
  <c r="BQ245" i="3"/>
  <c r="BR245" i="3"/>
  <c r="BS245" i="3"/>
  <c r="BT245" i="3"/>
  <c r="BB246" i="3"/>
  <c r="BC246" i="3"/>
  <c r="BA246" i="3" s="1"/>
  <c r="AZ246" i="3" s="1"/>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s="1"/>
  <c r="AZ247" i="3" s="1"/>
  <c r="BO247" i="3"/>
  <c r="BP247" i="3"/>
  <c r="BQ247" i="3"/>
  <c r="BR247" i="3"/>
  <c r="BS247" i="3"/>
  <c r="BT247" i="3"/>
  <c r="BB248" i="3"/>
  <c r="BC248" i="3"/>
  <c r="BA248" i="3" s="1"/>
  <c r="AZ248" i="3" s="1"/>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s="1"/>
  <c r="AZ249" i="3" s="1"/>
  <c r="BO249" i="3"/>
  <c r="BP249" i="3"/>
  <c r="BQ249" i="3"/>
  <c r="BR249" i="3"/>
  <c r="BS249" i="3"/>
  <c r="BT249" i="3"/>
  <c r="BB250" i="3"/>
  <c r="BC250" i="3"/>
  <c r="BA250" i="3" s="1"/>
  <c r="AZ250" i="3" s="1"/>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L251" i="3" s="1"/>
  <c r="AZ251" i="3" s="1"/>
  <c r="BO251" i="3"/>
  <c r="BP251" i="3"/>
  <c r="BQ251" i="3"/>
  <c r="BR251" i="3"/>
  <c r="BS251" i="3"/>
  <c r="BT251" i="3"/>
  <c r="BB252" i="3"/>
  <c r="BC252" i="3"/>
  <c r="BA252" i="3" s="1"/>
  <c r="AZ252" i="3" s="1"/>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L253" i="3" s="1"/>
  <c r="AZ253" i="3" s="1"/>
  <c r="BO253" i="3"/>
  <c r="BP253" i="3"/>
  <c r="BQ253" i="3"/>
  <c r="BR253" i="3"/>
  <c r="BS253" i="3"/>
  <c r="BT253" i="3"/>
  <c r="BB254" i="3"/>
  <c r="BC254" i="3"/>
  <c r="BA254" i="3" s="1"/>
  <c r="AZ254" i="3" s="1"/>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s="1"/>
  <c r="AZ255" i="3" s="1"/>
  <c r="BO255" i="3"/>
  <c r="BP255" i="3"/>
  <c r="BQ255" i="3"/>
  <c r="BR255" i="3"/>
  <c r="BS255" i="3"/>
  <c r="BT255" i="3"/>
  <c r="BB256" i="3"/>
  <c r="BC256" i="3"/>
  <c r="BA256" i="3" s="1"/>
  <c r="AZ256" i="3" s="1"/>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s="1"/>
  <c r="AZ257" i="3" s="1"/>
  <c r="BO257" i="3"/>
  <c r="BP257" i="3"/>
  <c r="BQ257" i="3"/>
  <c r="BR257" i="3"/>
  <c r="BS257" i="3"/>
  <c r="BT257" i="3"/>
  <c r="BB258" i="3"/>
  <c r="BC258" i="3"/>
  <c r="BA258" i="3" s="1"/>
  <c r="AZ258" i="3" s="1"/>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s="1"/>
  <c r="AZ259" i="3" s="1"/>
  <c r="BO259" i="3"/>
  <c r="BP259" i="3"/>
  <c r="BQ259" i="3"/>
  <c r="BR259" i="3"/>
  <c r="BS259" i="3"/>
  <c r="BT259" i="3"/>
  <c r="BB260" i="3"/>
  <c r="BC260" i="3"/>
  <c r="BA260" i="3" s="1"/>
  <c r="AZ260" i="3" s="1"/>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s="1"/>
  <c r="AZ261" i="3" s="1"/>
  <c r="BO261" i="3"/>
  <c r="BP261" i="3"/>
  <c r="BQ261" i="3"/>
  <c r="BR261" i="3"/>
  <c r="BS261" i="3"/>
  <c r="BT261" i="3"/>
  <c r="BB262" i="3"/>
  <c r="BC262" i="3"/>
  <c r="BA262" i="3" s="1"/>
  <c r="AZ262" i="3" s="1"/>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L263" i="3" s="1"/>
  <c r="AZ263" i="3" s="1"/>
  <c r="BO263" i="3"/>
  <c r="BP263" i="3"/>
  <c r="BQ263" i="3"/>
  <c r="BR263" i="3"/>
  <c r="BS263" i="3"/>
  <c r="BT263" i="3"/>
  <c r="BB264" i="3"/>
  <c r="BC264" i="3"/>
  <c r="BA264" i="3" s="1"/>
  <c r="AZ264" i="3" s="1"/>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L265" i="3" s="1"/>
  <c r="AZ265" i="3" s="1"/>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AZ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A278" i="3" s="1"/>
  <c r="AZ278" i="3" s="1"/>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A284" i="3" s="1"/>
  <c r="AZ284" i="3" s="1"/>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A286" i="3" s="1"/>
  <c r="AZ286" i="3" s="1"/>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A288" i="3" s="1"/>
  <c r="AZ288" i="3" s="1"/>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s="1"/>
  <c r="AZ289" i="3" s="1"/>
  <c r="BO289" i="3"/>
  <c r="BP289" i="3"/>
  <c r="BQ289" i="3"/>
  <c r="BR289" i="3"/>
  <c r="BS289" i="3"/>
  <c r="BT289" i="3"/>
  <c r="BB290" i="3"/>
  <c r="BC290" i="3"/>
  <c r="BA290" i="3" s="1"/>
  <c r="AZ290" i="3" s="1"/>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s="1"/>
  <c r="AZ291" i="3" s="1"/>
  <c r="BO291" i="3"/>
  <c r="BP291" i="3"/>
  <c r="BQ291" i="3"/>
  <c r="BR291" i="3"/>
  <c r="BS291" i="3"/>
  <c r="BT291" i="3"/>
  <c r="BB292" i="3"/>
  <c r="BC292" i="3"/>
  <c r="BA292" i="3" s="1"/>
  <c r="AZ292" i="3" s="1"/>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s="1"/>
  <c r="AZ293" i="3" s="1"/>
  <c r="BO293" i="3"/>
  <c r="BP293" i="3"/>
  <c r="BQ293" i="3"/>
  <c r="BR293" i="3"/>
  <c r="BS293" i="3"/>
  <c r="BT293" i="3"/>
  <c r="BB294" i="3"/>
  <c r="BC294" i="3"/>
  <c r="BA294" i="3" s="1"/>
  <c r="AZ294" i="3" s="1"/>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s="1"/>
  <c r="AZ295" i="3" s="1"/>
  <c r="BO295" i="3"/>
  <c r="BP295" i="3"/>
  <c r="BQ295" i="3"/>
  <c r="BR295" i="3"/>
  <c r="BS295" i="3"/>
  <c r="BT295" i="3"/>
  <c r="BB296" i="3"/>
  <c r="BC296" i="3"/>
  <c r="BA296" i="3" s="1"/>
  <c r="AZ296" i="3" s="1"/>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s="1"/>
  <c r="AZ297" i="3" s="1"/>
  <c r="BO297" i="3"/>
  <c r="BP297" i="3"/>
  <c r="BQ297" i="3"/>
  <c r="BR297" i="3"/>
  <c r="BS297" i="3"/>
  <c r="BT297" i="3"/>
  <c r="BB298" i="3"/>
  <c r="BC298" i="3"/>
  <c r="BA298" i="3" s="1"/>
  <c r="AZ298" i="3" s="1"/>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A300" i="3" s="1"/>
  <c r="AZ300" i="3" s="1"/>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D332" i="3"/>
  <c r="BE332" i="3"/>
  <c r="BF332" i="3"/>
  <c r="BG332" i="3"/>
  <c r="BA332" i="3" s="1"/>
  <c r="AZ332" i="3" s="1"/>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O333" i="3"/>
  <c r="BP333" i="3"/>
  <c r="BL333" i="3" s="1"/>
  <c r="AZ333" i="3" s="1"/>
  <c r="BQ333" i="3"/>
  <c r="BR333" i="3"/>
  <c r="BS333" i="3"/>
  <c r="BT333" i="3"/>
  <c r="BB334" i="3"/>
  <c r="BC334" i="3"/>
  <c r="BD334" i="3"/>
  <c r="BE334" i="3"/>
  <c r="BF334" i="3"/>
  <c r="BG334" i="3"/>
  <c r="BH334" i="3"/>
  <c r="BI334" i="3"/>
  <c r="BA334" i="3" s="1"/>
  <c r="AZ334" i="3" s="1"/>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O335" i="3"/>
  <c r="BP335" i="3"/>
  <c r="BQ335" i="3"/>
  <c r="BR335" i="3"/>
  <c r="BL335" i="3" s="1"/>
  <c r="AZ335" i="3" s="1"/>
  <c r="BS335" i="3"/>
  <c r="BT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L337" i="3" s="1"/>
  <c r="AZ337" i="3" s="1"/>
  <c r="BS337" i="3"/>
  <c r="BT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s="1"/>
  <c r="BB340" i="3"/>
  <c r="BC340" i="3"/>
  <c r="BD340" i="3"/>
  <c r="BE340" i="3"/>
  <c r="BF340" i="3"/>
  <c r="BG340" i="3"/>
  <c r="BH340" i="3"/>
  <c r="BI340" i="3"/>
  <c r="BJ340" i="3"/>
  <c r="BK340" i="3"/>
  <c r="BA340" i="3"/>
  <c r="BM340" i="3"/>
  <c r="BN340" i="3"/>
  <c r="BO340" i="3"/>
  <c r="BP340" i="3"/>
  <c r="BQ340" i="3"/>
  <c r="BR340" i="3"/>
  <c r="BL340" i="3" s="1"/>
  <c r="AZ340" i="3" s="1"/>
  <c r="BS340" i="3"/>
  <c r="BT340" i="3"/>
  <c r="BB341" i="3"/>
  <c r="BC341" i="3"/>
  <c r="BD341" i="3"/>
  <c r="BE341" i="3"/>
  <c r="BF341" i="3"/>
  <c r="BG341" i="3"/>
  <c r="BH341" i="3"/>
  <c r="BI341" i="3"/>
  <c r="BJ341" i="3"/>
  <c r="BK341" i="3"/>
  <c r="BA341" i="3" s="1"/>
  <c r="AZ341" i="3" s="1"/>
  <c r="BM341" i="3"/>
  <c r="BN341" i="3"/>
  <c r="BO341" i="3"/>
  <c r="BP341" i="3"/>
  <c r="BQ341" i="3"/>
  <c r="BR341" i="3"/>
  <c r="BS341" i="3"/>
  <c r="BT341" i="3"/>
  <c r="BL341" i="3"/>
  <c r="BB342" i="3"/>
  <c r="BC342" i="3"/>
  <c r="BD342" i="3"/>
  <c r="BE342" i="3"/>
  <c r="BF342" i="3"/>
  <c r="BG342" i="3"/>
  <c r="BH342" i="3"/>
  <c r="BI342" i="3"/>
  <c r="BJ342" i="3"/>
  <c r="BK342" i="3"/>
  <c r="BA342" i="3"/>
  <c r="BM342" i="3"/>
  <c r="BN342" i="3"/>
  <c r="BO342" i="3"/>
  <c r="BP342" i="3"/>
  <c r="BQ342" i="3"/>
  <c r="BR342" i="3"/>
  <c r="BL342" i="3" s="1"/>
  <c r="AZ342" i="3" s="1"/>
  <c r="BS342" i="3"/>
  <c r="BT342" i="3"/>
  <c r="BB343" i="3"/>
  <c r="BC343" i="3"/>
  <c r="BD343" i="3"/>
  <c r="BE343" i="3"/>
  <c r="BF343" i="3"/>
  <c r="BG343" i="3"/>
  <c r="BH343" i="3"/>
  <c r="BI343" i="3"/>
  <c r="BJ343" i="3"/>
  <c r="BK343" i="3"/>
  <c r="BA343" i="3"/>
  <c r="BM343" i="3"/>
  <c r="BN343" i="3"/>
  <c r="BO343" i="3"/>
  <c r="BP343" i="3"/>
  <c r="BQ343" i="3"/>
  <c r="BR343" i="3"/>
  <c r="BS343" i="3"/>
  <c r="BT343" i="3"/>
  <c r="BL343" i="3" s="1"/>
  <c r="AZ343" i="3" s="1"/>
  <c r="BB344" i="3"/>
  <c r="BC344" i="3"/>
  <c r="BD344" i="3"/>
  <c r="BE344" i="3"/>
  <c r="BF344" i="3"/>
  <c r="BG344" i="3"/>
  <c r="BH344" i="3"/>
  <c r="BI344" i="3"/>
  <c r="BJ344" i="3"/>
  <c r="BK344" i="3"/>
  <c r="BA344" i="3"/>
  <c r="BM344" i="3"/>
  <c r="BN344" i="3"/>
  <c r="BO344" i="3"/>
  <c r="BP344" i="3"/>
  <c r="BQ344" i="3"/>
  <c r="BR344" i="3"/>
  <c r="BS344" i="3"/>
  <c r="BT344" i="3"/>
  <c r="BL344" i="3" s="1"/>
  <c r="AZ344" i="3" s="1"/>
  <c r="BB345" i="3"/>
  <c r="BC345" i="3"/>
  <c r="BD345" i="3"/>
  <c r="BE345" i="3"/>
  <c r="BF345" i="3"/>
  <c r="BG345" i="3"/>
  <c r="BH345" i="3"/>
  <c r="BI345" i="3"/>
  <c r="BJ345" i="3"/>
  <c r="BK345" i="3"/>
  <c r="BA345" i="3"/>
  <c r="BM345" i="3"/>
  <c r="BN345" i="3"/>
  <c r="BO345" i="3"/>
  <c r="BP345" i="3"/>
  <c r="BQ345" i="3"/>
  <c r="BR345" i="3"/>
  <c r="BS345" i="3"/>
  <c r="BT345" i="3"/>
  <c r="BL345" i="3" s="1"/>
  <c r="AZ345" i="3" s="1"/>
  <c r="BB346" i="3"/>
  <c r="BC346" i="3"/>
  <c r="BD346" i="3"/>
  <c r="BE346" i="3"/>
  <c r="BF346" i="3"/>
  <c r="BG346" i="3"/>
  <c r="BH346" i="3"/>
  <c r="BI346" i="3"/>
  <c r="BJ346" i="3"/>
  <c r="BK346" i="3"/>
  <c r="BA346" i="3"/>
  <c r="BM346" i="3"/>
  <c r="BN346" i="3"/>
  <c r="BO346" i="3"/>
  <c r="BP346" i="3"/>
  <c r="BQ346" i="3"/>
  <c r="BR346" i="3"/>
  <c r="BL346" i="3" s="1"/>
  <c r="AZ346" i="3" s="1"/>
  <c r="BS346" i="3"/>
  <c r="BT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L348" i="3" s="1"/>
  <c r="AZ348" i="3" s="1"/>
  <c r="BS348" i="3"/>
  <c r="BT348" i="3"/>
  <c r="BB349" i="3"/>
  <c r="BC349" i="3"/>
  <c r="BD349" i="3"/>
  <c r="BE349" i="3"/>
  <c r="BF349" i="3"/>
  <c r="BG349" i="3"/>
  <c r="BH349" i="3"/>
  <c r="BI349" i="3"/>
  <c r="BJ349" i="3"/>
  <c r="BK349" i="3"/>
  <c r="BA349" i="3"/>
  <c r="BM349" i="3"/>
  <c r="BN349" i="3"/>
  <c r="BO349" i="3"/>
  <c r="BP349" i="3"/>
  <c r="BL349" i="3" s="1"/>
  <c r="AZ349" i="3" s="1"/>
  <c r="BQ349" i="3"/>
  <c r="BR349" i="3"/>
  <c r="BS349" i="3"/>
  <c r="BT349" i="3"/>
  <c r="BB350" i="3"/>
  <c r="BC350" i="3"/>
  <c r="BD350" i="3"/>
  <c r="BE350" i="3"/>
  <c r="BF350" i="3"/>
  <c r="BG350" i="3"/>
  <c r="BH350" i="3"/>
  <c r="BI350" i="3"/>
  <c r="BJ350" i="3"/>
  <c r="BK350" i="3"/>
  <c r="BA350" i="3"/>
  <c r="BM350" i="3"/>
  <c r="BN350" i="3"/>
  <c r="BO350" i="3"/>
  <c r="BP350" i="3"/>
  <c r="BQ350" i="3"/>
  <c r="BR350" i="3"/>
  <c r="BS350" i="3"/>
  <c r="BT350" i="3"/>
  <c r="BL350" i="3" s="1"/>
  <c r="AZ350" i="3" s="1"/>
  <c r="BB351" i="3"/>
  <c r="BC351" i="3"/>
  <c r="BD351" i="3"/>
  <c r="BE351" i="3"/>
  <c r="BF351" i="3"/>
  <c r="BG351" i="3"/>
  <c r="BH351" i="3"/>
  <c r="BI351" i="3"/>
  <c r="BJ351" i="3"/>
  <c r="BK351" i="3"/>
  <c r="BA351" i="3"/>
  <c r="BM351" i="3"/>
  <c r="BN351" i="3"/>
  <c r="BO351" i="3"/>
  <c r="BP351" i="3"/>
  <c r="BQ351" i="3"/>
  <c r="BR351" i="3"/>
  <c r="BL351" i="3" s="1"/>
  <c r="AZ351" i="3" s="1"/>
  <c r="BS351" i="3"/>
  <c r="BT351" i="3"/>
  <c r="BB352" i="3"/>
  <c r="BC352" i="3"/>
  <c r="BD352" i="3"/>
  <c r="BE352" i="3"/>
  <c r="BF352" i="3"/>
  <c r="BG352" i="3"/>
  <c r="BH352" i="3"/>
  <c r="BI352" i="3"/>
  <c r="BJ352" i="3"/>
  <c r="BK352" i="3"/>
  <c r="BA352" i="3"/>
  <c r="BM352" i="3"/>
  <c r="BN352" i="3"/>
  <c r="BO352" i="3"/>
  <c r="BP352" i="3"/>
  <c r="BQ352" i="3"/>
  <c r="BR352" i="3"/>
  <c r="BL352" i="3" s="1"/>
  <c r="AZ352" i="3" s="1"/>
  <c r="BS352" i="3"/>
  <c r="BT352" i="3"/>
  <c r="BB353" i="3"/>
  <c r="BC353" i="3"/>
  <c r="BD353" i="3"/>
  <c r="BE353" i="3"/>
  <c r="BF353" i="3"/>
  <c r="BG353" i="3"/>
  <c r="BH353" i="3"/>
  <c r="BI353" i="3"/>
  <c r="BJ353" i="3"/>
  <c r="BK353" i="3"/>
  <c r="BA353" i="3"/>
  <c r="BM353" i="3"/>
  <c r="BN353" i="3"/>
  <c r="BO353" i="3"/>
  <c r="BP353" i="3"/>
  <c r="BL353" i="3" s="1"/>
  <c r="AZ353" i="3" s="1"/>
  <c r="BQ353" i="3"/>
  <c r="BR353" i="3"/>
  <c r="BS353" i="3"/>
  <c r="BT353" i="3"/>
  <c r="BB354" i="3"/>
  <c r="BC354" i="3"/>
  <c r="BD354" i="3"/>
  <c r="BE354" i="3"/>
  <c r="BF354" i="3"/>
  <c r="BG354" i="3"/>
  <c r="BH354" i="3"/>
  <c r="BI354" i="3"/>
  <c r="BA354" i="3" s="1"/>
  <c r="AZ354" i="3" s="1"/>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O355" i="3"/>
  <c r="BP355" i="3"/>
  <c r="BL355" i="3" s="1"/>
  <c r="AZ355" i="3" s="1"/>
  <c r="BQ355" i="3"/>
  <c r="BR355" i="3"/>
  <c r="BS355" i="3"/>
  <c r="BT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L357" i="3" s="1"/>
  <c r="AZ357" i="3" s="1"/>
  <c r="BS357" i="3"/>
  <c r="BT357" i="3"/>
  <c r="BB358" i="3"/>
  <c r="BC358" i="3"/>
  <c r="BD358" i="3"/>
  <c r="BE358" i="3"/>
  <c r="BF358" i="3"/>
  <c r="BG358" i="3"/>
  <c r="BH358" i="3"/>
  <c r="BI358" i="3"/>
  <c r="BJ358" i="3"/>
  <c r="BK358" i="3"/>
  <c r="BA358" i="3" s="1"/>
  <c r="AZ358" i="3" s="1"/>
  <c r="BM358" i="3"/>
  <c r="BN358" i="3"/>
  <c r="BO358" i="3"/>
  <c r="BP358" i="3"/>
  <c r="BQ358" i="3"/>
  <c r="BR358" i="3"/>
  <c r="BS358" i="3"/>
  <c r="BT358" i="3"/>
  <c r="BL358" i="3"/>
  <c r="BB359" i="3"/>
  <c r="BC359" i="3"/>
  <c r="BD359" i="3"/>
  <c r="BE359" i="3"/>
  <c r="BF359" i="3"/>
  <c r="BG359" i="3"/>
  <c r="BH359" i="3"/>
  <c r="BI359" i="3"/>
  <c r="BJ359" i="3"/>
  <c r="BK359" i="3"/>
  <c r="BA359" i="3" s="1"/>
  <c r="AZ359" i="3" s="1"/>
  <c r="BM359" i="3"/>
  <c r="BN359" i="3"/>
  <c r="BO359" i="3"/>
  <c r="BP359" i="3"/>
  <c r="BQ359" i="3"/>
  <c r="BR359" i="3"/>
  <c r="BS359" i="3"/>
  <c r="BT359" i="3"/>
  <c r="BL359" i="3"/>
  <c r="BB360" i="3"/>
  <c r="BC360" i="3"/>
  <c r="BD360" i="3"/>
  <c r="BE360" i="3"/>
  <c r="BF360" i="3"/>
  <c r="BG360" i="3"/>
  <c r="BH360" i="3"/>
  <c r="BI360" i="3"/>
  <c r="BJ360" i="3"/>
  <c r="BK360" i="3"/>
  <c r="BA360" i="3"/>
  <c r="BM360" i="3"/>
  <c r="BN360" i="3"/>
  <c r="BO360" i="3"/>
  <c r="BP360" i="3"/>
  <c r="BQ360" i="3"/>
  <c r="BR360" i="3"/>
  <c r="BL360" i="3" s="1"/>
  <c r="AZ360" i="3" s="1"/>
  <c r="BS360" i="3"/>
  <c r="BT360" i="3"/>
  <c r="BB361" i="3"/>
  <c r="BC361" i="3"/>
  <c r="BD361" i="3"/>
  <c r="BE361" i="3"/>
  <c r="BF361" i="3"/>
  <c r="BG361" i="3"/>
  <c r="BH361" i="3"/>
  <c r="BI361" i="3"/>
  <c r="BJ361" i="3"/>
  <c r="BK361" i="3"/>
  <c r="BA361" i="3" s="1"/>
  <c r="AZ361" i="3" s="1"/>
  <c r="BM361" i="3"/>
  <c r="BN361" i="3"/>
  <c r="BO361" i="3"/>
  <c r="BP361" i="3"/>
  <c r="BQ361" i="3"/>
  <c r="BR361" i="3"/>
  <c r="BS361" i="3"/>
  <c r="BT361" i="3"/>
  <c r="BL361" i="3"/>
  <c r="BB362" i="3"/>
  <c r="BC362" i="3"/>
  <c r="BD362" i="3"/>
  <c r="BE362" i="3"/>
  <c r="BF362" i="3"/>
  <c r="BG362" i="3"/>
  <c r="BH362" i="3"/>
  <c r="BI362" i="3"/>
  <c r="BJ362" i="3"/>
  <c r="BK362" i="3"/>
  <c r="BA362" i="3"/>
  <c r="BM362" i="3"/>
  <c r="BN362" i="3"/>
  <c r="BO362" i="3"/>
  <c r="BP362" i="3"/>
  <c r="BQ362" i="3"/>
  <c r="BR362" i="3"/>
  <c r="BS362" i="3"/>
  <c r="BT362" i="3"/>
  <c r="BL362" i="3" s="1"/>
  <c r="AZ362" i="3" s="1"/>
  <c r="BB363" i="3"/>
  <c r="BC363" i="3"/>
  <c r="BD363" i="3"/>
  <c r="BE363" i="3"/>
  <c r="BF363" i="3"/>
  <c r="BG363" i="3"/>
  <c r="BH363" i="3"/>
  <c r="BI363" i="3"/>
  <c r="BJ363" i="3"/>
  <c r="BK363" i="3"/>
  <c r="BA363" i="3"/>
  <c r="BM363" i="3"/>
  <c r="BN363" i="3"/>
  <c r="BO363" i="3"/>
  <c r="BP363" i="3"/>
  <c r="BQ363" i="3"/>
  <c r="BR363" i="3"/>
  <c r="BS363" i="3"/>
  <c r="BT363" i="3"/>
  <c r="BL363" i="3" s="1"/>
  <c r="AZ363" i="3" s="1"/>
  <c r="BB364" i="3"/>
  <c r="BC364" i="3"/>
  <c r="BD364" i="3"/>
  <c r="BE364" i="3"/>
  <c r="BF364" i="3"/>
  <c r="BG364" i="3"/>
  <c r="BH364" i="3"/>
  <c r="BI364" i="3"/>
  <c r="BJ364" i="3"/>
  <c r="BK364" i="3"/>
  <c r="BA364" i="3"/>
  <c r="BM364" i="3"/>
  <c r="BN364" i="3"/>
  <c r="BO364" i="3"/>
  <c r="BP364" i="3"/>
  <c r="BQ364" i="3"/>
  <c r="BR364" i="3"/>
  <c r="BS364" i="3"/>
  <c r="BT364" i="3"/>
  <c r="BL364" i="3" s="1"/>
  <c r="AZ364" i="3" s="1"/>
  <c r="BB365" i="3"/>
  <c r="BC365" i="3"/>
  <c r="BD365" i="3"/>
  <c r="BE365" i="3"/>
  <c r="BF365" i="3"/>
  <c r="BG365" i="3"/>
  <c r="BH365" i="3"/>
  <c r="BI365" i="3"/>
  <c r="BJ365" i="3"/>
  <c r="BK365" i="3"/>
  <c r="BA365" i="3"/>
  <c r="BM365" i="3"/>
  <c r="BN365" i="3"/>
  <c r="BO365" i="3"/>
  <c r="BP365" i="3"/>
  <c r="BQ365" i="3"/>
  <c r="BR365" i="3"/>
  <c r="BS365" i="3"/>
  <c r="BT365" i="3"/>
  <c r="BL365" i="3"/>
  <c r="AZ365" i="3" s="1"/>
  <c r="BB366" i="3"/>
  <c r="BC366" i="3"/>
  <c r="BD366" i="3"/>
  <c r="BE366" i="3"/>
  <c r="BF366" i="3"/>
  <c r="BG366" i="3"/>
  <c r="BH366" i="3"/>
  <c r="BI366" i="3"/>
  <c r="BJ366" i="3"/>
  <c r="BK366" i="3"/>
  <c r="BA366" i="3"/>
  <c r="BM366" i="3"/>
  <c r="BN366" i="3"/>
  <c r="BO366" i="3"/>
  <c r="BP366" i="3"/>
  <c r="BL366" i="3" s="1"/>
  <c r="AZ366" i="3" s="1"/>
  <c r="BQ366" i="3"/>
  <c r="BR366" i="3"/>
  <c r="BS366" i="3"/>
  <c r="BT366" i="3"/>
  <c r="BB367" i="3"/>
  <c r="BC367" i="3"/>
  <c r="BD367" i="3"/>
  <c r="BE367" i="3"/>
  <c r="BF367" i="3"/>
  <c r="BG367" i="3"/>
  <c r="BH367" i="3"/>
  <c r="BI367" i="3"/>
  <c r="BJ367" i="3"/>
  <c r="BK367" i="3"/>
  <c r="BA367" i="3"/>
  <c r="BM367" i="3"/>
  <c r="BN367" i="3"/>
  <c r="BO367" i="3"/>
  <c r="BP367" i="3"/>
  <c r="BQ367" i="3"/>
  <c r="BR367" i="3"/>
  <c r="BS367" i="3"/>
  <c r="BT367" i="3"/>
  <c r="BL367" i="3"/>
  <c r="AZ367" i="3" s="1"/>
  <c r="BB368" i="3"/>
  <c r="BC368" i="3"/>
  <c r="BD368" i="3"/>
  <c r="BE368" i="3"/>
  <c r="BF368" i="3"/>
  <c r="BG368" i="3"/>
  <c r="BH368" i="3"/>
  <c r="BI368" i="3"/>
  <c r="BJ368" i="3"/>
  <c r="BK368" i="3"/>
  <c r="BA368" i="3"/>
  <c r="BM368" i="3"/>
  <c r="BN368" i="3"/>
  <c r="BO368" i="3"/>
  <c r="BP368" i="3"/>
  <c r="BQ368" i="3"/>
  <c r="BR368" i="3"/>
  <c r="BL368" i="3" s="1"/>
  <c r="AZ368" i="3" s="1"/>
  <c r="BS368" i="3"/>
  <c r="BT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s="1"/>
  <c r="AZ370" i="3" s="1"/>
  <c r="BB371" i="3"/>
  <c r="BC371" i="3"/>
  <c r="BD371" i="3"/>
  <c r="BE371" i="3"/>
  <c r="BF371" i="3"/>
  <c r="BG371" i="3"/>
  <c r="BH371" i="3"/>
  <c r="BI371" i="3"/>
  <c r="BJ371" i="3"/>
  <c r="BK371" i="3"/>
  <c r="BA371" i="3"/>
  <c r="BM371" i="3"/>
  <c r="BN371" i="3"/>
  <c r="BO371" i="3"/>
  <c r="BP371" i="3"/>
  <c r="BQ371" i="3"/>
  <c r="BR371" i="3"/>
  <c r="BL371" i="3" s="1"/>
  <c r="AZ371" i="3" s="1"/>
  <c r="BS371" i="3"/>
  <c r="BT371" i="3"/>
  <c r="BB372" i="3"/>
  <c r="BC372" i="3"/>
  <c r="BD372" i="3"/>
  <c r="BE372" i="3"/>
  <c r="BF372" i="3"/>
  <c r="BG372" i="3"/>
  <c r="BH372" i="3"/>
  <c r="BI372" i="3"/>
  <c r="BJ372" i="3"/>
  <c r="BK372" i="3"/>
  <c r="BA372" i="3" s="1"/>
  <c r="AZ372" i="3" s="1"/>
  <c r="BM372" i="3"/>
  <c r="BN372" i="3"/>
  <c r="BO372" i="3"/>
  <c r="BP372" i="3"/>
  <c r="BQ372" i="3"/>
  <c r="BR372" i="3"/>
  <c r="BS372" i="3"/>
  <c r="BT372" i="3"/>
  <c r="BL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s="1"/>
  <c r="AZ375" i="3" s="1"/>
  <c r="BB376" i="3"/>
  <c r="BC376" i="3"/>
  <c r="BD376" i="3"/>
  <c r="BE376" i="3"/>
  <c r="BF376" i="3"/>
  <c r="BG376" i="3"/>
  <c r="BH376" i="3"/>
  <c r="BI376" i="3"/>
  <c r="BJ376" i="3"/>
  <c r="BK376" i="3"/>
  <c r="BA376" i="3"/>
  <c r="BM376" i="3"/>
  <c r="BN376" i="3"/>
  <c r="BO376" i="3"/>
  <c r="BP376" i="3"/>
  <c r="BQ376" i="3"/>
  <c r="BR376" i="3"/>
  <c r="BS376" i="3"/>
  <c r="BT376" i="3"/>
  <c r="BL376" i="3"/>
  <c r="AZ376" i="3" s="1"/>
  <c r="BB377" i="3"/>
  <c r="BC377" i="3"/>
  <c r="BD377" i="3"/>
  <c r="BE377" i="3"/>
  <c r="BF377" i="3"/>
  <c r="BG377" i="3"/>
  <c r="BH377" i="3"/>
  <c r="BI377" i="3"/>
  <c r="BJ377" i="3"/>
  <c r="BK377" i="3"/>
  <c r="BA377" i="3"/>
  <c r="BM377" i="3"/>
  <c r="BN377" i="3"/>
  <c r="BO377" i="3"/>
  <c r="BP377" i="3"/>
  <c r="BQ377" i="3"/>
  <c r="BR377" i="3"/>
  <c r="BS377" i="3"/>
  <c r="BT377" i="3"/>
  <c r="BL377" i="3" s="1"/>
  <c r="AZ377" i="3" s="1"/>
  <c r="BB378" i="3"/>
  <c r="BC378" i="3"/>
  <c r="BD378" i="3"/>
  <c r="BE378" i="3"/>
  <c r="BF378" i="3"/>
  <c r="BG378" i="3"/>
  <c r="BH378" i="3"/>
  <c r="BI378" i="3"/>
  <c r="BJ378" i="3"/>
  <c r="BK378" i="3"/>
  <c r="BA378" i="3"/>
  <c r="BM378" i="3"/>
  <c r="BN378" i="3"/>
  <c r="BO378" i="3"/>
  <c r="BP378" i="3"/>
  <c r="BL378" i="3" s="1"/>
  <c r="AZ378" i="3" s="1"/>
  <c r="BQ378" i="3"/>
  <c r="BR378" i="3"/>
  <c r="BS378" i="3"/>
  <c r="BT378" i="3"/>
  <c r="BB379" i="3"/>
  <c r="BC379" i="3"/>
  <c r="BD379" i="3"/>
  <c r="BE379" i="3"/>
  <c r="BF379" i="3"/>
  <c r="BG379" i="3"/>
  <c r="BH379" i="3"/>
  <c r="BI379" i="3"/>
  <c r="BJ379" i="3"/>
  <c r="BK379" i="3"/>
  <c r="BA379" i="3"/>
  <c r="BM379" i="3"/>
  <c r="BN379" i="3"/>
  <c r="BO379" i="3"/>
  <c r="BP379" i="3"/>
  <c r="BQ379" i="3"/>
  <c r="BR379" i="3"/>
  <c r="BS379" i="3"/>
  <c r="BT379" i="3"/>
  <c r="BL379" i="3"/>
  <c r="AZ379" i="3" s="1"/>
  <c r="BB380" i="3"/>
  <c r="BC380" i="3"/>
  <c r="BD380" i="3"/>
  <c r="BE380" i="3"/>
  <c r="BF380" i="3"/>
  <c r="BG380" i="3"/>
  <c r="BH380" i="3"/>
  <c r="BI380" i="3"/>
  <c r="BJ380" i="3"/>
  <c r="BK380" i="3"/>
  <c r="BA380" i="3"/>
  <c r="BM380" i="3"/>
  <c r="BN380" i="3"/>
  <c r="BO380" i="3"/>
  <c r="BP380" i="3"/>
  <c r="BQ380" i="3"/>
  <c r="BR380" i="3"/>
  <c r="BS380" i="3"/>
  <c r="BT380" i="3"/>
  <c r="BL380" i="3"/>
  <c r="AZ380" i="3" s="1"/>
  <c r="BB381" i="3"/>
  <c r="BC381" i="3"/>
  <c r="BD381" i="3"/>
  <c r="BE381" i="3"/>
  <c r="BF381" i="3"/>
  <c r="BG381" i="3"/>
  <c r="BH381" i="3"/>
  <c r="BI381" i="3"/>
  <c r="BJ381" i="3"/>
  <c r="BK381" i="3"/>
  <c r="BA381" i="3"/>
  <c r="BM381" i="3"/>
  <c r="BN381" i="3"/>
  <c r="BO381" i="3"/>
  <c r="BP381" i="3"/>
  <c r="BQ381" i="3"/>
  <c r="BR381" i="3"/>
  <c r="BS381" i="3"/>
  <c r="BT381" i="3"/>
  <c r="BL381" i="3" s="1"/>
  <c r="AZ381" i="3" s="1"/>
  <c r="BB382" i="3"/>
  <c r="BC382" i="3"/>
  <c r="BD382" i="3"/>
  <c r="BE382" i="3"/>
  <c r="BF382" i="3"/>
  <c r="BG382" i="3"/>
  <c r="BH382" i="3"/>
  <c r="BI382" i="3"/>
  <c r="BJ382" i="3"/>
  <c r="BK382" i="3"/>
  <c r="BA382" i="3"/>
  <c r="BM382" i="3"/>
  <c r="BN382" i="3"/>
  <c r="BO382" i="3"/>
  <c r="BP382" i="3"/>
  <c r="BQ382" i="3"/>
  <c r="BR382" i="3"/>
  <c r="BS382" i="3"/>
  <c r="BT382" i="3"/>
  <c r="BL382" i="3" s="1"/>
  <c r="AZ382" i="3" s="1"/>
  <c r="BB383" i="3"/>
  <c r="BC383" i="3"/>
  <c r="BD383" i="3"/>
  <c r="BE383" i="3"/>
  <c r="BF383" i="3"/>
  <c r="BG383" i="3"/>
  <c r="BH383" i="3"/>
  <c r="BI383" i="3"/>
  <c r="BJ383" i="3"/>
  <c r="BK383" i="3"/>
  <c r="BA383" i="3"/>
  <c r="BM383" i="3"/>
  <c r="BN383" i="3"/>
  <c r="BO383" i="3"/>
  <c r="BP383" i="3"/>
  <c r="BQ383" i="3"/>
  <c r="BR383" i="3"/>
  <c r="BS383" i="3"/>
  <c r="BT383" i="3"/>
  <c r="BL383" i="3" s="1"/>
  <c r="AZ383" i="3" s="1"/>
  <c r="BB384" i="3"/>
  <c r="BC384" i="3"/>
  <c r="BD384" i="3"/>
  <c r="BE384" i="3"/>
  <c r="BF384" i="3"/>
  <c r="BG384" i="3"/>
  <c r="BH384" i="3"/>
  <c r="BI384" i="3"/>
  <c r="BJ384" i="3"/>
  <c r="BK384" i="3"/>
  <c r="BA384" i="3"/>
  <c r="BM384" i="3"/>
  <c r="BN384" i="3"/>
  <c r="BO384" i="3"/>
  <c r="BP384" i="3"/>
  <c r="BQ384" i="3"/>
  <c r="BR384" i="3"/>
  <c r="BL384" i="3" s="1"/>
  <c r="AZ384" i="3" s="1"/>
  <c r="BS384" i="3"/>
  <c r="BT384" i="3"/>
  <c r="BB385" i="3"/>
  <c r="BC385" i="3"/>
  <c r="BD385" i="3"/>
  <c r="BE385" i="3"/>
  <c r="BF385" i="3"/>
  <c r="BG385" i="3"/>
  <c r="BH385" i="3"/>
  <c r="BI385" i="3"/>
  <c r="BJ385" i="3"/>
  <c r="BK385" i="3"/>
  <c r="BA385" i="3"/>
  <c r="BM385" i="3"/>
  <c r="BN385" i="3"/>
  <c r="BO385" i="3"/>
  <c r="BP385" i="3"/>
  <c r="BQ385" i="3"/>
  <c r="BR385" i="3"/>
  <c r="BS385" i="3"/>
  <c r="BT385" i="3"/>
  <c r="BL385" i="3"/>
  <c r="AZ385" i="3" s="1"/>
  <c r="BB386" i="3"/>
  <c r="BC386" i="3"/>
  <c r="BD386" i="3"/>
  <c r="BE386" i="3"/>
  <c r="BF386" i="3"/>
  <c r="BG386" i="3"/>
  <c r="BH386" i="3"/>
  <c r="BI386" i="3"/>
  <c r="BJ386" i="3"/>
  <c r="BK386" i="3"/>
  <c r="BA386" i="3"/>
  <c r="BM386" i="3"/>
  <c r="BN386" i="3"/>
  <c r="BO386" i="3"/>
  <c r="BP386" i="3"/>
  <c r="BQ386" i="3"/>
  <c r="BR386" i="3"/>
  <c r="BS386" i="3"/>
  <c r="BT386" i="3"/>
  <c r="BL386" i="3"/>
  <c r="AZ386" i="3" s="1"/>
  <c r="BB387" i="3"/>
  <c r="BC387" i="3"/>
  <c r="BD387" i="3"/>
  <c r="BE387" i="3"/>
  <c r="BF387" i="3"/>
  <c r="BG387" i="3"/>
  <c r="BH387" i="3"/>
  <c r="BI387" i="3"/>
  <c r="BJ387" i="3"/>
  <c r="BK387" i="3"/>
  <c r="BA387" i="3"/>
  <c r="BM387" i="3"/>
  <c r="BN387" i="3"/>
  <c r="BO387" i="3"/>
  <c r="BP387" i="3"/>
  <c r="BQ387" i="3"/>
  <c r="BR387" i="3"/>
  <c r="BS387" i="3"/>
  <c r="BT387" i="3"/>
  <c r="BL387" i="3" s="1"/>
  <c r="AZ387" i="3" s="1"/>
  <c r="BB388" i="3"/>
  <c r="BC388" i="3"/>
  <c r="BD388" i="3"/>
  <c r="BE388" i="3"/>
  <c r="BF388" i="3"/>
  <c r="BG388" i="3"/>
  <c r="BH388" i="3"/>
  <c r="BI388" i="3"/>
  <c r="BJ388" i="3"/>
  <c r="BK388" i="3"/>
  <c r="BA388" i="3"/>
  <c r="BM388" i="3"/>
  <c r="BN388" i="3"/>
  <c r="BO388" i="3"/>
  <c r="BP388" i="3"/>
  <c r="BQ388" i="3"/>
  <c r="BR388" i="3"/>
  <c r="BL388" i="3" s="1"/>
  <c r="AZ388" i="3" s="1"/>
  <c r="BS388" i="3"/>
  <c r="BT388" i="3"/>
  <c r="BB389" i="3"/>
  <c r="BC389" i="3"/>
  <c r="BD389" i="3"/>
  <c r="BE389" i="3"/>
  <c r="BF389" i="3"/>
  <c r="BG389" i="3"/>
  <c r="BH389" i="3"/>
  <c r="BI389" i="3"/>
  <c r="BJ389" i="3"/>
  <c r="BK389" i="3"/>
  <c r="BA389" i="3"/>
  <c r="BM389" i="3"/>
  <c r="BN389" i="3"/>
  <c r="BO389" i="3"/>
  <c r="BP389" i="3"/>
  <c r="BQ389" i="3"/>
  <c r="BR389" i="3"/>
  <c r="BS389" i="3"/>
  <c r="BT389" i="3"/>
  <c r="BL389" i="3"/>
  <c r="AZ389" i="3" s="1"/>
  <c r="BB390" i="3"/>
  <c r="BC390" i="3"/>
  <c r="BD390" i="3"/>
  <c r="BE390" i="3"/>
  <c r="BF390" i="3"/>
  <c r="BG390" i="3"/>
  <c r="BH390" i="3"/>
  <c r="BI390" i="3"/>
  <c r="BJ390" i="3"/>
  <c r="BK390" i="3"/>
  <c r="BA390" i="3"/>
  <c r="BM390" i="3"/>
  <c r="BN390" i="3"/>
  <c r="BO390" i="3"/>
  <c r="BP390" i="3"/>
  <c r="BQ390" i="3"/>
  <c r="BR390" i="3"/>
  <c r="BS390" i="3"/>
  <c r="BT390" i="3"/>
  <c r="BL390" i="3"/>
  <c r="AZ390" i="3" s="1"/>
  <c r="BB391" i="3"/>
  <c r="BC391" i="3"/>
  <c r="BD391" i="3"/>
  <c r="BE391" i="3"/>
  <c r="BF391" i="3"/>
  <c r="BG391" i="3"/>
  <c r="BH391" i="3"/>
  <c r="BI391" i="3"/>
  <c r="BJ391" i="3"/>
  <c r="BK391" i="3"/>
  <c r="BA391" i="3"/>
  <c r="BM391" i="3"/>
  <c r="BN391" i="3"/>
  <c r="BO391" i="3"/>
  <c r="BP391" i="3"/>
  <c r="BQ391" i="3"/>
  <c r="BR391" i="3"/>
  <c r="BL391" i="3" s="1"/>
  <c r="AZ391" i="3" s="1"/>
  <c r="BS391" i="3"/>
  <c r="BT391" i="3"/>
  <c r="BB392" i="3"/>
  <c r="BC392" i="3"/>
  <c r="BD392" i="3"/>
  <c r="BE392" i="3"/>
  <c r="BF392" i="3"/>
  <c r="BG392" i="3"/>
  <c r="BH392" i="3"/>
  <c r="BI392" i="3"/>
  <c r="BJ392" i="3"/>
  <c r="BK392" i="3"/>
  <c r="BA392" i="3"/>
  <c r="BM392" i="3"/>
  <c r="BN392" i="3"/>
  <c r="BO392" i="3"/>
  <c r="BP392" i="3"/>
  <c r="BQ392" i="3"/>
  <c r="BR392" i="3"/>
  <c r="BS392" i="3"/>
  <c r="BT392" i="3"/>
  <c r="BL392" i="3" s="1"/>
  <c r="AZ392" i="3" s="1"/>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L395" i="3" s="1"/>
  <c r="AZ395" i="3" s="1"/>
  <c r="BS395" i="3"/>
  <c r="BT395" i="3"/>
  <c r="BB396" i="3"/>
  <c r="BC396" i="3"/>
  <c r="BD396" i="3"/>
  <c r="BE396" i="3"/>
  <c r="BF396" i="3"/>
  <c r="BG396" i="3"/>
  <c r="BH396" i="3"/>
  <c r="BI396" i="3"/>
  <c r="BJ396" i="3"/>
  <c r="BK396" i="3"/>
  <c r="BA396" i="3" s="1"/>
  <c r="AZ396" i="3" s="1"/>
  <c r="BM396" i="3"/>
  <c r="BN396" i="3"/>
  <c r="BO396" i="3"/>
  <c r="BP396" i="3"/>
  <c r="BQ396" i="3"/>
  <c r="BR396" i="3"/>
  <c r="BS396" i="3"/>
  <c r="BT396" i="3"/>
  <c r="BL396" i="3"/>
  <c r="BB397" i="3"/>
  <c r="BC397" i="3"/>
  <c r="BD397" i="3"/>
  <c r="BE397" i="3"/>
  <c r="BF397" i="3"/>
  <c r="BG397" i="3"/>
  <c r="BH397" i="3"/>
  <c r="BI397" i="3"/>
  <c r="BJ397" i="3"/>
  <c r="BK397" i="3"/>
  <c r="BA397" i="3"/>
  <c r="BM397" i="3"/>
  <c r="BN397" i="3"/>
  <c r="BO397" i="3"/>
  <c r="BP397" i="3"/>
  <c r="BQ397" i="3"/>
  <c r="BR397" i="3"/>
  <c r="BS397" i="3"/>
  <c r="BT397" i="3"/>
  <c r="BL397" i="3" s="1"/>
  <c r="AZ397" i="3" s="1"/>
  <c r="BB398" i="3"/>
  <c r="BC398" i="3"/>
  <c r="BD398" i="3"/>
  <c r="BE398" i="3"/>
  <c r="BF398" i="3"/>
  <c r="BG398" i="3"/>
  <c r="BH398" i="3"/>
  <c r="BI398" i="3"/>
  <c r="BJ398" i="3"/>
  <c r="BK398" i="3"/>
  <c r="BA398" i="3"/>
  <c r="BM398" i="3"/>
  <c r="BN398" i="3"/>
  <c r="BO398" i="3"/>
  <c r="BP398" i="3"/>
  <c r="BQ398" i="3"/>
  <c r="BR398" i="3"/>
  <c r="BS398" i="3"/>
  <c r="BT398" i="3"/>
  <c r="BL398" i="3" s="1"/>
  <c r="AZ398" i="3" s="1"/>
  <c r="BB399" i="3"/>
  <c r="BC399" i="3"/>
  <c r="BD399" i="3"/>
  <c r="BE399" i="3"/>
  <c r="BF399" i="3"/>
  <c r="BG399" i="3"/>
  <c r="BH399" i="3"/>
  <c r="BI399" i="3"/>
  <c r="BJ399" i="3"/>
  <c r="BK399" i="3"/>
  <c r="BA399" i="3"/>
  <c r="BM399" i="3"/>
  <c r="BN399" i="3"/>
  <c r="BO399" i="3"/>
  <c r="BP399" i="3"/>
  <c r="BQ399" i="3"/>
  <c r="BR399" i="3"/>
  <c r="BS399" i="3"/>
  <c r="BT399" i="3"/>
  <c r="BL399" i="3" s="1"/>
  <c r="AZ399" i="3" s="1"/>
  <c r="BB400" i="3"/>
  <c r="BC400" i="3"/>
  <c r="BD400" i="3"/>
  <c r="BE400" i="3"/>
  <c r="BF400" i="3"/>
  <c r="BG400" i="3"/>
  <c r="BH400" i="3"/>
  <c r="BI400" i="3"/>
  <c r="BJ400" i="3"/>
  <c r="BK400" i="3"/>
  <c r="BA400" i="3"/>
  <c r="BM400" i="3"/>
  <c r="BN400" i="3"/>
  <c r="BO400" i="3"/>
  <c r="BP400" i="3"/>
  <c r="BQ400" i="3"/>
  <c r="BR400" i="3"/>
  <c r="BL400" i="3" s="1"/>
  <c r="AZ400" i="3" s="1"/>
  <c r="BS400" i="3"/>
  <c r="BT400" i="3"/>
  <c r="BB401" i="3"/>
  <c r="BC401" i="3"/>
  <c r="BD401" i="3"/>
  <c r="BE401" i="3"/>
  <c r="BF401" i="3"/>
  <c r="BG401" i="3"/>
  <c r="BH401" i="3"/>
  <c r="BI401" i="3"/>
  <c r="BJ401" i="3"/>
  <c r="BK401" i="3"/>
  <c r="BA401" i="3"/>
  <c r="BM401" i="3"/>
  <c r="BN401" i="3"/>
  <c r="BO401" i="3"/>
  <c r="BP401" i="3"/>
  <c r="BQ401" i="3"/>
  <c r="BR401" i="3"/>
  <c r="BS401" i="3"/>
  <c r="BT401" i="3"/>
  <c r="BL401" i="3" s="1"/>
  <c r="AZ401" i="3" s="1"/>
  <c r="BB402" i="3"/>
  <c r="BC402" i="3"/>
  <c r="BD402" i="3"/>
  <c r="BE402" i="3"/>
  <c r="BF402" i="3"/>
  <c r="BG402" i="3"/>
  <c r="BH402" i="3"/>
  <c r="BI402" i="3"/>
  <c r="BJ402" i="3"/>
  <c r="BK402" i="3"/>
  <c r="BA402" i="3" s="1"/>
  <c r="AZ402" i="3" s="1"/>
  <c r="BM402" i="3"/>
  <c r="BN402" i="3"/>
  <c r="BO402" i="3"/>
  <c r="BP402" i="3"/>
  <c r="BQ402" i="3"/>
  <c r="BR402" i="3"/>
  <c r="BS402" i="3"/>
  <c r="BT402" i="3"/>
  <c r="BL402" i="3"/>
  <c r="BB403" i="3"/>
  <c r="BC403" i="3"/>
  <c r="BD403" i="3"/>
  <c r="BE403" i="3"/>
  <c r="BF403" i="3"/>
  <c r="BG403" i="3"/>
  <c r="BH403" i="3"/>
  <c r="BI403" i="3"/>
  <c r="BJ403" i="3"/>
  <c r="BK403" i="3"/>
  <c r="BA403" i="3"/>
  <c r="BM403" i="3"/>
  <c r="BN403" i="3"/>
  <c r="BO403" i="3"/>
  <c r="BP403" i="3"/>
  <c r="BQ403" i="3"/>
  <c r="BR403" i="3"/>
  <c r="BS403" i="3"/>
  <c r="BT403" i="3"/>
  <c r="BL403" i="3" s="1"/>
  <c r="AZ403" i="3" s="1"/>
  <c r="BB404" i="3"/>
  <c r="BC404" i="3"/>
  <c r="BD404" i="3"/>
  <c r="BE404" i="3"/>
  <c r="BF404" i="3"/>
  <c r="BG404" i="3"/>
  <c r="BH404" i="3"/>
  <c r="BI404" i="3"/>
  <c r="BJ404" i="3"/>
  <c r="BK404" i="3"/>
  <c r="BA404" i="3"/>
  <c r="BM404" i="3"/>
  <c r="BN404" i="3"/>
  <c r="BO404" i="3"/>
  <c r="BP404" i="3"/>
  <c r="BQ404" i="3"/>
  <c r="BR404" i="3"/>
  <c r="BS404" i="3"/>
  <c r="BT404" i="3"/>
  <c r="BL404" i="3" s="1"/>
  <c r="AZ404" i="3" s="1"/>
  <c r="BB405" i="3"/>
  <c r="BC405" i="3"/>
  <c r="BD405" i="3"/>
  <c r="BE405" i="3"/>
  <c r="BF405" i="3"/>
  <c r="BG405" i="3"/>
  <c r="BH405" i="3"/>
  <c r="BI405" i="3"/>
  <c r="BJ405" i="3"/>
  <c r="BK405" i="3"/>
  <c r="BA405" i="3"/>
  <c r="BM405" i="3"/>
  <c r="BN405" i="3"/>
  <c r="BO405" i="3"/>
  <c r="BP405" i="3"/>
  <c r="BQ405" i="3"/>
  <c r="BR405" i="3"/>
  <c r="BS405" i="3"/>
  <c r="BT405" i="3"/>
  <c r="BL405" i="3" s="1"/>
  <c r="AZ405" i="3" s="1"/>
  <c r="BB406" i="3"/>
  <c r="BC406" i="3"/>
  <c r="BD406" i="3"/>
  <c r="BE406" i="3"/>
  <c r="BF406" i="3"/>
  <c r="BG406" i="3"/>
  <c r="BH406" i="3"/>
  <c r="BI406" i="3"/>
  <c r="BJ406" i="3"/>
  <c r="BK406" i="3"/>
  <c r="BA406" i="3"/>
  <c r="BM406" i="3"/>
  <c r="BN406" i="3"/>
  <c r="BO406" i="3"/>
  <c r="BP406" i="3"/>
  <c r="BQ406" i="3"/>
  <c r="BR406" i="3"/>
  <c r="BS406" i="3"/>
  <c r="BT406" i="3"/>
  <c r="BL406" i="3" s="1"/>
  <c r="AZ406" i="3" s="1"/>
  <c r="BB407" i="3"/>
  <c r="BC407" i="3"/>
  <c r="BD407" i="3"/>
  <c r="BE407" i="3"/>
  <c r="BF407" i="3"/>
  <c r="BG407" i="3"/>
  <c r="BH407" i="3"/>
  <c r="BI407" i="3"/>
  <c r="BJ407" i="3"/>
  <c r="BK407" i="3"/>
  <c r="BA407" i="3"/>
  <c r="BM407" i="3"/>
  <c r="BN407" i="3"/>
  <c r="BO407" i="3"/>
  <c r="BP407" i="3"/>
  <c r="BQ407" i="3"/>
  <c r="BR407" i="3"/>
  <c r="BS407" i="3"/>
  <c r="BT407" i="3"/>
  <c r="BL407" i="3" s="1"/>
  <c r="AZ407" i="3" s="1"/>
  <c r="BB408" i="3"/>
  <c r="BC408" i="3"/>
  <c r="BD408" i="3"/>
  <c r="BE408" i="3"/>
  <c r="BF408" i="3"/>
  <c r="BG408" i="3"/>
  <c r="BH408" i="3"/>
  <c r="BI408" i="3"/>
  <c r="BJ408" i="3"/>
  <c r="BK408" i="3"/>
  <c r="BA408" i="3"/>
  <c r="BM408" i="3"/>
  <c r="BN408" i="3"/>
  <c r="BO408" i="3"/>
  <c r="BP408" i="3"/>
  <c r="BQ408" i="3"/>
  <c r="BR408" i="3"/>
  <c r="BS408" i="3"/>
  <c r="BT408" i="3"/>
  <c r="BL408" i="3" s="1"/>
  <c r="AZ408" i="3" s="1"/>
  <c r="BB409" i="3"/>
  <c r="BC409" i="3"/>
  <c r="BD409" i="3"/>
  <c r="BE409" i="3"/>
  <c r="BF409" i="3"/>
  <c r="BG409" i="3"/>
  <c r="BH409" i="3"/>
  <c r="BI409" i="3"/>
  <c r="BJ409" i="3"/>
  <c r="BK409" i="3"/>
  <c r="BA409" i="3"/>
  <c r="BM409" i="3"/>
  <c r="BN409" i="3"/>
  <c r="BO409" i="3"/>
  <c r="BP409" i="3"/>
  <c r="BL409" i="3" s="1"/>
  <c r="AZ409" i="3" s="1"/>
  <c r="BQ409" i="3"/>
  <c r="BR409" i="3"/>
  <c r="BS409" i="3"/>
  <c r="BT409" i="3"/>
  <c r="BB410" i="3"/>
  <c r="BC410" i="3"/>
  <c r="BD410" i="3"/>
  <c r="BE410" i="3"/>
  <c r="BF410" i="3"/>
  <c r="BG410" i="3"/>
  <c r="BH410" i="3"/>
  <c r="BI410" i="3"/>
  <c r="BJ410" i="3"/>
  <c r="BK410" i="3"/>
  <c r="BA410" i="3" s="1"/>
  <c r="AZ410" i="3" s="1"/>
  <c r="BM410" i="3"/>
  <c r="BN410" i="3"/>
  <c r="BO410" i="3"/>
  <c r="BP410" i="3"/>
  <c r="BQ410" i="3"/>
  <c r="BR410" i="3"/>
  <c r="BS410" i="3"/>
  <c r="BT410" i="3"/>
  <c r="BL410" i="3"/>
  <c r="BB411" i="3"/>
  <c r="BC411" i="3"/>
  <c r="BD411" i="3"/>
  <c r="BE411" i="3"/>
  <c r="BF411" i="3"/>
  <c r="BG411" i="3"/>
  <c r="BH411" i="3"/>
  <c r="BI411" i="3"/>
  <c r="BJ411" i="3"/>
  <c r="BK411" i="3"/>
  <c r="BA411" i="3"/>
  <c r="BM411" i="3"/>
  <c r="BN411" i="3"/>
  <c r="BO411" i="3"/>
  <c r="BP411" i="3"/>
  <c r="BL411" i="3" s="1"/>
  <c r="AZ411" i="3" s="1"/>
  <c r="BQ411" i="3"/>
  <c r="BR411" i="3"/>
  <c r="BS411" i="3"/>
  <c r="BT411" i="3"/>
  <c r="BB412" i="3"/>
  <c r="BC412" i="3"/>
  <c r="BD412" i="3"/>
  <c r="BE412" i="3"/>
  <c r="BF412" i="3"/>
  <c r="BG412" i="3"/>
  <c r="BH412" i="3"/>
  <c r="BI412" i="3"/>
  <c r="BJ412" i="3"/>
  <c r="BK412" i="3"/>
  <c r="BA412" i="3" s="1"/>
  <c r="AZ412" i="3" s="1"/>
  <c r="BM412" i="3"/>
  <c r="BN412" i="3"/>
  <c r="BO412" i="3"/>
  <c r="BP412" i="3"/>
  <c r="BQ412" i="3"/>
  <c r="BR412" i="3"/>
  <c r="BS412" i="3"/>
  <c r="BT412" i="3"/>
  <c r="BL412" i="3"/>
  <c r="BB413" i="3"/>
  <c r="BC413" i="3"/>
  <c r="BD413" i="3"/>
  <c r="BE413" i="3"/>
  <c r="BF413" i="3"/>
  <c r="BG413" i="3"/>
  <c r="BH413" i="3"/>
  <c r="BI413" i="3"/>
  <c r="BJ413" i="3"/>
  <c r="BK413" i="3"/>
  <c r="BA413" i="3"/>
  <c r="BM413" i="3"/>
  <c r="BN413" i="3"/>
  <c r="BO413" i="3"/>
  <c r="BP413" i="3"/>
  <c r="BQ413" i="3"/>
  <c r="BR413" i="3"/>
  <c r="BS413" i="3"/>
  <c r="BT413" i="3"/>
  <c r="BL413" i="3" s="1"/>
  <c r="AZ413" i="3" s="1"/>
  <c r="BB414" i="3"/>
  <c r="BC414" i="3"/>
  <c r="BD414" i="3"/>
  <c r="BE414" i="3"/>
  <c r="BF414" i="3"/>
  <c r="BG414" i="3"/>
  <c r="BH414" i="3"/>
  <c r="BI414" i="3"/>
  <c r="BJ414" i="3"/>
  <c r="BK414" i="3"/>
  <c r="BA414" i="3"/>
  <c r="BM414" i="3"/>
  <c r="BN414" i="3"/>
  <c r="BO414" i="3"/>
  <c r="BP414" i="3"/>
  <c r="BL414" i="3" s="1"/>
  <c r="AZ414" i="3" s="1"/>
  <c r="BQ414" i="3"/>
  <c r="BR414" i="3"/>
  <c r="BS414" i="3"/>
  <c r="BT414" i="3"/>
  <c r="BB415" i="3"/>
  <c r="BC415" i="3"/>
  <c r="BD415" i="3"/>
  <c r="BE415" i="3"/>
  <c r="BF415" i="3"/>
  <c r="BG415" i="3"/>
  <c r="BH415" i="3"/>
  <c r="BI415" i="3"/>
  <c r="BA415" i="3" s="1"/>
  <c r="AZ415" i="3" s="1"/>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O416" i="3"/>
  <c r="BP416" i="3"/>
  <c r="BQ416" i="3"/>
  <c r="BR416" i="3"/>
  <c r="BL416" i="3" s="1"/>
  <c r="AZ416" i="3" s="1"/>
  <c r="BS416" i="3"/>
  <c r="BT416" i="3"/>
  <c r="BB417" i="3"/>
  <c r="BC417" i="3"/>
  <c r="BD417" i="3"/>
  <c r="BE417" i="3"/>
  <c r="BF417" i="3"/>
  <c r="BG417" i="3"/>
  <c r="BH417" i="3"/>
  <c r="BI417" i="3"/>
  <c r="BJ417" i="3"/>
  <c r="BK417" i="3"/>
  <c r="BA417" i="3"/>
  <c r="BM417" i="3"/>
  <c r="BN417" i="3"/>
  <c r="BO417" i="3"/>
  <c r="BP417" i="3"/>
  <c r="BQ417" i="3"/>
  <c r="BR417" i="3"/>
  <c r="BL417" i="3" s="1"/>
  <c r="AZ417" i="3" s="1"/>
  <c r="BS417" i="3"/>
  <c r="BT417" i="3"/>
  <c r="BB418" i="3"/>
  <c r="BC418" i="3"/>
  <c r="BD418" i="3"/>
  <c r="BE418" i="3"/>
  <c r="BF418" i="3"/>
  <c r="BG418" i="3"/>
  <c r="BH418" i="3"/>
  <c r="BI418" i="3"/>
  <c r="BJ418" i="3"/>
  <c r="BK418" i="3"/>
  <c r="BA418" i="3" s="1"/>
  <c r="AZ418" i="3" s="1"/>
  <c r="BM418" i="3"/>
  <c r="BN418" i="3"/>
  <c r="BO418" i="3"/>
  <c r="BP418" i="3"/>
  <c r="BQ418" i="3"/>
  <c r="BR418" i="3"/>
  <c r="BS418" i="3"/>
  <c r="BT418" i="3"/>
  <c r="BL418" i="3"/>
  <c r="BB419" i="3"/>
  <c r="BC419" i="3"/>
  <c r="BD419" i="3"/>
  <c r="BE419" i="3"/>
  <c r="BF419" i="3"/>
  <c r="BG419" i="3"/>
  <c r="BH419" i="3"/>
  <c r="BI419" i="3"/>
  <c r="BJ419" i="3"/>
  <c r="BK419" i="3"/>
  <c r="BA419" i="3"/>
  <c r="BM419" i="3"/>
  <c r="BN419" i="3"/>
  <c r="BO419" i="3"/>
  <c r="BP419" i="3"/>
  <c r="BQ419" i="3"/>
  <c r="BR419" i="3"/>
  <c r="BL419" i="3" s="1"/>
  <c r="AZ419" i="3" s="1"/>
  <c r="BS419" i="3"/>
  <c r="BT419" i="3"/>
  <c r="BB420" i="3"/>
  <c r="BC420" i="3"/>
  <c r="BD420" i="3"/>
  <c r="BE420" i="3"/>
  <c r="BF420" i="3"/>
  <c r="BG420" i="3"/>
  <c r="BH420" i="3"/>
  <c r="BI420" i="3"/>
  <c r="BJ420" i="3"/>
  <c r="BK420" i="3"/>
  <c r="BA420" i="3" s="1"/>
  <c r="AZ420" i="3" s="1"/>
  <c r="BM420" i="3"/>
  <c r="BN420" i="3"/>
  <c r="BO420" i="3"/>
  <c r="BP420" i="3"/>
  <c r="BQ420" i="3"/>
  <c r="BR420" i="3"/>
  <c r="BS420" i="3"/>
  <c r="BT420" i="3"/>
  <c r="BL420" i="3"/>
  <c r="BB421" i="3"/>
  <c r="BC421" i="3"/>
  <c r="BD421" i="3"/>
  <c r="BE421" i="3"/>
  <c r="BF421" i="3"/>
  <c r="BG421" i="3"/>
  <c r="BH421" i="3"/>
  <c r="BI421" i="3"/>
  <c r="BJ421" i="3"/>
  <c r="BK421" i="3"/>
  <c r="BA421" i="3"/>
  <c r="BM421" i="3"/>
  <c r="BN421" i="3"/>
  <c r="BO421" i="3"/>
  <c r="BP421" i="3"/>
  <c r="BQ421" i="3"/>
  <c r="BR421" i="3"/>
  <c r="BS421" i="3"/>
  <c r="BT421" i="3"/>
  <c r="BL421" i="3" s="1"/>
  <c r="AZ421" i="3" s="1"/>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L423" i="3" s="1"/>
  <c r="AZ423" i="3" s="1"/>
  <c r="BS423" i="3"/>
  <c r="BT423" i="3"/>
  <c r="BB424" i="3"/>
  <c r="BC424" i="3"/>
  <c r="BD424" i="3"/>
  <c r="BE424" i="3"/>
  <c r="BF424" i="3"/>
  <c r="BG424" i="3"/>
  <c r="BH424" i="3"/>
  <c r="BI424" i="3"/>
  <c r="BJ424" i="3"/>
  <c r="BK424" i="3"/>
  <c r="BA424" i="3"/>
  <c r="BM424" i="3"/>
  <c r="BN424" i="3"/>
  <c r="BO424" i="3"/>
  <c r="BP424" i="3"/>
  <c r="BQ424" i="3"/>
  <c r="BR424" i="3"/>
  <c r="BL424" i="3" s="1"/>
  <c r="AZ424" i="3" s="1"/>
  <c r="BS424" i="3"/>
  <c r="BT424" i="3"/>
  <c r="BB425" i="3"/>
  <c r="BC425" i="3"/>
  <c r="BD425" i="3"/>
  <c r="BE425" i="3"/>
  <c r="BF425" i="3"/>
  <c r="BG425" i="3"/>
  <c r="BH425" i="3"/>
  <c r="BI425" i="3"/>
  <c r="BJ425" i="3"/>
  <c r="BK425" i="3"/>
  <c r="BA425" i="3"/>
  <c r="BM425" i="3"/>
  <c r="BN425" i="3"/>
  <c r="BO425" i="3"/>
  <c r="BP425" i="3"/>
  <c r="BQ425" i="3"/>
  <c r="BR425" i="3"/>
  <c r="BS425" i="3"/>
  <c r="BT425" i="3"/>
  <c r="BL425" i="3" s="1"/>
  <c r="AZ425" i="3" s="1"/>
  <c r="BB426" i="3"/>
  <c r="BC426" i="3"/>
  <c r="BD426" i="3"/>
  <c r="BE426" i="3"/>
  <c r="BF426" i="3"/>
  <c r="BG426" i="3"/>
  <c r="BH426" i="3"/>
  <c r="BI426" i="3"/>
  <c r="BJ426" i="3"/>
  <c r="BK426" i="3"/>
  <c r="BA426" i="3"/>
  <c r="BM426" i="3"/>
  <c r="BN426" i="3"/>
  <c r="BO426" i="3"/>
  <c r="BP426" i="3"/>
  <c r="BQ426" i="3"/>
  <c r="BR426" i="3"/>
  <c r="BS426" i="3"/>
  <c r="BT426" i="3"/>
  <c r="BL426" i="3" s="1"/>
  <c r="AZ426" i="3" s="1"/>
  <c r="BB427" i="3"/>
  <c r="BC427" i="3"/>
  <c r="BD427" i="3"/>
  <c r="BE427" i="3"/>
  <c r="BF427" i="3"/>
  <c r="BG427" i="3"/>
  <c r="BH427" i="3"/>
  <c r="BI427" i="3"/>
  <c r="BJ427" i="3"/>
  <c r="BK427" i="3"/>
  <c r="BA427" i="3"/>
  <c r="BM427" i="3"/>
  <c r="BN427" i="3"/>
  <c r="BO427" i="3"/>
  <c r="BP427" i="3"/>
  <c r="BQ427" i="3"/>
  <c r="BR427" i="3"/>
  <c r="BL427" i="3" s="1"/>
  <c r="AZ427" i="3" s="1"/>
  <c r="BS427" i="3"/>
  <c r="BT427" i="3"/>
  <c r="BB428" i="3"/>
  <c r="BC428" i="3"/>
  <c r="BD428" i="3"/>
  <c r="BE428" i="3"/>
  <c r="BF428" i="3"/>
  <c r="BG428" i="3"/>
  <c r="BH428" i="3"/>
  <c r="BI428" i="3"/>
  <c r="BJ428" i="3"/>
  <c r="BK428" i="3"/>
  <c r="BA428" i="3"/>
  <c r="BM428" i="3"/>
  <c r="BN428" i="3"/>
  <c r="BO428" i="3"/>
  <c r="BP428" i="3"/>
  <c r="BQ428" i="3"/>
  <c r="BR428" i="3"/>
  <c r="BS428" i="3"/>
  <c r="BT428" i="3"/>
  <c r="BL428" i="3"/>
  <c r="AZ428" i="3" s="1"/>
  <c r="BB429" i="3"/>
  <c r="BC429" i="3"/>
  <c r="BD429" i="3"/>
  <c r="BE429" i="3"/>
  <c r="BF429" i="3"/>
  <c r="BG429" i="3"/>
  <c r="BH429" i="3"/>
  <c r="BI429" i="3"/>
  <c r="BJ429" i="3"/>
  <c r="BK429" i="3"/>
  <c r="BA429" i="3" s="1"/>
  <c r="AZ429" i="3" s="1"/>
  <c r="BM429" i="3"/>
  <c r="BN429" i="3"/>
  <c r="BO429" i="3"/>
  <c r="BP429" i="3"/>
  <c r="BQ429" i="3"/>
  <c r="BR429" i="3"/>
  <c r="BS429" i="3"/>
  <c r="BT429" i="3"/>
  <c r="BL429" i="3"/>
  <c r="BB430" i="3"/>
  <c r="BC430" i="3"/>
  <c r="BD430" i="3"/>
  <c r="BE430" i="3"/>
  <c r="BF430" i="3"/>
  <c r="BG430" i="3"/>
  <c r="BH430" i="3"/>
  <c r="BI430" i="3"/>
  <c r="BJ430" i="3"/>
  <c r="BK430" i="3"/>
  <c r="BA430" i="3"/>
  <c r="BM430" i="3"/>
  <c r="BN430" i="3"/>
  <c r="BO430" i="3"/>
  <c r="BP430" i="3"/>
  <c r="BQ430" i="3"/>
  <c r="BR430" i="3"/>
  <c r="BS430" i="3"/>
  <c r="BT430" i="3"/>
  <c r="BL430" i="3"/>
  <c r="AZ430" i="3" s="1"/>
  <c r="BB431" i="3"/>
  <c r="BC431" i="3"/>
  <c r="BD431" i="3"/>
  <c r="BE431" i="3"/>
  <c r="BF431" i="3"/>
  <c r="BG431" i="3"/>
  <c r="BH431" i="3"/>
  <c r="BI431" i="3"/>
  <c r="BJ431" i="3"/>
  <c r="BK431" i="3"/>
  <c r="BA431" i="3"/>
  <c r="BM431" i="3"/>
  <c r="BN431" i="3"/>
  <c r="BO431" i="3"/>
  <c r="BP431" i="3"/>
  <c r="BQ431" i="3"/>
  <c r="BR431" i="3"/>
  <c r="BS431" i="3"/>
  <c r="BT431" i="3"/>
  <c r="BL431" i="3"/>
  <c r="AZ431" i="3" s="1"/>
  <c r="BB432" i="3"/>
  <c r="BC432" i="3"/>
  <c r="BD432" i="3"/>
  <c r="BE432" i="3"/>
  <c r="BF432" i="3"/>
  <c r="BG432" i="3"/>
  <c r="BH432" i="3"/>
  <c r="BI432" i="3"/>
  <c r="BJ432" i="3"/>
  <c r="BK432" i="3"/>
  <c r="BA432" i="3"/>
  <c r="BM432" i="3"/>
  <c r="BN432" i="3"/>
  <c r="BO432" i="3"/>
  <c r="BP432" i="3"/>
  <c r="BQ432" i="3"/>
  <c r="BR432" i="3"/>
  <c r="BL432" i="3" s="1"/>
  <c r="AZ432" i="3" s="1"/>
  <c r="BS432" i="3"/>
  <c r="BT432" i="3"/>
  <c r="BB433" i="3"/>
  <c r="BC433" i="3"/>
  <c r="BD433" i="3"/>
  <c r="BE433" i="3"/>
  <c r="BF433" i="3"/>
  <c r="BG433" i="3"/>
  <c r="BH433" i="3"/>
  <c r="BI433" i="3"/>
  <c r="BJ433" i="3"/>
  <c r="BK433" i="3"/>
  <c r="BA433" i="3"/>
  <c r="BM433" i="3"/>
  <c r="BN433" i="3"/>
  <c r="BO433" i="3"/>
  <c r="BP433" i="3"/>
  <c r="BQ433" i="3"/>
  <c r="BR433" i="3"/>
  <c r="BS433" i="3"/>
  <c r="BT433" i="3"/>
  <c r="BL433" i="3"/>
  <c r="AZ433" i="3" s="1"/>
  <c r="BB434" i="3"/>
  <c r="BC434" i="3"/>
  <c r="BD434" i="3"/>
  <c r="BE434" i="3"/>
  <c r="BF434" i="3"/>
  <c r="BG434" i="3"/>
  <c r="BH434" i="3"/>
  <c r="BI434" i="3"/>
  <c r="BJ434" i="3"/>
  <c r="BK434" i="3"/>
  <c r="BA434" i="3"/>
  <c r="BM434" i="3"/>
  <c r="BN434" i="3"/>
  <c r="BO434" i="3"/>
  <c r="BP434" i="3"/>
  <c r="BQ434" i="3"/>
  <c r="BR434" i="3"/>
  <c r="BS434" i="3"/>
  <c r="BT434" i="3"/>
  <c r="BL434" i="3" s="1"/>
  <c r="AZ434" i="3" s="1"/>
  <c r="BB435" i="3"/>
  <c r="BC435" i="3"/>
  <c r="BD435" i="3"/>
  <c r="BE435" i="3"/>
  <c r="BF435" i="3"/>
  <c r="BG435" i="3"/>
  <c r="BH435" i="3"/>
  <c r="BI435" i="3"/>
  <c r="BJ435" i="3"/>
  <c r="BK435" i="3"/>
  <c r="BA435" i="3"/>
  <c r="BM435" i="3"/>
  <c r="BN435" i="3"/>
  <c r="BO435" i="3"/>
  <c r="BP435" i="3"/>
  <c r="BQ435" i="3"/>
  <c r="BR435" i="3"/>
  <c r="BS435" i="3"/>
  <c r="BT435" i="3"/>
  <c r="BL435" i="3" s="1"/>
  <c r="AZ435" i="3" s="1"/>
  <c r="BB436" i="3"/>
  <c r="BC436" i="3"/>
  <c r="BD436" i="3"/>
  <c r="BE436" i="3"/>
  <c r="BF436" i="3"/>
  <c r="BG436" i="3"/>
  <c r="BH436" i="3"/>
  <c r="BI436" i="3"/>
  <c r="BJ436" i="3"/>
  <c r="BK436" i="3"/>
  <c r="BA436" i="3"/>
  <c r="BM436" i="3"/>
  <c r="BN436" i="3"/>
  <c r="BO436" i="3"/>
  <c r="BP436" i="3"/>
  <c r="BQ436" i="3"/>
  <c r="BR436" i="3"/>
  <c r="BL436" i="3" s="1"/>
  <c r="AZ436" i="3" s="1"/>
  <c r="BS436" i="3"/>
  <c r="BT436" i="3"/>
  <c r="BB437" i="3"/>
  <c r="BC437" i="3"/>
  <c r="BD437" i="3"/>
  <c r="BE437" i="3"/>
  <c r="BF437" i="3"/>
  <c r="BG437" i="3"/>
  <c r="BH437" i="3"/>
  <c r="BI437" i="3"/>
  <c r="BJ437" i="3"/>
  <c r="BK437" i="3"/>
  <c r="BA437" i="3"/>
  <c r="BM437" i="3"/>
  <c r="BN437" i="3"/>
  <c r="BO437" i="3"/>
  <c r="BP437" i="3"/>
  <c r="BQ437" i="3"/>
  <c r="BR437" i="3"/>
  <c r="BS437" i="3"/>
  <c r="BT437" i="3"/>
  <c r="BL437" i="3" s="1"/>
  <c r="AZ437" i="3" s="1"/>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s="1"/>
  <c r="AZ439" i="3" s="1"/>
  <c r="BB440" i="3"/>
  <c r="BC440" i="3"/>
  <c r="BD440" i="3"/>
  <c r="BE440" i="3"/>
  <c r="BF440" i="3"/>
  <c r="BG440" i="3"/>
  <c r="BH440" i="3"/>
  <c r="BI440" i="3"/>
  <c r="BJ440" i="3"/>
  <c r="BK440" i="3"/>
  <c r="BA440" i="3"/>
  <c r="BM440" i="3"/>
  <c r="BN440" i="3"/>
  <c r="BO440" i="3"/>
  <c r="BP440" i="3"/>
  <c r="BQ440" i="3"/>
  <c r="BR440" i="3"/>
  <c r="BS440" i="3"/>
  <c r="BT440" i="3"/>
  <c r="BL440" i="3" s="1"/>
  <c r="AZ440" i="3" s="1"/>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A512" i="3" s="1"/>
  <c r="AZ512" i="3" s="1"/>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L513" i="3" s="1"/>
  <c r="AZ513" i="3" s="1"/>
  <c r="BO513" i="3"/>
  <c r="BP513" i="3"/>
  <c r="BQ513" i="3"/>
  <c r="BR513" i="3"/>
  <c r="BS513" i="3"/>
  <c r="BT513" i="3"/>
  <c r="BB514" i="3"/>
  <c r="BC514" i="3"/>
  <c r="BA514" i="3" s="1"/>
  <c r="AZ514" i="3" s="1"/>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s="1"/>
  <c r="AZ515" i="3" s="1"/>
  <c r="BO515" i="3"/>
  <c r="BP515" i="3"/>
  <c r="BQ515" i="3"/>
  <c r="BR515" i="3"/>
  <c r="BS515" i="3"/>
  <c r="BT515" i="3"/>
  <c r="BB516" i="3"/>
  <c r="BC516" i="3"/>
  <c r="BA516" i="3" s="1"/>
  <c r="AZ516" i="3" s="1"/>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s="1"/>
  <c r="AZ517" i="3" s="1"/>
  <c r="BO517" i="3"/>
  <c r="BP517" i="3"/>
  <c r="BQ517" i="3"/>
  <c r="BR517" i="3"/>
  <c r="BS517" i="3"/>
  <c r="BT517" i="3"/>
  <c r="BB518" i="3"/>
  <c r="BC518" i="3"/>
  <c r="BA518" i="3" s="1"/>
  <c r="AZ518" i="3" s="1"/>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s="1"/>
  <c r="AZ519" i="3" s="1"/>
  <c r="BO519" i="3"/>
  <c r="BP519" i="3"/>
  <c r="BQ519" i="3"/>
  <c r="BR519" i="3"/>
  <c r="BS519" i="3"/>
  <c r="BT519" i="3"/>
  <c r="BB520" i="3"/>
  <c r="BC520" i="3"/>
  <c r="BA520" i="3" s="1"/>
  <c r="AZ520" i="3" s="1"/>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s="1"/>
  <c r="AZ521" i="3" s="1"/>
  <c r="BO521" i="3"/>
  <c r="BP521" i="3"/>
  <c r="BQ521" i="3"/>
  <c r="BR521" i="3"/>
  <c r="BS521" i="3"/>
  <c r="BT521" i="3"/>
  <c r="BB522" i="3"/>
  <c r="BC522" i="3"/>
  <c r="BA522" i="3" s="1"/>
  <c r="AZ522" i="3" s="1"/>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s="1"/>
  <c r="AZ523" i="3" s="1"/>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s="1"/>
  <c r="AZ527" i="3" s="1"/>
  <c r="BO527" i="3"/>
  <c r="BP527" i="3"/>
  <c r="BQ527" i="3"/>
  <c r="BR527" i="3"/>
  <c r="BS527" i="3"/>
  <c r="BT527" i="3"/>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s="1"/>
  <c r="AZ529" i="3" s="1"/>
  <c r="BO529" i="3"/>
  <c r="BP529" i="3"/>
  <c r="BQ529" i="3"/>
  <c r="BR529" i="3"/>
  <c r="BS529" i="3"/>
  <c r="BT529" i="3"/>
  <c r="BB530" i="3"/>
  <c r="BC530" i="3"/>
  <c r="BA530" i="3" s="1"/>
  <c r="AZ530" i="3" s="1"/>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B5" i="3" s="1"/>
  <c r="F19" i="6" s="1"/>
  <c r="BC587" i="3"/>
  <c r="BD587" i="3"/>
  <c r="BE587" i="3"/>
  <c r="BF587" i="3"/>
  <c r="BG587" i="3"/>
  <c r="BH587" i="3"/>
  <c r="BI587" i="3"/>
  <c r="BJ587" i="3"/>
  <c r="BK587" i="3"/>
  <c r="BA587" i="3"/>
  <c r="BM587" i="3"/>
  <c r="BN587" i="3"/>
  <c r="BL587" i="3" s="1"/>
  <c r="AZ587" i="3" s="1"/>
  <c r="BO587" i="3"/>
  <c r="BP587" i="3"/>
  <c r="BQ587" i="3"/>
  <c r="BR587" i="3"/>
  <c r="BS587" i="3"/>
  <c r="BT587" i="3"/>
  <c r="L13" i="78"/>
  <c r="L11" i="78"/>
  <c r="L10" i="78"/>
  <c r="L9" i="78"/>
  <c r="L8" i="78"/>
  <c r="L7" i="78"/>
  <c r="L6" i="78"/>
  <c r="L5" i="78"/>
  <c r="L4" i="78"/>
  <c r="L3" i="78"/>
  <c r="D114" i="40"/>
  <c r="E114" i="40"/>
  <c r="F114" i="40"/>
  <c r="G114" i="40"/>
  <c r="C114" i="40"/>
  <c r="D112" i="40"/>
  <c r="E112" i="40"/>
  <c r="F112" i="40"/>
  <c r="G112" i="40"/>
  <c r="C112" i="40"/>
  <c r="D109" i="40"/>
  <c r="E109" i="40"/>
  <c r="F109" i="40" s="1"/>
  <c r="G109" i="40" s="1"/>
  <c r="D66" i="40"/>
  <c r="E66" i="40"/>
  <c r="F66" i="40" s="1"/>
  <c r="G66" i="40" s="1"/>
  <c r="H66" i="40" s="1"/>
  <c r="I66" i="40" s="1"/>
  <c r="J66" i="40" s="1"/>
  <c r="K66" i="40" s="1"/>
  <c r="L66" i="40" s="1"/>
  <c r="M66" i="40" s="1"/>
  <c r="N66" i="40" s="1"/>
  <c r="O66" i="40" s="1"/>
  <c r="J52" i="15"/>
  <c r="F70" i="15"/>
  <c r="F52" i="15"/>
  <c r="E24" i="78"/>
  <c r="E13" i="78"/>
  <c r="N15" i="77"/>
  <c r="N14" i="77"/>
  <c r="N13" i="77"/>
  <c r="N12" i="77"/>
  <c r="N11" i="77"/>
  <c r="N9" i="77"/>
  <c r="N8" i="77"/>
  <c r="O11" i="77"/>
  <c r="O8" i="77"/>
  <c r="L9" i="77"/>
  <c r="L8" i="77"/>
  <c r="F10" i="79"/>
  <c r="F9" i="79"/>
  <c r="B16" i="79"/>
  <c r="C5" i="79"/>
  <c r="D5" i="79"/>
  <c r="D4" i="79"/>
  <c r="C3" i="79"/>
  <c r="D3" i="79" s="1"/>
  <c r="F25" i="78"/>
  <c r="C25" i="78"/>
  <c r="M23" i="78"/>
  <c r="M22" i="78"/>
  <c r="M21" i="78"/>
  <c r="M20" i="78"/>
  <c r="M19" i="78"/>
  <c r="M18" i="78"/>
  <c r="M17" i="78"/>
  <c r="M16" i="78"/>
  <c r="M15" i="78"/>
  <c r="M14" i="78"/>
  <c r="F14" i="78"/>
  <c r="F28" i="78" s="1"/>
  <c r="C14" i="78"/>
  <c r="M12" i="78"/>
  <c r="C12" i="78"/>
  <c r="C29" i="78" s="1"/>
  <c r="R30" i="78" s="1"/>
  <c r="G6" i="77"/>
  <c r="L15" i="77"/>
  <c r="L14" i="77"/>
  <c r="L13" i="77"/>
  <c r="L12" i="77"/>
  <c r="L11" i="77"/>
  <c r="M11" i="77" s="1"/>
  <c r="I16" i="77"/>
  <c r="H16" i="77"/>
  <c r="G15" i="77"/>
  <c r="G14" i="77"/>
  <c r="G13" i="77"/>
  <c r="G12" i="77"/>
  <c r="G11" i="77"/>
  <c r="G16" i="77" s="1"/>
  <c r="I10" i="77"/>
  <c r="H10" i="77"/>
  <c r="G10" i="77"/>
  <c r="M8" i="77"/>
  <c r="I7" i="77"/>
  <c r="H7" i="77"/>
  <c r="H17" i="77"/>
  <c r="G5" i="77"/>
  <c r="G4" i="77"/>
  <c r="G7" i="77" s="1"/>
  <c r="B7" i="4"/>
  <c r="C11" i="4"/>
  <c r="I17" i="77"/>
  <c r="M25" i="78"/>
  <c r="D25" i="78"/>
  <c r="C28" i="78"/>
  <c r="E10" i="78"/>
  <c r="E8" i="78"/>
  <c r="E6" i="78"/>
  <c r="E4" i="78"/>
  <c r="E7" i="78"/>
  <c r="E5" i="78"/>
  <c r="E9" i="78"/>
  <c r="E3" i="78"/>
  <c r="B13" i="79"/>
  <c r="C13" i="79"/>
  <c r="C16" i="79"/>
  <c r="M28" i="78"/>
  <c r="L3" i="71"/>
  <c r="K3" i="71"/>
  <c r="I3" i="71"/>
  <c r="E12" i="78"/>
  <c r="E11" i="78" s="1"/>
  <c r="J3" i="71"/>
  <c r="AD5" i="71"/>
  <c r="AG5" i="71"/>
  <c r="AH5" i="71"/>
  <c r="AE5" i="71"/>
  <c r="AF5" i="71" s="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7" i="71"/>
  <c r="P7" i="71"/>
  <c r="O7" i="71"/>
  <c r="N7"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8" i="71"/>
  <c r="P8" i="71"/>
  <c r="Q8" i="71"/>
  <c r="N8" i="71"/>
  <c r="AE3" i="71"/>
  <c r="AF3" i="71"/>
  <c r="AG3" i="71"/>
  <c r="AH3" i="71"/>
  <c r="AD6" i="71"/>
  <c r="AE6" i="71"/>
  <c r="AF6" i="71" s="1"/>
  <c r="AG6" i="71"/>
  <c r="AH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H20" i="71"/>
  <c r="AG20" i="71"/>
  <c r="AE20" i="71"/>
  <c r="AF20" i="71"/>
  <c r="AD20" i="71"/>
  <c r="AD21" i="71"/>
  <c r="AE21" i="71"/>
  <c r="AF21" i="71"/>
  <c r="AG21" i="71"/>
  <c r="AH21" i="71"/>
  <c r="S2" i="31"/>
  <c r="M2" i="31"/>
  <c r="N2" i="31"/>
  <c r="O2" i="31"/>
  <c r="P2" i="31"/>
  <c r="Q2" i="31"/>
  <c r="R2" i="3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0" i="71"/>
  <c r="F69" i="71"/>
  <c r="E69" i="71"/>
  <c r="E68" i="71" s="1"/>
  <c r="E67" i="71" s="1"/>
  <c r="C69" i="71"/>
  <c r="D69" i="71"/>
  <c r="B69" i="71"/>
  <c r="F68" i="71"/>
  <c r="F67" i="71" s="1"/>
  <c r="B68" i="71"/>
  <c r="B67" i="71" s="1"/>
  <c r="D66" i="71"/>
  <c r="F65" i="71"/>
  <c r="E65" i="71"/>
  <c r="E64" i="71" s="1"/>
  <c r="E63" i="71" s="1"/>
  <c r="C65" i="71"/>
  <c r="D65" i="71"/>
  <c r="B65" i="71"/>
  <c r="F64" i="71"/>
  <c r="F63" i="71" s="1"/>
  <c r="B64" i="71"/>
  <c r="B63" i="71" s="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s="1"/>
  <c r="E49" i="71"/>
  <c r="P49" i="71" s="1"/>
  <c r="C49" i="71"/>
  <c r="B49" i="71"/>
  <c r="S49" i="71"/>
  <c r="B48" i="71"/>
  <c r="D46" i="71"/>
  <c r="Q45" i="71"/>
  <c r="P45" i="71"/>
  <c r="O45" i="71"/>
  <c r="N45" i="71"/>
  <c r="Q44" i="71"/>
  <c r="P44" i="71"/>
  <c r="O44" i="71"/>
  <c r="N44" i="71"/>
  <c r="Q43" i="71"/>
  <c r="P43" i="71"/>
  <c r="O43" i="71"/>
  <c r="N43" i="71"/>
  <c r="Q42" i="71"/>
  <c r="F43" i="71" s="1"/>
  <c r="F44" i="71" s="1"/>
  <c r="F45" i="71" s="1"/>
  <c r="V45" i="71" s="1"/>
  <c r="P42" i="71"/>
  <c r="E43" i="71"/>
  <c r="O42" i="71"/>
  <c r="C43" i="71"/>
  <c r="N42" i="71"/>
  <c r="B43" i="71"/>
  <c r="B44" i="71" s="1"/>
  <c r="B45" i="71" s="1"/>
  <c r="S45" i="71" s="1"/>
  <c r="D42" i="71"/>
  <c r="Q41" i="71"/>
  <c r="P41" i="71"/>
  <c r="O41" i="71"/>
  <c r="N41" i="71"/>
  <c r="Q40" i="71"/>
  <c r="P40" i="71"/>
  <c r="O40" i="71"/>
  <c r="N40" i="71"/>
  <c r="Q39" i="71"/>
  <c r="P39" i="71"/>
  <c r="O39" i="71"/>
  <c r="N39" i="71"/>
  <c r="Q38" i="71"/>
  <c r="F39" i="7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c r="O34" i="71"/>
  <c r="C35" i="71"/>
  <c r="N34" i="71"/>
  <c r="B35" i="71"/>
  <c r="B36" i="71" s="1"/>
  <c r="B37" i="71" s="1"/>
  <c r="S37" i="71" s="1"/>
  <c r="D34" i="71"/>
  <c r="Q33" i="71"/>
  <c r="P33" i="71"/>
  <c r="O33" i="71"/>
  <c r="N33" i="71"/>
  <c r="Q32" i="71"/>
  <c r="P32" i="71"/>
  <c r="O32" i="71"/>
  <c r="N32" i="71"/>
  <c r="Q31" i="71"/>
  <c r="P31" i="71"/>
  <c r="O31" i="71"/>
  <c r="N31" i="71"/>
  <c r="Q30" i="71"/>
  <c r="F31" i="71"/>
  <c r="P30" i="71"/>
  <c r="E31" i="7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c r="O26" i="71"/>
  <c r="C27" i="71"/>
  <c r="N26" i="71"/>
  <c r="B27" i="71"/>
  <c r="D26" i="71"/>
  <c r="Q25" i="71"/>
  <c r="P25" i="71"/>
  <c r="O25" i="71"/>
  <c r="N25" i="71"/>
  <c r="Q24" i="71"/>
  <c r="P24" i="71"/>
  <c r="O24" i="71"/>
  <c r="N24" i="71"/>
  <c r="Q23" i="71"/>
  <c r="P23" i="71"/>
  <c r="O23" i="71"/>
  <c r="N23" i="71"/>
  <c r="Q22" i="71"/>
  <c r="F23" i="71" s="1"/>
  <c r="F24" i="71" s="1"/>
  <c r="F25" i="71" s="1"/>
  <c r="V25" i="71" s="1"/>
  <c r="P22" i="71"/>
  <c r="E23" i="71"/>
  <c r="O22" i="71"/>
  <c r="C23" i="71"/>
  <c r="N22" i="71"/>
  <c r="B23" i="71"/>
  <c r="D22" i="71"/>
  <c r="Q21" i="71"/>
  <c r="P21" i="71"/>
  <c r="O21" i="71"/>
  <c r="N21" i="71"/>
  <c r="Q20" i="71"/>
  <c r="AB20" i="71" s="1"/>
  <c r="P20" i="71"/>
  <c r="AA20" i="71" s="1"/>
  <c r="O20" i="71"/>
  <c r="Y20" i="71" s="1"/>
  <c r="Z20" i="71" s="1"/>
  <c r="N20" i="71"/>
  <c r="X20" i="71"/>
  <c r="Q19" i="71"/>
  <c r="AB19" i="71"/>
  <c r="P19" i="71"/>
  <c r="O19" i="71"/>
  <c r="Y19" i="71" s="1"/>
  <c r="Z19" i="71" s="1"/>
  <c r="N19" i="71"/>
  <c r="Q18" i="71"/>
  <c r="F19" i="71" s="1"/>
  <c r="F20" i="71" s="1"/>
  <c r="F21" i="71" s="1"/>
  <c r="P18" i="71"/>
  <c r="O18" i="71"/>
  <c r="N18" i="71"/>
  <c r="D18" i="71"/>
  <c r="Q17" i="71"/>
  <c r="AB17" i="71" s="1"/>
  <c r="P17" i="71"/>
  <c r="O17" i="71"/>
  <c r="Y17" i="71"/>
  <c r="Z17" i="71" s="1"/>
  <c r="N17" i="71"/>
  <c r="Q16" i="71"/>
  <c r="AB16" i="71"/>
  <c r="P16" i="71"/>
  <c r="O16" i="71"/>
  <c r="Y16" i="71" s="1"/>
  <c r="Z16" i="71" s="1"/>
  <c r="N16" i="71"/>
  <c r="Q15" i="71"/>
  <c r="AB15" i="71" s="1"/>
  <c r="P15" i="71"/>
  <c r="O15" i="71"/>
  <c r="Y15" i="71"/>
  <c r="Z15" i="71" s="1"/>
  <c r="N15" i="71"/>
  <c r="Q14" i="71"/>
  <c r="F15" i="71"/>
  <c r="F16" i="71" s="1"/>
  <c r="F17" i="71" s="1"/>
  <c r="V17" i="71" s="1"/>
  <c r="P14" i="71"/>
  <c r="O14" i="71"/>
  <c r="N14" i="71"/>
  <c r="D14" i="71"/>
  <c r="Q13" i="71"/>
  <c r="AB13" i="71" s="1"/>
  <c r="P13" i="71"/>
  <c r="O13" i="71"/>
  <c r="Y13" i="71"/>
  <c r="Z13" i="71" s="1"/>
  <c r="N13" i="71"/>
  <c r="Q12" i="71"/>
  <c r="AB12" i="71"/>
  <c r="P12" i="71"/>
  <c r="O12" i="71"/>
  <c r="Y12" i="71" s="1"/>
  <c r="Z12" i="71" s="1"/>
  <c r="N12" i="71"/>
  <c r="Q11" i="71"/>
  <c r="AB11" i="71" s="1"/>
  <c r="P11" i="71"/>
  <c r="O11" i="71"/>
  <c r="Y11" i="71"/>
  <c r="Z11" i="71" s="1"/>
  <c r="N11" i="71"/>
  <c r="Q10" i="71"/>
  <c r="F11" i="71"/>
  <c r="F12" i="71" s="1"/>
  <c r="F13" i="71" s="1"/>
  <c r="V13" i="71" s="1"/>
  <c r="P10" i="71"/>
  <c r="O10" i="71"/>
  <c r="N10" i="71"/>
  <c r="D10" i="71"/>
  <c r="O9" i="71"/>
  <c r="Y5" i="71" s="1"/>
  <c r="Z5" i="71" s="1"/>
  <c r="N9" i="71"/>
  <c r="B24" i="71"/>
  <c r="B25" i="71"/>
  <c r="S25" i="71" s="1"/>
  <c r="E24" i="71"/>
  <c r="E25" i="71" s="1"/>
  <c r="U25" i="71" s="1"/>
  <c r="B28" i="71"/>
  <c r="B29" i="71"/>
  <c r="S29" i="71" s="1"/>
  <c r="E28" i="71"/>
  <c r="E29" i="71" s="1"/>
  <c r="U29" i="71" s="1"/>
  <c r="X5" i="71"/>
  <c r="B11" i="71"/>
  <c r="B12" i="71" s="1"/>
  <c r="B13" i="71" s="1"/>
  <c r="S13" i="71" s="1"/>
  <c r="X10" i="71"/>
  <c r="E11" i="71"/>
  <c r="E12" i="71"/>
  <c r="E13" i="71" s="1"/>
  <c r="U13" i="71" s="1"/>
  <c r="AA10" i="71"/>
  <c r="B15" i="71"/>
  <c r="B16" i="71" s="1"/>
  <c r="B17" i="71" s="1"/>
  <c r="S17" i="71" s="1"/>
  <c r="X14" i="71"/>
  <c r="B19" i="71"/>
  <c r="B20" i="71"/>
  <c r="B21" i="71" s="1"/>
  <c r="S21" i="71" s="1"/>
  <c r="X18" i="71"/>
  <c r="E19" i="71"/>
  <c r="E20" i="71" s="1"/>
  <c r="E21" i="71" s="1"/>
  <c r="U21" i="71" s="1"/>
  <c r="AA18" i="71"/>
  <c r="N49" i="71"/>
  <c r="E15" i="71"/>
  <c r="E16" i="71" s="1"/>
  <c r="E17" i="71" s="1"/>
  <c r="U17" i="71" s="1"/>
  <c r="AA14" i="71"/>
  <c r="C11" i="71"/>
  <c r="D11" i="71"/>
  <c r="Y10" i="71"/>
  <c r="Z10" i="71"/>
  <c r="AB10" i="71"/>
  <c r="X11" i="71"/>
  <c r="AA11" i="71"/>
  <c r="X12" i="71"/>
  <c r="AA12" i="71"/>
  <c r="X13" i="71"/>
  <c r="AA13" i="71"/>
  <c r="C15" i="71"/>
  <c r="C16" i="71" s="1"/>
  <c r="C17" i="71" s="1"/>
  <c r="T17" i="71" s="1"/>
  <c r="Y14" i="71"/>
  <c r="Z14" i="71" s="1"/>
  <c r="AB14" i="71"/>
  <c r="X15" i="71"/>
  <c r="AA15" i="71"/>
  <c r="X16" i="71"/>
  <c r="AA16" i="71"/>
  <c r="X17" i="71"/>
  <c r="AA17" i="71"/>
  <c r="C19" i="71"/>
  <c r="C20" i="71"/>
  <c r="Y18" i="71"/>
  <c r="Z18" i="7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C13" i="71" s="1"/>
  <c r="T13" i="71" s="1"/>
  <c r="D15" i="71"/>
  <c r="D19" i="71"/>
  <c r="C24" i="71"/>
  <c r="D23" i="71"/>
  <c r="C28" i="71"/>
  <c r="D28" i="71"/>
  <c r="D27" i="71"/>
  <c r="P9" i="71"/>
  <c r="AA5" i="71" s="1"/>
  <c r="E36" i="71"/>
  <c r="E37" i="71" s="1"/>
  <c r="U37" i="71" s="1"/>
  <c r="E44" i="71"/>
  <c r="E45" i="71" s="1"/>
  <c r="U45" i="71" s="1"/>
  <c r="U49" i="71"/>
  <c r="E48" i="71"/>
  <c r="Q9" i="71"/>
  <c r="AB5" i="71" s="1"/>
  <c r="C36" i="71"/>
  <c r="C37" i="71" s="1"/>
  <c r="T37" i="71" s="1"/>
  <c r="D35" i="71"/>
  <c r="C44" i="71"/>
  <c r="D44" i="71" s="1"/>
  <c r="D43" i="71"/>
  <c r="N48" i="71"/>
  <c r="B47" i="71"/>
  <c r="T49" i="71"/>
  <c r="O49" i="71"/>
  <c r="D49" i="71"/>
  <c r="C48" i="71"/>
  <c r="C47" i="71" s="1"/>
  <c r="D47" i="71" s="1"/>
  <c r="Q49" i="71"/>
  <c r="C52" i="71"/>
  <c r="C51" i="71" s="1"/>
  <c r="D51" i="71" s="1"/>
  <c r="E52" i="71"/>
  <c r="E51" i="71"/>
  <c r="D53" i="71"/>
  <c r="C56" i="71"/>
  <c r="D56" i="71" s="1"/>
  <c r="E56" i="71"/>
  <c r="E55" i="71"/>
  <c r="D57" i="71"/>
  <c r="C60" i="71"/>
  <c r="D60" i="71" s="1"/>
  <c r="E60" i="71"/>
  <c r="E59" i="71"/>
  <c r="D61" i="71"/>
  <c r="C64" i="71"/>
  <c r="C63" i="71" s="1"/>
  <c r="C68" i="71"/>
  <c r="T9" i="71"/>
  <c r="C8" i="71"/>
  <c r="S9" i="71"/>
  <c r="AB3" i="71"/>
  <c r="AB7" i="71"/>
  <c r="AB9" i="71"/>
  <c r="AA3" i="71"/>
  <c r="AA7" i="71"/>
  <c r="AA9" i="71"/>
  <c r="D9" i="71"/>
  <c r="U9" i="71"/>
  <c r="O48" i="71"/>
  <c r="C45" i="71"/>
  <c r="T45" i="71" s="1"/>
  <c r="D64" i="71"/>
  <c r="D63" i="71"/>
  <c r="C55" i="71"/>
  <c r="D55" i="71" s="1"/>
  <c r="N46" i="71"/>
  <c r="N47" i="71"/>
  <c r="D68" i="71"/>
  <c r="C67" i="71"/>
  <c r="D67" i="71"/>
  <c r="C59" i="71"/>
  <c r="D59" i="71" s="1"/>
  <c r="D52" i="71"/>
  <c r="D36" i="71"/>
  <c r="P48" i="71"/>
  <c r="E47" i="71"/>
  <c r="P47" i="71" s="1"/>
  <c r="C25" i="71"/>
  <c r="D24" i="71"/>
  <c r="C21" i="71"/>
  <c r="D20" i="71"/>
  <c r="D12" i="71"/>
  <c r="C7" i="71"/>
  <c r="D8" i="71"/>
  <c r="P46" i="71"/>
  <c r="O47" i="71"/>
  <c r="D13" i="71"/>
  <c r="T21" i="71"/>
  <c r="D21" i="71"/>
  <c r="T25" i="71"/>
  <c r="D25" i="71"/>
  <c r="D37" i="71"/>
  <c r="D7" i="71"/>
  <c r="C6" i="71"/>
  <c r="D6" i="71" s="1"/>
  <c r="O27" i="6"/>
  <c r="N27" i="6"/>
  <c r="P20" i="6"/>
  <c r="P21" i="6"/>
  <c r="P22" i="6"/>
  <c r="P23" i="6"/>
  <c r="P24" i="6"/>
  <c r="P25" i="6"/>
  <c r="P26" i="6"/>
  <c r="P19" i="6"/>
  <c r="AP8" i="1"/>
  <c r="AP9" i="1"/>
  <c r="AP10" i="1"/>
  <c r="AP11" i="1"/>
  <c r="AP12" i="1"/>
  <c r="AP13" i="1"/>
  <c r="L21" i="6"/>
  <c r="L22" i="6"/>
  <c r="L23" i="6"/>
  <c r="L24" i="6"/>
  <c r="L25" i="6"/>
  <c r="L26" i="6"/>
  <c r="C5" i="71"/>
  <c r="D5" i="71" s="1"/>
  <c r="P27" i="6"/>
  <c r="A7" i="70"/>
  <c r="A8" i="70"/>
  <c r="E8" i="70" s="1"/>
  <c r="A9" i="70"/>
  <c r="E9" i="70" s="1"/>
  <c r="A10" i="70"/>
  <c r="E10" i="70" s="1"/>
  <c r="A11" i="70"/>
  <c r="E11" i="70" s="1"/>
  <c r="A12" i="70"/>
  <c r="E12" i="70" s="1"/>
  <c r="A13" i="70"/>
  <c r="E13" i="70" s="1"/>
  <c r="A6" i="70"/>
  <c r="Q25" i="40"/>
  <c r="Z25" i="40"/>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c r="D68" i="35"/>
  <c r="E68" i="35"/>
  <c r="F18" i="35"/>
  <c r="AA18" i="35" s="1"/>
  <c r="C18" i="35"/>
  <c r="Q21" i="37"/>
  <c r="Z21" i="37"/>
  <c r="D77" i="37"/>
  <c r="E77" i="37"/>
  <c r="C21" i="37"/>
  <c r="Q21" i="34"/>
  <c r="Z21" i="34" s="1"/>
  <c r="D84" i="34"/>
  <c r="E84" i="34" s="1"/>
  <c r="F84" i="34" s="1"/>
  <c r="G84" i="34" s="1"/>
  <c r="F21" i="34"/>
  <c r="AA21" i="34" s="1"/>
  <c r="C21" i="34"/>
  <c r="Q21" i="33"/>
  <c r="Z21" i="33"/>
  <c r="D83" i="33"/>
  <c r="E83" i="33"/>
  <c r="C21" i="33"/>
  <c r="C21" i="21"/>
  <c r="Q21" i="21"/>
  <c r="Z21" i="21"/>
  <c r="H19" i="21"/>
  <c r="D83" i="21"/>
  <c r="F21" i="21"/>
  <c r="AA21" i="21" s="1"/>
  <c r="D81" i="21"/>
  <c r="G20" i="20"/>
  <c r="B86" i="43"/>
  <c r="C22" i="20"/>
  <c r="B75" i="43"/>
  <c r="B55" i="43"/>
  <c r="B66" i="43"/>
  <c r="C25" i="40"/>
  <c r="C29" i="39"/>
  <c r="S25" i="40"/>
  <c r="S29" i="39"/>
  <c r="S18" i="36"/>
  <c r="U18" i="36"/>
  <c r="S21" i="34"/>
  <c r="H25" i="40"/>
  <c r="J25" i="40"/>
  <c r="H29" i="39"/>
  <c r="J29" i="39"/>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AC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AB21" i="21"/>
  <c r="J21" i="21"/>
  <c r="C40" i="69"/>
  <c r="F38" i="68"/>
  <c r="E37" i="68"/>
  <c r="F36" i="68"/>
  <c r="F35" i="68"/>
  <c r="F21" i="68"/>
  <c r="C21" i="68" s="1"/>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s="1"/>
  <c r="I23" i="66"/>
  <c r="D20" i="66"/>
  <c r="I19" i="66"/>
  <c r="I18" i="66"/>
  <c r="I17" i="66"/>
  <c r="E15" i="66"/>
  <c r="I14" i="66"/>
  <c r="I13" i="66"/>
  <c r="I12" i="66"/>
  <c r="I15" i="66" s="1"/>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c r="C99" i="43"/>
  <c r="C108" i="43"/>
  <c r="D100" i="43"/>
  <c r="K100" i="43"/>
  <c r="B48" i="43"/>
  <c r="B84" i="43"/>
  <c r="B83" i="43"/>
  <c r="B72" i="43"/>
  <c r="B61" i="43"/>
  <c r="B50" i="43"/>
  <c r="K82" i="43"/>
  <c r="D82" i="43"/>
  <c r="K86" i="43"/>
  <c r="J86" i="43" s="1"/>
  <c r="D86" i="43" s="1"/>
  <c r="D88" i="43"/>
  <c r="D67" i="43"/>
  <c r="D60" i="43"/>
  <c r="D61" i="43"/>
  <c r="D62" i="43"/>
  <c r="D63" i="43"/>
  <c r="D64" i="43"/>
  <c r="D65" i="43"/>
  <c r="D66" i="43"/>
  <c r="D59" i="43"/>
  <c r="M88" i="43"/>
  <c r="N88" i="43"/>
  <c r="K88" i="43"/>
  <c r="J88" i="43"/>
  <c r="M87" i="43"/>
  <c r="N87" i="43"/>
  <c r="K87" i="43"/>
  <c r="M86" i="43"/>
  <c r="N86" i="43" s="1"/>
  <c r="M85" i="43"/>
  <c r="N85" i="43" s="1"/>
  <c r="K85" i="43"/>
  <c r="M84" i="43"/>
  <c r="N84" i="43"/>
  <c r="K84" i="43"/>
  <c r="J84" i="43"/>
  <c r="D84" i="43" s="1"/>
  <c r="M83" i="43"/>
  <c r="N83" i="43"/>
  <c r="K83" i="43"/>
  <c r="M82" i="43"/>
  <c r="N82" i="43" s="1"/>
  <c r="J82" i="43"/>
  <c r="M81" i="43"/>
  <c r="N81" i="43"/>
  <c r="K81" i="43"/>
  <c r="D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51"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G13" i="1" s="1"/>
  <c r="D7" i="1"/>
  <c r="D8" i="1"/>
  <c r="A7" i="1"/>
  <c r="B7" i="1" s="1"/>
  <c r="E7" i="1" s="1"/>
  <c r="A8" i="1"/>
  <c r="B8" i="1"/>
  <c r="E8" i="1" s="1"/>
  <c r="A9" i="1"/>
  <c r="A10" i="1"/>
  <c r="A11" i="1"/>
  <c r="A12" i="1"/>
  <c r="A13" i="1"/>
  <c r="B13" i="1" s="1"/>
  <c r="E13" i="1" s="1"/>
  <c r="A6" i="1"/>
  <c r="B11" i="1"/>
  <c r="E11" i="1" s="1"/>
  <c r="K10" i="1"/>
  <c r="M10" i="1" s="1"/>
  <c r="O10" i="1"/>
  <c r="G79" i="36"/>
  <c r="G85" i="35"/>
  <c r="G97" i="37"/>
  <c r="G110" i="34"/>
  <c r="G111" i="21"/>
  <c r="G109" i="33"/>
  <c r="D23" i="31"/>
  <c r="L2" i="31"/>
  <c r="K2" i="31"/>
  <c r="J2" i="31"/>
  <c r="I2" i="31"/>
  <c r="H2" i="31"/>
  <c r="G2" i="31"/>
  <c r="F2" i="31"/>
  <c r="E2" i="31"/>
  <c r="D2" i="31"/>
  <c r="C2" i="31"/>
  <c r="D46" i="15"/>
  <c r="AX112" i="3"/>
  <c r="AW112" i="3"/>
  <c r="AV112" i="3"/>
  <c r="AC112" i="3"/>
  <c r="H112" i="3"/>
  <c r="G112" i="3" s="1"/>
  <c r="AX111" i="3"/>
  <c r="AW111" i="3"/>
  <c r="AV111" i="3"/>
  <c r="AC111" i="3"/>
  <c r="H111" i="3"/>
  <c r="G111" i="3" s="1"/>
  <c r="AX110" i="3"/>
  <c r="AW110" i="3"/>
  <c r="AV110" i="3"/>
  <c r="AC110" i="3"/>
  <c r="H110" i="3"/>
  <c r="AX109" i="3"/>
  <c r="AW109" i="3"/>
  <c r="AV109" i="3"/>
  <c r="AC109" i="3"/>
  <c r="H109" i="3"/>
  <c r="G109" i="3"/>
  <c r="AX108" i="3"/>
  <c r="AW108" i="3"/>
  <c r="AV108" i="3"/>
  <c r="AC108" i="3"/>
  <c r="H108" i="3"/>
  <c r="G108" i="3"/>
  <c r="AX107" i="3"/>
  <c r="AW107" i="3"/>
  <c r="AV107" i="3"/>
  <c r="AC107" i="3"/>
  <c r="H107" i="3"/>
  <c r="AX106" i="3"/>
  <c r="AW106" i="3"/>
  <c r="AV106" i="3"/>
  <c r="AC106" i="3"/>
  <c r="H106" i="3"/>
  <c r="G106" i="3" s="1"/>
  <c r="AX105" i="3"/>
  <c r="AW105" i="3"/>
  <c r="AV105" i="3"/>
  <c r="AC105" i="3"/>
  <c r="H105" i="3"/>
  <c r="G105" i="3" s="1"/>
  <c r="AX104" i="3"/>
  <c r="AW104" i="3"/>
  <c r="AV104" i="3"/>
  <c r="AC104" i="3"/>
  <c r="H104" i="3"/>
  <c r="AX103" i="3"/>
  <c r="AW103" i="3"/>
  <c r="AV103" i="3"/>
  <c r="AC103" i="3"/>
  <c r="H103" i="3"/>
  <c r="G103" i="3"/>
  <c r="AX102" i="3"/>
  <c r="AW102" i="3"/>
  <c r="AV102" i="3"/>
  <c r="AC102" i="3"/>
  <c r="H102" i="3"/>
  <c r="G102" i="3"/>
  <c r="AX101" i="3"/>
  <c r="AW101" i="3"/>
  <c r="AV101" i="3"/>
  <c r="AC101" i="3"/>
  <c r="H101" i="3"/>
  <c r="G101" i="3"/>
  <c r="AX100" i="3"/>
  <c r="AW100" i="3"/>
  <c r="AV100" i="3"/>
  <c r="AC100" i="3"/>
  <c r="H100" i="3"/>
  <c r="G100" i="3"/>
  <c r="AX99" i="3"/>
  <c r="AW99" i="3"/>
  <c r="AV99" i="3"/>
  <c r="AC99" i="3"/>
  <c r="H99" i="3"/>
  <c r="AX98" i="3"/>
  <c r="AW98" i="3"/>
  <c r="AV98" i="3"/>
  <c r="AC98" i="3"/>
  <c r="H98" i="3"/>
  <c r="AX97" i="3"/>
  <c r="AW97" i="3"/>
  <c r="AV97" i="3"/>
  <c r="AC97" i="3"/>
  <c r="H97" i="3"/>
  <c r="AX96" i="3"/>
  <c r="AW96" i="3"/>
  <c r="AV96" i="3"/>
  <c r="AC96" i="3"/>
  <c r="H96" i="3"/>
  <c r="G96" i="3" s="1"/>
  <c r="AX95" i="3"/>
  <c r="AW95" i="3"/>
  <c r="AV95" i="3"/>
  <c r="AC95" i="3"/>
  <c r="H95" i="3"/>
  <c r="AX94" i="3"/>
  <c r="AW94" i="3"/>
  <c r="AV94" i="3"/>
  <c r="AC94" i="3"/>
  <c r="H94" i="3"/>
  <c r="G94" i="3"/>
  <c r="AX93" i="3"/>
  <c r="AW93" i="3"/>
  <c r="AV93" i="3"/>
  <c r="AC93" i="3"/>
  <c r="H93" i="3"/>
  <c r="AX92" i="3"/>
  <c r="AW92" i="3"/>
  <c r="AV92" i="3"/>
  <c r="AC92" i="3"/>
  <c r="H92" i="3"/>
  <c r="G92" i="3" s="1"/>
  <c r="AX91" i="3"/>
  <c r="AW91" i="3"/>
  <c r="AV91" i="3"/>
  <c r="AC91" i="3"/>
  <c r="H91" i="3"/>
  <c r="AX90" i="3"/>
  <c r="AW90" i="3"/>
  <c r="AV90" i="3"/>
  <c r="AC90" i="3"/>
  <c r="H90" i="3"/>
  <c r="G90" i="3"/>
  <c r="AX89" i="3"/>
  <c r="AW89" i="3"/>
  <c r="AV89" i="3"/>
  <c r="AC89" i="3"/>
  <c r="H89" i="3"/>
  <c r="G89" i="3"/>
  <c r="AX88" i="3"/>
  <c r="AW88" i="3"/>
  <c r="AV88" i="3"/>
  <c r="AC88" i="3"/>
  <c r="H88" i="3"/>
  <c r="AX87" i="3"/>
  <c r="AW87" i="3"/>
  <c r="AV87" i="3"/>
  <c r="AC87" i="3"/>
  <c r="H87" i="3"/>
  <c r="G87" i="3" s="1"/>
  <c r="AX86" i="3"/>
  <c r="AW86" i="3"/>
  <c r="AV86" i="3"/>
  <c r="AC86" i="3"/>
  <c r="H86" i="3"/>
  <c r="G86" i="3" s="1"/>
  <c r="AX85" i="3"/>
  <c r="AW85" i="3"/>
  <c r="AV85" i="3"/>
  <c r="AC85" i="3"/>
  <c r="H85" i="3"/>
  <c r="G85" i="3" s="1"/>
  <c r="AX84" i="3"/>
  <c r="AW84" i="3"/>
  <c r="AV84" i="3"/>
  <c r="AC84" i="3"/>
  <c r="H84" i="3"/>
  <c r="AX83" i="3"/>
  <c r="AW83" i="3"/>
  <c r="AV83" i="3"/>
  <c r="AC83" i="3"/>
  <c r="H83" i="3"/>
  <c r="AX82" i="3"/>
  <c r="AW82" i="3"/>
  <c r="AV82" i="3"/>
  <c r="AC82" i="3"/>
  <c r="H82" i="3"/>
  <c r="AX81" i="3"/>
  <c r="AW81" i="3"/>
  <c r="AV81" i="3"/>
  <c r="AC81" i="3"/>
  <c r="H81" i="3"/>
  <c r="G81" i="3"/>
  <c r="AX80" i="3"/>
  <c r="AW80" i="3"/>
  <c r="AV80" i="3"/>
  <c r="AC80" i="3"/>
  <c r="H80" i="3"/>
  <c r="AX79" i="3"/>
  <c r="AW79" i="3"/>
  <c r="AV79" i="3"/>
  <c r="AC79" i="3"/>
  <c r="H79" i="3"/>
  <c r="AX78" i="3"/>
  <c r="AW78" i="3"/>
  <c r="AV78" i="3"/>
  <c r="AC78" i="3"/>
  <c r="H78" i="3"/>
  <c r="G78" i="3"/>
  <c r="AX77" i="3"/>
  <c r="AW77" i="3"/>
  <c r="AV77" i="3"/>
  <c r="AC77" i="3"/>
  <c r="H77" i="3"/>
  <c r="G77" i="3"/>
  <c r="AX76" i="3"/>
  <c r="AW76" i="3"/>
  <c r="AV76" i="3"/>
  <c r="AC76" i="3"/>
  <c r="H76" i="3"/>
  <c r="G76" i="3"/>
  <c r="AX75" i="3"/>
  <c r="AW75" i="3"/>
  <c r="AV75" i="3"/>
  <c r="AC75" i="3"/>
  <c r="H75" i="3"/>
  <c r="AX74" i="3"/>
  <c r="AW74" i="3"/>
  <c r="AV74" i="3"/>
  <c r="AC74" i="3"/>
  <c r="H74" i="3"/>
  <c r="G74" i="3" s="1"/>
  <c r="AX73" i="3"/>
  <c r="AW73" i="3"/>
  <c r="AV73" i="3"/>
  <c r="AC73" i="3"/>
  <c r="H73" i="3"/>
  <c r="AX72" i="3"/>
  <c r="AW72" i="3"/>
  <c r="AV72" i="3"/>
  <c r="AC72" i="3"/>
  <c r="H72" i="3"/>
  <c r="G72" i="3"/>
  <c r="AX71" i="3"/>
  <c r="AW71" i="3"/>
  <c r="AV71" i="3"/>
  <c r="AC71" i="3"/>
  <c r="H71" i="3"/>
  <c r="AX70" i="3"/>
  <c r="AW70" i="3"/>
  <c r="AV70" i="3"/>
  <c r="AC70" i="3"/>
  <c r="H70" i="3"/>
  <c r="AX69" i="3"/>
  <c r="AW69" i="3"/>
  <c r="AV69" i="3"/>
  <c r="AC69" i="3"/>
  <c r="H69" i="3"/>
  <c r="AX68" i="3"/>
  <c r="AW68" i="3"/>
  <c r="AV68" i="3"/>
  <c r="AC68" i="3"/>
  <c r="H68" i="3"/>
  <c r="G68" i="3" s="1"/>
  <c r="AX67" i="3"/>
  <c r="AW67" i="3"/>
  <c r="AV67" i="3"/>
  <c r="AC67" i="3"/>
  <c r="H67" i="3"/>
  <c r="AX66" i="3"/>
  <c r="AW66" i="3"/>
  <c r="AV66" i="3"/>
  <c r="AC66" i="3"/>
  <c r="H66" i="3"/>
  <c r="G66" i="3"/>
  <c r="AX65" i="3"/>
  <c r="AW65" i="3"/>
  <c r="AV65" i="3"/>
  <c r="AC65" i="3"/>
  <c r="H65" i="3"/>
  <c r="AX64" i="3"/>
  <c r="AW64" i="3"/>
  <c r="AV64" i="3"/>
  <c r="AC64" i="3"/>
  <c r="H64" i="3"/>
  <c r="G64" i="3" s="1"/>
  <c r="AX63" i="3"/>
  <c r="AW63" i="3"/>
  <c r="AV63" i="3"/>
  <c r="AC63" i="3"/>
  <c r="H63" i="3"/>
  <c r="AX62" i="3"/>
  <c r="AW62" i="3"/>
  <c r="AV62" i="3"/>
  <c r="AC62" i="3"/>
  <c r="H62" i="3"/>
  <c r="AX61" i="3"/>
  <c r="AW61" i="3"/>
  <c r="AV61" i="3"/>
  <c r="AC61" i="3"/>
  <c r="H61" i="3"/>
  <c r="AX60" i="3"/>
  <c r="AW60" i="3"/>
  <c r="AV60" i="3"/>
  <c r="AC60" i="3"/>
  <c r="H60" i="3"/>
  <c r="G60" i="3"/>
  <c r="AX59" i="3"/>
  <c r="AW59" i="3"/>
  <c r="AV59" i="3"/>
  <c r="AC59" i="3"/>
  <c r="H59" i="3"/>
  <c r="AX58" i="3"/>
  <c r="AW58" i="3"/>
  <c r="AV58" i="3"/>
  <c r="AC58" i="3"/>
  <c r="H58" i="3"/>
  <c r="G58" i="3" s="1"/>
  <c r="AX57" i="3"/>
  <c r="AW57" i="3"/>
  <c r="AV57" i="3"/>
  <c r="AC57" i="3"/>
  <c r="H57" i="3"/>
  <c r="AX56" i="3"/>
  <c r="AW56" i="3"/>
  <c r="AV56" i="3"/>
  <c r="AC56" i="3"/>
  <c r="H56" i="3"/>
  <c r="G56" i="3"/>
  <c r="AX55" i="3"/>
  <c r="AW55" i="3"/>
  <c r="AV55" i="3"/>
  <c r="AC55" i="3"/>
  <c r="H55" i="3"/>
  <c r="G55" i="3"/>
  <c r="AX54" i="3"/>
  <c r="AW54" i="3"/>
  <c r="AV54" i="3"/>
  <c r="AC54" i="3"/>
  <c r="H54" i="3"/>
  <c r="G54" i="3"/>
  <c r="AX53" i="3"/>
  <c r="AW53" i="3"/>
  <c r="AV53" i="3"/>
  <c r="AC53" i="3"/>
  <c r="H53" i="3"/>
  <c r="AX52" i="3"/>
  <c r="AW52" i="3"/>
  <c r="AV52" i="3"/>
  <c r="AC52" i="3"/>
  <c r="H52" i="3"/>
  <c r="G52" i="3" s="1"/>
  <c r="AX51" i="3"/>
  <c r="AW51" i="3"/>
  <c r="AV51" i="3"/>
  <c r="AC51" i="3"/>
  <c r="H51" i="3"/>
  <c r="G51" i="3" s="1"/>
  <c r="AX50" i="3"/>
  <c r="AW50" i="3"/>
  <c r="AV50" i="3"/>
  <c r="AC50" i="3"/>
  <c r="H50" i="3"/>
  <c r="G50" i="3" s="1"/>
  <c r="AX49" i="3"/>
  <c r="AW49" i="3"/>
  <c r="AV49" i="3"/>
  <c r="AC49" i="3"/>
  <c r="H49" i="3"/>
  <c r="AX48" i="3"/>
  <c r="AW48" i="3"/>
  <c r="AV48" i="3"/>
  <c r="AC48" i="3"/>
  <c r="H48" i="3"/>
  <c r="G48" i="3"/>
  <c r="AX47" i="3"/>
  <c r="AW47" i="3"/>
  <c r="AV47" i="3"/>
  <c r="AC47" i="3"/>
  <c r="H47" i="3"/>
  <c r="G47" i="3"/>
  <c r="AX46" i="3"/>
  <c r="AW46" i="3"/>
  <c r="AV46" i="3"/>
  <c r="AC46" i="3"/>
  <c r="H46" i="3"/>
  <c r="AX45" i="3"/>
  <c r="AW45" i="3"/>
  <c r="AV45" i="3"/>
  <c r="AC45" i="3"/>
  <c r="H45"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AX39" i="3"/>
  <c r="AW39" i="3"/>
  <c r="AV39" i="3"/>
  <c r="AC39" i="3"/>
  <c r="H39" i="3"/>
  <c r="G39" i="3" s="1"/>
  <c r="AX38" i="3"/>
  <c r="AW38" i="3"/>
  <c r="AV38" i="3"/>
  <c r="AC38" i="3"/>
  <c r="H38" i="3"/>
  <c r="AX37" i="3"/>
  <c r="AW37" i="3"/>
  <c r="AV37" i="3"/>
  <c r="AC37" i="3"/>
  <c r="H37" i="3"/>
  <c r="G37" i="3"/>
  <c r="AX36" i="3"/>
  <c r="AW36" i="3"/>
  <c r="AV36" i="3"/>
  <c r="AC36" i="3"/>
  <c r="H36" i="3"/>
  <c r="G36" i="3"/>
  <c r="AX35" i="3"/>
  <c r="AW35" i="3"/>
  <c r="AV35" i="3"/>
  <c r="AC35" i="3"/>
  <c r="H35" i="3"/>
  <c r="AX34" i="3"/>
  <c r="AW34" i="3"/>
  <c r="AV34" i="3"/>
  <c r="AC34" i="3"/>
  <c r="H34" i="3"/>
  <c r="G34" i="3" s="1"/>
  <c r="AX33" i="3"/>
  <c r="AW33" i="3"/>
  <c r="AV33" i="3"/>
  <c r="AC33" i="3"/>
  <c r="H33" i="3"/>
  <c r="G33" i="3" s="1"/>
  <c r="AX32" i="3"/>
  <c r="AW32" i="3"/>
  <c r="AV32" i="3"/>
  <c r="AC32" i="3"/>
  <c r="H32" i="3"/>
  <c r="G32" i="3" s="1"/>
  <c r="AX31" i="3"/>
  <c r="AW31" i="3"/>
  <c r="AV31" i="3"/>
  <c r="AC31" i="3"/>
  <c r="H31" i="3"/>
  <c r="G31" i="3" s="1"/>
  <c r="AX30" i="3"/>
  <c r="AW30" i="3"/>
  <c r="AV30" i="3"/>
  <c r="AC30" i="3"/>
  <c r="H30" i="3"/>
  <c r="AX29" i="3"/>
  <c r="AW29" i="3"/>
  <c r="AV29" i="3"/>
  <c r="AC29" i="3"/>
  <c r="H29" i="3"/>
  <c r="AX28" i="3"/>
  <c r="AW28" i="3"/>
  <c r="AV28" i="3"/>
  <c r="AC28" i="3"/>
  <c r="H28" i="3"/>
  <c r="AX27" i="3"/>
  <c r="AW27" i="3"/>
  <c r="AV27" i="3"/>
  <c r="AC27" i="3"/>
  <c r="H27" i="3"/>
  <c r="G27" i="3"/>
  <c r="AX26" i="3"/>
  <c r="AW26" i="3"/>
  <c r="AV26" i="3"/>
  <c r="AC26" i="3"/>
  <c r="H26" i="3"/>
  <c r="G26" i="3"/>
  <c r="AX25" i="3"/>
  <c r="AW25" i="3"/>
  <c r="AV25" i="3"/>
  <c r="AC25" i="3"/>
  <c r="H25" i="3"/>
  <c r="AX24" i="3"/>
  <c r="AW24" i="3"/>
  <c r="AV24" i="3"/>
  <c r="AC24" i="3"/>
  <c r="H24" i="3"/>
  <c r="G24" i="3" s="1"/>
  <c r="AX23" i="3"/>
  <c r="AW23" i="3"/>
  <c r="AV23" i="3"/>
  <c r="AC23" i="3"/>
  <c r="H23" i="3"/>
  <c r="AX22" i="3"/>
  <c r="AW22" i="3"/>
  <c r="AV22" i="3"/>
  <c r="AC22" i="3"/>
  <c r="H22" i="3"/>
  <c r="G22" i="3"/>
  <c r="AX21" i="3"/>
  <c r="AW21" i="3"/>
  <c r="AV21" i="3"/>
  <c r="AC21" i="3"/>
  <c r="H21" i="3"/>
  <c r="AX20" i="3"/>
  <c r="AW20" i="3"/>
  <c r="AV20" i="3"/>
  <c r="AC20" i="3"/>
  <c r="H20" i="3"/>
  <c r="G20" i="3" s="1"/>
  <c r="AX19" i="3"/>
  <c r="AW19" i="3"/>
  <c r="AV19" i="3"/>
  <c r="AC19" i="3"/>
  <c r="H19" i="3"/>
  <c r="AX18" i="3"/>
  <c r="AW18" i="3"/>
  <c r="AV18" i="3"/>
  <c r="AC18" i="3"/>
  <c r="H18" i="3"/>
  <c r="AX207" i="3"/>
  <c r="AW207" i="3"/>
  <c r="AV207" i="3"/>
  <c r="AC207" i="3"/>
  <c r="H207" i="3"/>
  <c r="G207" i="3"/>
  <c r="AX206" i="3"/>
  <c r="AW206" i="3"/>
  <c r="AV206" i="3"/>
  <c r="AC206" i="3"/>
  <c r="H206" i="3"/>
  <c r="AX205" i="3"/>
  <c r="AW205" i="3"/>
  <c r="AV205" i="3"/>
  <c r="AC205" i="3"/>
  <c r="H205" i="3"/>
  <c r="G205" i="3" s="1"/>
  <c r="AX204" i="3"/>
  <c r="AW204" i="3"/>
  <c r="AV204" i="3"/>
  <c r="AC204" i="3"/>
  <c r="H204" i="3"/>
  <c r="AX203" i="3"/>
  <c r="AW203" i="3"/>
  <c r="AV203" i="3"/>
  <c r="AC203" i="3"/>
  <c r="H203" i="3"/>
  <c r="G203" i="3"/>
  <c r="AX202" i="3"/>
  <c r="AW202" i="3"/>
  <c r="AV202" i="3"/>
  <c r="AC202" i="3"/>
  <c r="H202" i="3"/>
  <c r="G202" i="3"/>
  <c r="AX201" i="3"/>
  <c r="AW201" i="3"/>
  <c r="AV201" i="3"/>
  <c r="AC201" i="3"/>
  <c r="H201" i="3"/>
  <c r="AX200" i="3"/>
  <c r="AW200" i="3"/>
  <c r="AV200" i="3"/>
  <c r="AC200" i="3"/>
  <c r="H200" i="3"/>
  <c r="AX199" i="3"/>
  <c r="AW199" i="3"/>
  <c r="AV199" i="3"/>
  <c r="AC199" i="3"/>
  <c r="H199" i="3"/>
  <c r="G199" i="3"/>
  <c r="AX198" i="3"/>
  <c r="AW198" i="3"/>
  <c r="AV198" i="3"/>
  <c r="AC198" i="3"/>
  <c r="H198" i="3"/>
  <c r="G198" i="3"/>
  <c r="AX197" i="3"/>
  <c r="AW197" i="3"/>
  <c r="AV197" i="3"/>
  <c r="AC197" i="3"/>
  <c r="H197" i="3"/>
  <c r="AX196" i="3"/>
  <c r="AW196" i="3"/>
  <c r="AV196" i="3"/>
  <c r="AC196" i="3"/>
  <c r="H196" i="3"/>
  <c r="AX195" i="3"/>
  <c r="AW195" i="3"/>
  <c r="AV195" i="3"/>
  <c r="AC195" i="3"/>
  <c r="H195" i="3"/>
  <c r="G195" i="3"/>
  <c r="AX194" i="3"/>
  <c r="AW194" i="3"/>
  <c r="AV194" i="3"/>
  <c r="AC194" i="3"/>
  <c r="H194" i="3"/>
  <c r="AX193" i="3"/>
  <c r="AW193" i="3"/>
  <c r="AV193" i="3"/>
  <c r="AC193" i="3"/>
  <c r="H193" i="3"/>
  <c r="AX192" i="3"/>
  <c r="AW192" i="3"/>
  <c r="AV192" i="3"/>
  <c r="AC192" i="3"/>
  <c r="H192" i="3"/>
  <c r="G192" i="3"/>
  <c r="AX191" i="3"/>
  <c r="AW191" i="3"/>
  <c r="AV191" i="3"/>
  <c r="AC191" i="3"/>
  <c r="H191" i="3"/>
  <c r="AX190" i="3"/>
  <c r="AW190" i="3"/>
  <c r="AV190" i="3"/>
  <c r="AC190" i="3"/>
  <c r="H190" i="3"/>
  <c r="G190" i="3" s="1"/>
  <c r="AX189" i="3"/>
  <c r="AW189" i="3"/>
  <c r="AV189" i="3"/>
  <c r="AC189" i="3"/>
  <c r="H189" i="3"/>
  <c r="AX188" i="3"/>
  <c r="AW188" i="3"/>
  <c r="AV188" i="3"/>
  <c r="AC188" i="3"/>
  <c r="H188" i="3"/>
  <c r="AX187" i="3"/>
  <c r="AW187" i="3"/>
  <c r="AV187" i="3"/>
  <c r="AC187" i="3"/>
  <c r="H187" i="3"/>
  <c r="G187" i="3" s="1"/>
  <c r="AX186" i="3"/>
  <c r="AW186" i="3"/>
  <c r="AV186" i="3"/>
  <c r="AC186" i="3"/>
  <c r="H186" i="3"/>
  <c r="G186" i="3" s="1"/>
  <c r="AX185" i="3"/>
  <c r="AW185" i="3"/>
  <c r="AV185" i="3"/>
  <c r="AC185" i="3"/>
  <c r="H185" i="3"/>
  <c r="AX184" i="3"/>
  <c r="AW184" i="3"/>
  <c r="AV184" i="3"/>
  <c r="AC184" i="3"/>
  <c r="H184" i="3"/>
  <c r="AX183" i="3"/>
  <c r="AW183" i="3"/>
  <c r="AV183" i="3"/>
  <c r="AC183" i="3"/>
  <c r="H183" i="3"/>
  <c r="G183" i="3" s="1"/>
  <c r="AX182" i="3"/>
  <c r="AW182" i="3"/>
  <c r="AV182" i="3"/>
  <c r="AC182" i="3"/>
  <c r="H182" i="3"/>
  <c r="G182" i="3" s="1"/>
  <c r="AX181" i="3"/>
  <c r="AW181" i="3"/>
  <c r="AV181" i="3"/>
  <c r="AC181" i="3"/>
  <c r="H181" i="3"/>
  <c r="AX180" i="3"/>
  <c r="AW180" i="3"/>
  <c r="AV180" i="3"/>
  <c r="AC180" i="3"/>
  <c r="H180" i="3"/>
  <c r="AX179" i="3"/>
  <c r="AW179" i="3"/>
  <c r="AV179" i="3"/>
  <c r="AC179" i="3"/>
  <c r="H179" i="3"/>
  <c r="G179" i="3" s="1"/>
  <c r="AX178" i="3"/>
  <c r="AW178" i="3"/>
  <c r="AV178" i="3"/>
  <c r="AC178" i="3"/>
  <c r="H178" i="3"/>
  <c r="AX177" i="3"/>
  <c r="AW177" i="3"/>
  <c r="AV177" i="3"/>
  <c r="AC177" i="3"/>
  <c r="H177" i="3"/>
  <c r="AX176" i="3"/>
  <c r="AW176" i="3"/>
  <c r="AV176" i="3"/>
  <c r="AC176" i="3"/>
  <c r="H176" i="3"/>
  <c r="G176" i="3" s="1"/>
  <c r="AX175" i="3"/>
  <c r="AW175" i="3"/>
  <c r="AV175" i="3"/>
  <c r="AC175" i="3"/>
  <c r="H175" i="3"/>
  <c r="AX174" i="3"/>
  <c r="AW174" i="3"/>
  <c r="AV174" i="3"/>
  <c r="AC174" i="3"/>
  <c r="H174" i="3"/>
  <c r="G174" i="3"/>
  <c r="AX173" i="3"/>
  <c r="AW173" i="3"/>
  <c r="AV173" i="3"/>
  <c r="AC173" i="3"/>
  <c r="H173" i="3"/>
  <c r="AX172" i="3"/>
  <c r="AW172" i="3"/>
  <c r="AV172" i="3"/>
  <c r="AC172" i="3"/>
  <c r="H172" i="3"/>
  <c r="AX171" i="3"/>
  <c r="AW171" i="3"/>
  <c r="AV171" i="3"/>
  <c r="AC171" i="3"/>
  <c r="H171" i="3"/>
  <c r="G171" i="3"/>
  <c r="AX170" i="3"/>
  <c r="AW170" i="3"/>
  <c r="AV170" i="3"/>
  <c r="AC170" i="3"/>
  <c r="H170" i="3"/>
  <c r="G170" i="3"/>
  <c r="AX169" i="3"/>
  <c r="AW169" i="3"/>
  <c r="AV169" i="3"/>
  <c r="AC169" i="3"/>
  <c r="H169" i="3"/>
  <c r="AX168" i="3"/>
  <c r="AW168" i="3"/>
  <c r="AV168" i="3"/>
  <c r="AC168" i="3"/>
  <c r="H168" i="3"/>
  <c r="AX167" i="3"/>
  <c r="AW167" i="3"/>
  <c r="AV167" i="3"/>
  <c r="AC167" i="3"/>
  <c r="H167" i="3"/>
  <c r="G167" i="3"/>
  <c r="AX166" i="3"/>
  <c r="AW166" i="3"/>
  <c r="AV166" i="3"/>
  <c r="AC166" i="3"/>
  <c r="H166" i="3"/>
  <c r="G166" i="3"/>
  <c r="AX165" i="3"/>
  <c r="AW165" i="3"/>
  <c r="AV165" i="3"/>
  <c r="AC165" i="3"/>
  <c r="H165" i="3"/>
  <c r="AX164" i="3"/>
  <c r="AW164" i="3"/>
  <c r="AV164" i="3"/>
  <c r="AC164" i="3"/>
  <c r="H164" i="3"/>
  <c r="AX163" i="3"/>
  <c r="AW163" i="3"/>
  <c r="AV163" i="3"/>
  <c r="AC163" i="3"/>
  <c r="H163" i="3"/>
  <c r="G163" i="3"/>
  <c r="AX162" i="3"/>
  <c r="AW162" i="3"/>
  <c r="AV162" i="3"/>
  <c r="AC162" i="3"/>
  <c r="H162" i="3"/>
  <c r="AX161" i="3"/>
  <c r="AW161" i="3"/>
  <c r="AV161" i="3"/>
  <c r="AC161" i="3"/>
  <c r="H161" i="3"/>
  <c r="AX160" i="3"/>
  <c r="AW160" i="3"/>
  <c r="AV160" i="3"/>
  <c r="AC160" i="3"/>
  <c r="H160" i="3"/>
  <c r="G160" i="3"/>
  <c r="AX159" i="3"/>
  <c r="AW159" i="3"/>
  <c r="AV159" i="3"/>
  <c r="AC159" i="3"/>
  <c r="H159" i="3"/>
  <c r="AX158" i="3"/>
  <c r="AW158" i="3"/>
  <c r="AV158" i="3"/>
  <c r="AC158" i="3"/>
  <c r="H158" i="3"/>
  <c r="G158" i="3" s="1"/>
  <c r="AX157" i="3"/>
  <c r="AW157" i="3"/>
  <c r="AV157" i="3"/>
  <c r="AC157" i="3"/>
  <c r="H157" i="3"/>
  <c r="AX156" i="3"/>
  <c r="AW156" i="3"/>
  <c r="AV156" i="3"/>
  <c r="AC156" i="3"/>
  <c r="H156" i="3"/>
  <c r="AX155" i="3"/>
  <c r="AW155" i="3"/>
  <c r="AV155" i="3"/>
  <c r="AC155" i="3"/>
  <c r="H155" i="3"/>
  <c r="G155" i="3" s="1"/>
  <c r="AX154" i="3"/>
  <c r="AW154" i="3"/>
  <c r="AV154" i="3"/>
  <c r="AC154" i="3"/>
  <c r="H154" i="3"/>
  <c r="G154" i="3" s="1"/>
  <c r="AX153" i="3"/>
  <c r="AW153" i="3"/>
  <c r="AV153" i="3"/>
  <c r="AC153" i="3"/>
  <c r="H153" i="3"/>
  <c r="AX152" i="3"/>
  <c r="AW152" i="3"/>
  <c r="AV152" i="3"/>
  <c r="AC152" i="3"/>
  <c r="H152" i="3"/>
  <c r="AX151" i="3"/>
  <c r="AW151" i="3"/>
  <c r="AV151" i="3"/>
  <c r="AC151" i="3"/>
  <c r="H151" i="3"/>
  <c r="G151" i="3" s="1"/>
  <c r="AX150" i="3"/>
  <c r="AW150" i="3"/>
  <c r="AV150" i="3"/>
  <c r="AC150" i="3"/>
  <c r="H150" i="3"/>
  <c r="G150" i="3" s="1"/>
  <c r="AX149" i="3"/>
  <c r="AW149" i="3"/>
  <c r="AV149" i="3"/>
  <c r="AC149" i="3"/>
  <c r="H149" i="3"/>
  <c r="AX148" i="3"/>
  <c r="AW148" i="3"/>
  <c r="AV148" i="3"/>
  <c r="AC148" i="3"/>
  <c r="H148" i="3"/>
  <c r="AX147" i="3"/>
  <c r="AW147" i="3"/>
  <c r="AV147" i="3"/>
  <c r="AC147" i="3"/>
  <c r="H147" i="3"/>
  <c r="AX146" i="3"/>
  <c r="AW146" i="3"/>
  <c r="AV146" i="3"/>
  <c r="AC146" i="3"/>
  <c r="H146" i="3"/>
  <c r="AX145" i="3"/>
  <c r="AW145" i="3"/>
  <c r="AV145" i="3"/>
  <c r="AC145" i="3"/>
  <c r="H145" i="3"/>
  <c r="AX144" i="3"/>
  <c r="AW144" i="3"/>
  <c r="AV144" i="3"/>
  <c r="AC144" i="3"/>
  <c r="H144" i="3"/>
  <c r="G144" i="3"/>
  <c r="AX143" i="3"/>
  <c r="AW143" i="3"/>
  <c r="AV143" i="3"/>
  <c r="AC143" i="3"/>
  <c r="H143" i="3"/>
  <c r="AX142" i="3"/>
  <c r="AW142" i="3"/>
  <c r="AV142" i="3"/>
  <c r="AC142" i="3"/>
  <c r="H142" i="3"/>
  <c r="AX141" i="3"/>
  <c r="AW141" i="3"/>
  <c r="AV141" i="3"/>
  <c r="AC141" i="3"/>
  <c r="H141" i="3"/>
  <c r="AX140" i="3"/>
  <c r="AW140" i="3"/>
  <c r="AV140" i="3"/>
  <c r="AC140" i="3"/>
  <c r="H140" i="3"/>
  <c r="G140" i="3" s="1"/>
  <c r="AX139" i="3"/>
  <c r="AW139" i="3"/>
  <c r="AV139" i="3"/>
  <c r="AC139" i="3"/>
  <c r="H139" i="3"/>
  <c r="AX138" i="3"/>
  <c r="AW138" i="3"/>
  <c r="AV138" i="3"/>
  <c r="AC138" i="3"/>
  <c r="H138" i="3"/>
  <c r="AX137" i="3"/>
  <c r="AW137" i="3"/>
  <c r="AV137" i="3"/>
  <c r="AC137" i="3"/>
  <c r="H137" i="3"/>
  <c r="AX136" i="3"/>
  <c r="AW136" i="3"/>
  <c r="AV136" i="3"/>
  <c r="AC136" i="3"/>
  <c r="H136" i="3"/>
  <c r="G136" i="3"/>
  <c r="AX135" i="3"/>
  <c r="AW135" i="3"/>
  <c r="AV135" i="3"/>
  <c r="AC135" i="3"/>
  <c r="H135" i="3"/>
  <c r="AX134" i="3"/>
  <c r="AW134" i="3"/>
  <c r="AV134" i="3"/>
  <c r="AC134" i="3"/>
  <c r="H134" i="3"/>
  <c r="G134" i="3" s="1"/>
  <c r="AX133" i="3"/>
  <c r="AW133" i="3"/>
  <c r="AV133" i="3"/>
  <c r="AC133" i="3"/>
  <c r="H133" i="3"/>
  <c r="AX132" i="3"/>
  <c r="AW132" i="3"/>
  <c r="AV132" i="3"/>
  <c r="AC132" i="3"/>
  <c r="H132" i="3"/>
  <c r="G132" i="3"/>
  <c r="AX131" i="3"/>
  <c r="AW131" i="3"/>
  <c r="AV131" i="3"/>
  <c r="AC131" i="3"/>
  <c r="H131" i="3"/>
  <c r="AX130" i="3"/>
  <c r="AW130" i="3"/>
  <c r="AV130" i="3"/>
  <c r="AC130" i="3"/>
  <c r="H130" i="3"/>
  <c r="G130" i="3" s="1"/>
  <c r="AX129" i="3"/>
  <c r="AW129" i="3"/>
  <c r="AV129" i="3"/>
  <c r="AC129" i="3"/>
  <c r="H129" i="3"/>
  <c r="AX128" i="3"/>
  <c r="AW128" i="3"/>
  <c r="AV128" i="3"/>
  <c r="AC128" i="3"/>
  <c r="H128" i="3"/>
  <c r="G128" i="3"/>
  <c r="AX127" i="3"/>
  <c r="AW127" i="3"/>
  <c r="AV127" i="3"/>
  <c r="AC127" i="3"/>
  <c r="H127" i="3"/>
  <c r="AX126" i="3"/>
  <c r="AW126" i="3"/>
  <c r="AV126" i="3"/>
  <c r="AC126" i="3"/>
  <c r="H126" i="3"/>
  <c r="G126" i="3" s="1"/>
  <c r="AX125" i="3"/>
  <c r="AW125" i="3"/>
  <c r="AV125" i="3"/>
  <c r="AC125" i="3"/>
  <c r="H125" i="3"/>
  <c r="AX124" i="3"/>
  <c r="AW124" i="3"/>
  <c r="AV124" i="3"/>
  <c r="AC124" i="3"/>
  <c r="H124" i="3"/>
  <c r="AX123" i="3"/>
  <c r="AW123" i="3"/>
  <c r="AV123" i="3"/>
  <c r="AC123" i="3"/>
  <c r="H123" i="3"/>
  <c r="G123" i="3" s="1"/>
  <c r="AX122" i="3"/>
  <c r="AW122" i="3"/>
  <c r="AV122" i="3"/>
  <c r="AC122" i="3"/>
  <c r="H122" i="3"/>
  <c r="AX121" i="3"/>
  <c r="AW121" i="3"/>
  <c r="AV121" i="3"/>
  <c r="AC121" i="3"/>
  <c r="H121" i="3"/>
  <c r="AX120" i="3"/>
  <c r="AW120" i="3"/>
  <c r="AV120" i="3"/>
  <c r="AC120" i="3"/>
  <c r="H120" i="3"/>
  <c r="G120" i="3" s="1"/>
  <c r="AX119" i="3"/>
  <c r="AW119" i="3"/>
  <c r="AV119" i="3"/>
  <c r="AC119" i="3"/>
  <c r="H119" i="3"/>
  <c r="AX118" i="3"/>
  <c r="AW118" i="3"/>
  <c r="AV118" i="3"/>
  <c r="AC118" i="3"/>
  <c r="H118" i="3"/>
  <c r="G118" i="3"/>
  <c r="AX117" i="3"/>
  <c r="AW117" i="3"/>
  <c r="AV117" i="3"/>
  <c r="AC117" i="3"/>
  <c r="H117" i="3"/>
  <c r="AX116" i="3"/>
  <c r="AW116" i="3"/>
  <c r="AV116" i="3"/>
  <c r="AC116" i="3"/>
  <c r="H116" i="3"/>
  <c r="AX115" i="3"/>
  <c r="AW115" i="3"/>
  <c r="AV115" i="3"/>
  <c r="AC115" i="3"/>
  <c r="H115" i="3"/>
  <c r="G115" i="3"/>
  <c r="AX114" i="3"/>
  <c r="AW114" i="3"/>
  <c r="AV114" i="3"/>
  <c r="AC114" i="3"/>
  <c r="H114" i="3"/>
  <c r="AX113" i="3"/>
  <c r="AW113" i="3"/>
  <c r="AV113" i="3"/>
  <c r="AC113" i="3"/>
  <c r="H113" i="3"/>
  <c r="AX302" i="3"/>
  <c r="AW302" i="3"/>
  <c r="AV302" i="3"/>
  <c r="AC302" i="3"/>
  <c r="H302" i="3"/>
  <c r="AX301" i="3"/>
  <c r="AW301" i="3"/>
  <c r="AV301" i="3"/>
  <c r="AC301" i="3"/>
  <c r="H301" i="3"/>
  <c r="G301" i="3" s="1"/>
  <c r="AX300" i="3"/>
  <c r="AW300" i="3"/>
  <c r="AV300" i="3"/>
  <c r="AC300" i="3"/>
  <c r="H300" i="3"/>
  <c r="AX299" i="3"/>
  <c r="AW299" i="3"/>
  <c r="AV299" i="3"/>
  <c r="AC299" i="3"/>
  <c r="H299" i="3"/>
  <c r="AX298" i="3"/>
  <c r="AW298" i="3"/>
  <c r="AV298" i="3"/>
  <c r="AC298" i="3"/>
  <c r="H298" i="3"/>
  <c r="G298" i="3" s="1"/>
  <c r="AX297" i="3"/>
  <c r="AW297" i="3"/>
  <c r="AV297" i="3"/>
  <c r="AC297" i="3"/>
  <c r="H297" i="3"/>
  <c r="G297" i="3" s="1"/>
  <c r="AX296" i="3"/>
  <c r="AW296" i="3"/>
  <c r="AV296" i="3"/>
  <c r="AC296" i="3"/>
  <c r="H296" i="3"/>
  <c r="AX295" i="3"/>
  <c r="AW295" i="3"/>
  <c r="AV295" i="3"/>
  <c r="AC295" i="3"/>
  <c r="H295" i="3"/>
  <c r="G295" i="3"/>
  <c r="AX294" i="3"/>
  <c r="AW294" i="3"/>
  <c r="AV294" i="3"/>
  <c r="AC294" i="3"/>
  <c r="H294" i="3"/>
  <c r="AX293" i="3"/>
  <c r="AW293" i="3"/>
  <c r="AV293" i="3"/>
  <c r="AC293" i="3"/>
  <c r="H293" i="3"/>
  <c r="AX292" i="3"/>
  <c r="AW292" i="3"/>
  <c r="AV292" i="3"/>
  <c r="AC292" i="3"/>
  <c r="H292" i="3"/>
  <c r="G292" i="3"/>
  <c r="AX291" i="3"/>
  <c r="AW291" i="3"/>
  <c r="AV291" i="3"/>
  <c r="AC291" i="3"/>
  <c r="H291" i="3"/>
  <c r="AX290" i="3"/>
  <c r="AW290" i="3"/>
  <c r="AV290" i="3"/>
  <c r="AC290" i="3"/>
  <c r="H290" i="3"/>
  <c r="AX289" i="3"/>
  <c r="AW289" i="3"/>
  <c r="AV289" i="3"/>
  <c r="AC289" i="3"/>
  <c r="H289" i="3"/>
  <c r="G289" i="3"/>
  <c r="AX288" i="3"/>
  <c r="AW288" i="3"/>
  <c r="AV288" i="3"/>
  <c r="AC288" i="3"/>
  <c r="H288" i="3"/>
  <c r="AX287" i="3"/>
  <c r="AW287" i="3"/>
  <c r="AV287" i="3"/>
  <c r="AC287" i="3"/>
  <c r="H287" i="3"/>
  <c r="G287" i="3" s="1"/>
  <c r="AX286" i="3"/>
  <c r="AW286" i="3"/>
  <c r="AV286" i="3"/>
  <c r="AC286" i="3"/>
  <c r="H286" i="3"/>
  <c r="AX285" i="3"/>
  <c r="AW285" i="3"/>
  <c r="AV285" i="3"/>
  <c r="AC285" i="3"/>
  <c r="H285" i="3"/>
  <c r="G285" i="3"/>
  <c r="AX284" i="3"/>
  <c r="AW284" i="3"/>
  <c r="AV284" i="3"/>
  <c r="AC284" i="3"/>
  <c r="H284" i="3"/>
  <c r="AX283" i="3"/>
  <c r="AW283" i="3"/>
  <c r="AV283" i="3"/>
  <c r="AC283" i="3"/>
  <c r="H283" i="3"/>
  <c r="AX282" i="3"/>
  <c r="AW282" i="3"/>
  <c r="AV282" i="3"/>
  <c r="AC282" i="3"/>
  <c r="H282" i="3"/>
  <c r="G282" i="3"/>
  <c r="AX281" i="3"/>
  <c r="AW281" i="3"/>
  <c r="AV281" i="3"/>
  <c r="AC281" i="3"/>
  <c r="H281" i="3"/>
  <c r="G281" i="3"/>
  <c r="AX280" i="3"/>
  <c r="AW280" i="3"/>
  <c r="AV280" i="3"/>
  <c r="AC280" i="3"/>
  <c r="H280" i="3"/>
  <c r="AX279" i="3"/>
  <c r="AW279" i="3"/>
  <c r="AV279" i="3"/>
  <c r="AC279" i="3"/>
  <c r="H279" i="3"/>
  <c r="G279" i="3" s="1"/>
  <c r="AX278" i="3"/>
  <c r="AW278" i="3"/>
  <c r="AV278" i="3"/>
  <c r="AC278" i="3"/>
  <c r="H278" i="3"/>
  <c r="AX277" i="3"/>
  <c r="AW277" i="3"/>
  <c r="AV277" i="3"/>
  <c r="AC277" i="3"/>
  <c r="H277" i="3"/>
  <c r="AX276" i="3"/>
  <c r="AW276" i="3"/>
  <c r="AV276" i="3"/>
  <c r="AC276" i="3"/>
  <c r="H276" i="3"/>
  <c r="G276" i="3" s="1"/>
  <c r="AX275" i="3"/>
  <c r="AW275" i="3"/>
  <c r="AV275" i="3"/>
  <c r="AC275" i="3"/>
  <c r="H275" i="3"/>
  <c r="AX274" i="3"/>
  <c r="AW274" i="3"/>
  <c r="AV274" i="3"/>
  <c r="AC274" i="3"/>
  <c r="H274" i="3"/>
  <c r="AX273" i="3"/>
  <c r="AW273" i="3"/>
  <c r="AV273" i="3"/>
  <c r="AC273" i="3"/>
  <c r="H273" i="3"/>
  <c r="AX272" i="3"/>
  <c r="AW272" i="3"/>
  <c r="AV272" i="3"/>
  <c r="AC272" i="3"/>
  <c r="H272" i="3"/>
  <c r="G272" i="3"/>
  <c r="AX271" i="3"/>
  <c r="AW271" i="3"/>
  <c r="AV271" i="3"/>
  <c r="AC271" i="3"/>
  <c r="H271" i="3"/>
  <c r="AX270" i="3"/>
  <c r="AW270" i="3"/>
  <c r="AV270" i="3"/>
  <c r="AC270" i="3"/>
  <c r="H270" i="3"/>
  <c r="AX269" i="3"/>
  <c r="AW269" i="3"/>
  <c r="AV269" i="3"/>
  <c r="AC269" i="3"/>
  <c r="H269" i="3"/>
  <c r="AX268" i="3"/>
  <c r="AW268" i="3"/>
  <c r="AV268" i="3"/>
  <c r="AC268" i="3"/>
  <c r="H268" i="3"/>
  <c r="AX267" i="3"/>
  <c r="AW267" i="3"/>
  <c r="AV267" i="3"/>
  <c r="AC267" i="3"/>
  <c r="H267" i="3"/>
  <c r="G267" i="3"/>
  <c r="AX266" i="3"/>
  <c r="AW266" i="3"/>
  <c r="AV266" i="3"/>
  <c r="AC266" i="3"/>
  <c r="H266" i="3"/>
  <c r="AX265" i="3"/>
  <c r="AW265" i="3"/>
  <c r="AV265" i="3"/>
  <c r="AC265" i="3"/>
  <c r="H265" i="3"/>
  <c r="G265" i="3" s="1"/>
  <c r="AX264" i="3"/>
  <c r="AW264" i="3"/>
  <c r="AV264" i="3"/>
  <c r="AC264" i="3"/>
  <c r="H264" i="3"/>
  <c r="AX263" i="3"/>
  <c r="AW263" i="3"/>
  <c r="AV263" i="3"/>
  <c r="AC263" i="3"/>
  <c r="H263" i="3"/>
  <c r="G263" i="3"/>
  <c r="AX262" i="3"/>
  <c r="AW262" i="3"/>
  <c r="AV262" i="3"/>
  <c r="AC262" i="3"/>
  <c r="H262" i="3"/>
  <c r="AX261" i="3"/>
  <c r="AW261" i="3"/>
  <c r="AV261" i="3"/>
  <c r="AC261" i="3"/>
  <c r="H261" i="3"/>
  <c r="G261" i="3" s="1"/>
  <c r="AX260" i="3"/>
  <c r="AW260" i="3"/>
  <c r="AV260" i="3"/>
  <c r="AC260" i="3"/>
  <c r="H260" i="3"/>
  <c r="AX259" i="3"/>
  <c r="AW259" i="3"/>
  <c r="AV259" i="3"/>
  <c r="AC259" i="3"/>
  <c r="H259" i="3"/>
  <c r="G259" i="3"/>
  <c r="AX258" i="3"/>
  <c r="AW258" i="3"/>
  <c r="AV258" i="3"/>
  <c r="AC258" i="3"/>
  <c r="H258" i="3"/>
  <c r="AX257" i="3"/>
  <c r="AW257" i="3"/>
  <c r="AV257" i="3"/>
  <c r="AC257" i="3"/>
  <c r="H257" i="3"/>
  <c r="G257" i="3" s="1"/>
  <c r="AX256" i="3"/>
  <c r="AW256" i="3"/>
  <c r="AV256" i="3"/>
  <c r="AC256" i="3"/>
  <c r="H256" i="3"/>
  <c r="AX255" i="3"/>
  <c r="AW255" i="3"/>
  <c r="AV255" i="3"/>
  <c r="AC255" i="3"/>
  <c r="H255" i="3"/>
  <c r="G255" i="3"/>
  <c r="AX254" i="3"/>
  <c r="AW254" i="3"/>
  <c r="AV254" i="3"/>
  <c r="AC254" i="3"/>
  <c r="H254" i="3"/>
  <c r="AX253" i="3"/>
  <c r="AW253" i="3"/>
  <c r="AV253" i="3"/>
  <c r="AC253" i="3"/>
  <c r="H253" i="3"/>
  <c r="AX252" i="3"/>
  <c r="AW252" i="3"/>
  <c r="AV252" i="3"/>
  <c r="AC252" i="3"/>
  <c r="H252" i="3"/>
  <c r="G252" i="3"/>
  <c r="AX251" i="3"/>
  <c r="AW251" i="3"/>
  <c r="AV251" i="3"/>
  <c r="AC251" i="3"/>
  <c r="H251" i="3"/>
  <c r="G251" i="3"/>
  <c r="AX250" i="3"/>
  <c r="AW250" i="3"/>
  <c r="AV250" i="3"/>
  <c r="AC250" i="3"/>
  <c r="H250" i="3"/>
  <c r="AX249" i="3"/>
  <c r="AW249" i="3"/>
  <c r="AV249" i="3"/>
  <c r="AC249" i="3"/>
  <c r="H249" i="3"/>
  <c r="AX248" i="3"/>
  <c r="AW248" i="3"/>
  <c r="AV248" i="3"/>
  <c r="AC248" i="3"/>
  <c r="H248" i="3"/>
  <c r="AX247" i="3"/>
  <c r="AW247" i="3"/>
  <c r="AV247" i="3"/>
  <c r="AC247" i="3"/>
  <c r="H247" i="3"/>
  <c r="G247" i="3" s="1"/>
  <c r="AX246" i="3"/>
  <c r="AW246" i="3"/>
  <c r="AV246" i="3"/>
  <c r="AC246" i="3"/>
  <c r="H246" i="3"/>
  <c r="G246" i="3" s="1"/>
  <c r="AX245" i="3"/>
  <c r="AW245" i="3"/>
  <c r="AV245" i="3"/>
  <c r="AC245" i="3"/>
  <c r="H245" i="3"/>
  <c r="AX244" i="3"/>
  <c r="AW244" i="3"/>
  <c r="AV244" i="3"/>
  <c r="AC244" i="3"/>
  <c r="H244" i="3"/>
  <c r="G244" i="3"/>
  <c r="AX243" i="3"/>
  <c r="AW243" i="3"/>
  <c r="AV243" i="3"/>
  <c r="AC243" i="3"/>
  <c r="H243" i="3"/>
  <c r="G243" i="3"/>
  <c r="AX242" i="3"/>
  <c r="AW242" i="3"/>
  <c r="AV242" i="3"/>
  <c r="AC242" i="3"/>
  <c r="H242" i="3"/>
  <c r="G242" i="3"/>
  <c r="AX241" i="3"/>
  <c r="AW241" i="3"/>
  <c r="AV241" i="3"/>
  <c r="AC241" i="3"/>
  <c r="H241" i="3"/>
  <c r="AX240" i="3"/>
  <c r="AW240" i="3"/>
  <c r="AV240" i="3"/>
  <c r="AC240" i="3"/>
  <c r="H240" i="3"/>
  <c r="G240" i="3" s="1"/>
  <c r="AX239" i="3"/>
  <c r="AW239" i="3"/>
  <c r="AV239" i="3"/>
  <c r="AC239" i="3"/>
  <c r="H239" i="3"/>
  <c r="AX238" i="3"/>
  <c r="AW238" i="3"/>
  <c r="AV238" i="3"/>
  <c r="AC238" i="3"/>
  <c r="H238" i="3"/>
  <c r="AX237" i="3"/>
  <c r="AW237" i="3"/>
  <c r="AV237" i="3"/>
  <c r="AC237" i="3"/>
  <c r="H237" i="3"/>
  <c r="AX236" i="3"/>
  <c r="AW236" i="3"/>
  <c r="AV236" i="3"/>
  <c r="AC236" i="3"/>
  <c r="H236" i="3"/>
  <c r="G236" i="3"/>
  <c r="AX235" i="3"/>
  <c r="AW235" i="3"/>
  <c r="AV235" i="3"/>
  <c r="AC235" i="3"/>
  <c r="H235" i="3"/>
  <c r="AX234" i="3"/>
  <c r="AW234" i="3"/>
  <c r="AV234" i="3"/>
  <c r="AC234" i="3"/>
  <c r="H234" i="3"/>
  <c r="AX233" i="3"/>
  <c r="AW233" i="3"/>
  <c r="AV233" i="3"/>
  <c r="AC233" i="3"/>
  <c r="H233" i="3"/>
  <c r="AX232" i="3"/>
  <c r="AW232" i="3"/>
  <c r="AV232" i="3"/>
  <c r="AC232" i="3"/>
  <c r="H232" i="3"/>
  <c r="AX231" i="3"/>
  <c r="AW231" i="3"/>
  <c r="AV231" i="3"/>
  <c r="AC231" i="3"/>
  <c r="H231" i="3"/>
  <c r="G231" i="3"/>
  <c r="AX230" i="3"/>
  <c r="AW230" i="3"/>
  <c r="AV230" i="3"/>
  <c r="AC230" i="3"/>
  <c r="H230" i="3"/>
  <c r="AX229" i="3"/>
  <c r="AW229" i="3"/>
  <c r="AV229" i="3"/>
  <c r="AC229" i="3"/>
  <c r="H229" i="3"/>
  <c r="G229" i="3" s="1"/>
  <c r="AX228" i="3"/>
  <c r="AW228" i="3"/>
  <c r="AV228" i="3"/>
  <c r="AC228" i="3"/>
  <c r="H228" i="3"/>
  <c r="AX227" i="3"/>
  <c r="AW227" i="3"/>
  <c r="AV227" i="3"/>
  <c r="AC227" i="3"/>
  <c r="H227" i="3"/>
  <c r="G227" i="3"/>
  <c r="AX226" i="3"/>
  <c r="AW226" i="3"/>
  <c r="AV226" i="3"/>
  <c r="AC226" i="3"/>
  <c r="H226" i="3"/>
  <c r="AX225" i="3"/>
  <c r="AW225" i="3"/>
  <c r="AV225" i="3"/>
  <c r="AC225" i="3"/>
  <c r="H225" i="3"/>
  <c r="G225" i="3" s="1"/>
  <c r="AX224" i="3"/>
  <c r="AW224" i="3"/>
  <c r="AV224" i="3"/>
  <c r="AC224" i="3"/>
  <c r="H224" i="3"/>
  <c r="AX223" i="3"/>
  <c r="AW223" i="3"/>
  <c r="AV223" i="3"/>
  <c r="AC223" i="3"/>
  <c r="H223" i="3"/>
  <c r="AX222" i="3"/>
  <c r="AW222" i="3"/>
  <c r="AV222" i="3"/>
  <c r="AC222" i="3"/>
  <c r="H222" i="3"/>
  <c r="AX221" i="3"/>
  <c r="AW221" i="3"/>
  <c r="AV221" i="3"/>
  <c r="AC221" i="3"/>
  <c r="H221" i="3"/>
  <c r="G221" i="3"/>
  <c r="AX220" i="3"/>
  <c r="AW220" i="3"/>
  <c r="AV220" i="3"/>
  <c r="AC220" i="3"/>
  <c r="H220" i="3"/>
  <c r="G220" i="3"/>
  <c r="AX219" i="3"/>
  <c r="AW219" i="3"/>
  <c r="AV219" i="3"/>
  <c r="AC219" i="3"/>
  <c r="H219" i="3"/>
  <c r="AX218" i="3"/>
  <c r="AW218" i="3"/>
  <c r="AV218" i="3"/>
  <c r="AC218" i="3"/>
  <c r="H218" i="3"/>
  <c r="G218" i="3" s="1"/>
  <c r="AX217" i="3"/>
  <c r="AW217" i="3"/>
  <c r="AV217" i="3"/>
  <c r="AC217" i="3"/>
  <c r="H217" i="3"/>
  <c r="AX216" i="3"/>
  <c r="AW216" i="3"/>
  <c r="AV216" i="3"/>
  <c r="AC216" i="3"/>
  <c r="H216" i="3"/>
  <c r="G216" i="3"/>
  <c r="AX215" i="3"/>
  <c r="AW215" i="3"/>
  <c r="AV215" i="3"/>
  <c r="AC215" i="3"/>
  <c r="H215" i="3"/>
  <c r="G215" i="3"/>
  <c r="AX214" i="3"/>
  <c r="AW214" i="3"/>
  <c r="AV214" i="3"/>
  <c r="AC214" i="3"/>
  <c r="H214" i="3"/>
  <c r="G214" i="3"/>
  <c r="AX213" i="3"/>
  <c r="AW213" i="3"/>
  <c r="AV213" i="3"/>
  <c r="AC213" i="3"/>
  <c r="H213" i="3"/>
  <c r="AX212" i="3"/>
  <c r="AW212" i="3"/>
  <c r="AV212" i="3"/>
  <c r="AC212" i="3"/>
  <c r="H212" i="3"/>
  <c r="G212" i="3" s="1"/>
  <c r="AX211" i="3"/>
  <c r="AW211" i="3"/>
  <c r="AV211" i="3"/>
  <c r="AC211" i="3"/>
  <c r="H211" i="3"/>
  <c r="G211" i="3" s="1"/>
  <c r="AX210" i="3"/>
  <c r="AW210" i="3"/>
  <c r="AV210" i="3"/>
  <c r="AC210" i="3"/>
  <c r="H210" i="3"/>
  <c r="AX209" i="3"/>
  <c r="AW209" i="3"/>
  <c r="AV209" i="3"/>
  <c r="AC209" i="3"/>
  <c r="H209" i="3"/>
  <c r="G209" i="3"/>
  <c r="AX208" i="3"/>
  <c r="AW208" i="3"/>
  <c r="AV208" i="3"/>
  <c r="AC208" i="3"/>
  <c r="H208" i="3"/>
  <c r="AX397" i="3"/>
  <c r="AW397" i="3"/>
  <c r="AV397" i="3"/>
  <c r="AC397" i="3"/>
  <c r="H397" i="3"/>
  <c r="G397" i="3" s="1"/>
  <c r="AX396" i="3"/>
  <c r="AW396" i="3"/>
  <c r="AV396" i="3"/>
  <c r="AC396" i="3"/>
  <c r="H396" i="3"/>
  <c r="G396" i="3" s="1"/>
  <c r="AX395" i="3"/>
  <c r="AW395" i="3"/>
  <c r="AV395" i="3"/>
  <c r="AC395" i="3"/>
  <c r="H395" i="3"/>
  <c r="G395" i="3" s="1"/>
  <c r="AX394" i="3"/>
  <c r="AW394" i="3"/>
  <c r="AV394" i="3"/>
  <c r="AC394" i="3"/>
  <c r="H394" i="3"/>
  <c r="AX393" i="3"/>
  <c r="AW393" i="3"/>
  <c r="AV393" i="3"/>
  <c r="AC393" i="3"/>
  <c r="H393" i="3"/>
  <c r="AX392" i="3"/>
  <c r="AW392" i="3"/>
  <c r="AV392" i="3"/>
  <c r="AC392" i="3"/>
  <c r="H392" i="3"/>
  <c r="AX391" i="3"/>
  <c r="AW391" i="3"/>
  <c r="AV391" i="3"/>
  <c r="AC391" i="3"/>
  <c r="H391" i="3"/>
  <c r="AX390" i="3"/>
  <c r="AW390" i="3"/>
  <c r="AV390" i="3"/>
  <c r="AC390" i="3"/>
  <c r="H390" i="3"/>
  <c r="AX389" i="3"/>
  <c r="AW389" i="3"/>
  <c r="AV389" i="3"/>
  <c r="AC389" i="3"/>
  <c r="H389" i="3"/>
  <c r="AX388" i="3"/>
  <c r="AW388" i="3"/>
  <c r="AV388" i="3"/>
  <c r="AC388" i="3"/>
  <c r="H388" i="3"/>
  <c r="AX387" i="3"/>
  <c r="AW387" i="3"/>
  <c r="AV387" i="3"/>
  <c r="AC387" i="3"/>
  <c r="H387" i="3"/>
  <c r="G387" i="3"/>
  <c r="AX386" i="3"/>
  <c r="AW386" i="3"/>
  <c r="AV386" i="3"/>
  <c r="AC386" i="3"/>
  <c r="H386" i="3"/>
  <c r="AX385" i="3"/>
  <c r="AW385" i="3"/>
  <c r="AV385" i="3"/>
  <c r="AC385" i="3"/>
  <c r="H385" i="3"/>
  <c r="AX384" i="3"/>
  <c r="AW384" i="3"/>
  <c r="AV384" i="3"/>
  <c r="AC384" i="3"/>
  <c r="H384" i="3"/>
  <c r="G384" i="3"/>
  <c r="AX383" i="3"/>
  <c r="AW383" i="3"/>
  <c r="AV383" i="3"/>
  <c r="AC383" i="3"/>
  <c r="H383" i="3"/>
  <c r="AX382" i="3"/>
  <c r="AW382" i="3"/>
  <c r="AV382" i="3"/>
  <c r="AC382" i="3"/>
  <c r="H382" i="3"/>
  <c r="AX381" i="3"/>
  <c r="AW381" i="3"/>
  <c r="AV381" i="3"/>
  <c r="AC381" i="3"/>
  <c r="H381" i="3"/>
  <c r="AX380" i="3"/>
  <c r="AW380" i="3"/>
  <c r="AV380" i="3"/>
  <c r="AC380" i="3"/>
  <c r="H380" i="3"/>
  <c r="G380" i="3" s="1"/>
  <c r="AX379" i="3"/>
  <c r="AW379" i="3"/>
  <c r="AV379" i="3"/>
  <c r="AC379" i="3"/>
  <c r="H379" i="3"/>
  <c r="AX378" i="3"/>
  <c r="AW378" i="3"/>
  <c r="AV378" i="3"/>
  <c r="AC378" i="3"/>
  <c r="H378" i="3"/>
  <c r="G378" i="3"/>
  <c r="AX377" i="3"/>
  <c r="AW377" i="3"/>
  <c r="AV377" i="3"/>
  <c r="AC377" i="3"/>
  <c r="H377" i="3"/>
  <c r="AX376" i="3"/>
  <c r="AW376" i="3"/>
  <c r="AV376" i="3"/>
  <c r="AC376" i="3"/>
  <c r="H376" i="3"/>
  <c r="AX375" i="3"/>
  <c r="AW375" i="3"/>
  <c r="AV375" i="3"/>
  <c r="AC375" i="3"/>
  <c r="H375" i="3"/>
  <c r="AX374" i="3"/>
  <c r="AW374" i="3"/>
  <c r="AV374" i="3"/>
  <c r="AC374" i="3"/>
  <c r="H374" i="3"/>
  <c r="G374" i="3" s="1"/>
  <c r="AX373" i="3"/>
  <c r="AW373" i="3"/>
  <c r="AV373" i="3"/>
  <c r="AC373" i="3"/>
  <c r="H373" i="3"/>
  <c r="AX372" i="3"/>
  <c r="AW372" i="3"/>
  <c r="AV372" i="3"/>
  <c r="AC372" i="3"/>
  <c r="H372" i="3"/>
  <c r="AX371" i="3"/>
  <c r="AW371" i="3"/>
  <c r="AV371" i="3"/>
  <c r="AC371" i="3"/>
  <c r="H371" i="3"/>
  <c r="AX370" i="3"/>
  <c r="AW370" i="3"/>
  <c r="AV370" i="3"/>
  <c r="AC370" i="3"/>
  <c r="H370" i="3"/>
  <c r="AX369" i="3"/>
  <c r="AW369" i="3"/>
  <c r="AV369" i="3"/>
  <c r="AC369" i="3"/>
  <c r="H369" i="3"/>
  <c r="AX368" i="3"/>
  <c r="AW368" i="3"/>
  <c r="AV368" i="3"/>
  <c r="AC368" i="3"/>
  <c r="H368" i="3"/>
  <c r="AX367" i="3"/>
  <c r="AW367" i="3"/>
  <c r="AV367" i="3"/>
  <c r="AC367" i="3"/>
  <c r="H367" i="3"/>
  <c r="AX366" i="3"/>
  <c r="AW366" i="3"/>
  <c r="AV366" i="3"/>
  <c r="AC366" i="3"/>
  <c r="H366" i="3"/>
  <c r="G366" i="3"/>
  <c r="AX365" i="3"/>
  <c r="AW365" i="3"/>
  <c r="AV365" i="3"/>
  <c r="AC365" i="3"/>
  <c r="H365" i="3"/>
  <c r="AX364" i="3"/>
  <c r="AW364" i="3"/>
  <c r="AV364" i="3"/>
  <c r="AC364" i="3"/>
  <c r="H364" i="3"/>
  <c r="AX363" i="3"/>
  <c r="AW363" i="3"/>
  <c r="AV363" i="3"/>
  <c r="AC363" i="3"/>
  <c r="H363" i="3"/>
  <c r="AX362" i="3"/>
  <c r="AW362" i="3"/>
  <c r="AV362" i="3"/>
  <c r="AC362" i="3"/>
  <c r="H362" i="3"/>
  <c r="AX361" i="3"/>
  <c r="AW361" i="3"/>
  <c r="AV361" i="3"/>
  <c r="AC361" i="3"/>
  <c r="H361" i="3"/>
  <c r="AX360" i="3"/>
  <c r="AW360" i="3"/>
  <c r="AV360" i="3"/>
  <c r="AC360" i="3"/>
  <c r="H360" i="3"/>
  <c r="AX359" i="3"/>
  <c r="AW359" i="3"/>
  <c r="AV359" i="3"/>
  <c r="AC359" i="3"/>
  <c r="H359" i="3"/>
  <c r="AX358" i="3"/>
  <c r="AW358" i="3"/>
  <c r="AV358" i="3"/>
  <c r="AC358" i="3"/>
  <c r="H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AX351" i="3"/>
  <c r="AW351" i="3"/>
  <c r="AV351" i="3"/>
  <c r="AC351" i="3"/>
  <c r="H351" i="3"/>
  <c r="AX350" i="3"/>
  <c r="AW350" i="3"/>
  <c r="AV350" i="3"/>
  <c r="AC350" i="3"/>
  <c r="H350" i="3"/>
  <c r="AX349" i="3"/>
  <c r="AW349" i="3"/>
  <c r="AV349" i="3"/>
  <c r="AC349" i="3"/>
  <c r="H349" i="3"/>
  <c r="AX348" i="3"/>
  <c r="AW348" i="3"/>
  <c r="AV348" i="3"/>
  <c r="AC348" i="3"/>
  <c r="H348" i="3"/>
  <c r="AX347" i="3"/>
  <c r="AW347" i="3"/>
  <c r="AV347" i="3"/>
  <c r="AC347" i="3"/>
  <c r="H347" i="3"/>
  <c r="G347" i="3"/>
  <c r="AX346" i="3"/>
  <c r="AW346" i="3"/>
  <c r="AV346" i="3"/>
  <c r="AC346" i="3"/>
  <c r="H346" i="3"/>
  <c r="AX345" i="3"/>
  <c r="AW345" i="3"/>
  <c r="AV345" i="3"/>
  <c r="AC345" i="3"/>
  <c r="H345" i="3"/>
  <c r="G345" i="3" s="1"/>
  <c r="AX344" i="3"/>
  <c r="AW344" i="3"/>
  <c r="AV344" i="3"/>
  <c r="AC344" i="3"/>
  <c r="H344" i="3"/>
  <c r="AX343" i="3"/>
  <c r="AW343" i="3"/>
  <c r="AV343" i="3"/>
  <c r="AC343" i="3"/>
  <c r="H343" i="3"/>
  <c r="AX342" i="3"/>
  <c r="AW342" i="3"/>
  <c r="AV342" i="3"/>
  <c r="AC342" i="3"/>
  <c r="H342" i="3"/>
  <c r="AX341" i="3"/>
  <c r="AW341" i="3"/>
  <c r="AV341" i="3"/>
  <c r="AC341" i="3"/>
  <c r="H341" i="3"/>
  <c r="AX340" i="3"/>
  <c r="AW340" i="3"/>
  <c r="AV340" i="3"/>
  <c r="AC340" i="3"/>
  <c r="H340" i="3"/>
  <c r="AX339" i="3"/>
  <c r="AW339" i="3"/>
  <c r="AV339" i="3"/>
  <c r="AC339" i="3"/>
  <c r="H339" i="3"/>
  <c r="G339" i="3"/>
  <c r="AX338" i="3"/>
  <c r="AW338" i="3"/>
  <c r="AV338" i="3"/>
  <c r="AC338" i="3"/>
  <c r="H338" i="3"/>
  <c r="AX337" i="3"/>
  <c r="AW337" i="3"/>
  <c r="AV337" i="3"/>
  <c r="AC337" i="3"/>
  <c r="H337" i="3"/>
  <c r="AX336" i="3"/>
  <c r="AW336" i="3"/>
  <c r="AV336" i="3"/>
  <c r="AC336" i="3"/>
  <c r="H336" i="3"/>
  <c r="AX335" i="3"/>
  <c r="AW335" i="3"/>
  <c r="AV335" i="3"/>
  <c r="AC335" i="3"/>
  <c r="H335" i="3"/>
  <c r="AX334" i="3"/>
  <c r="AW334" i="3"/>
  <c r="AV334" i="3"/>
  <c r="AC334" i="3"/>
  <c r="H334" i="3"/>
  <c r="AX333" i="3"/>
  <c r="AW333" i="3"/>
  <c r="AV333" i="3"/>
  <c r="AC333" i="3"/>
  <c r="H333" i="3"/>
  <c r="AX332" i="3"/>
  <c r="AW332" i="3"/>
  <c r="AV332" i="3"/>
  <c r="AC332" i="3"/>
  <c r="H332" i="3"/>
  <c r="AX331" i="3"/>
  <c r="AW331" i="3"/>
  <c r="AV331" i="3"/>
  <c r="AC331" i="3"/>
  <c r="H331" i="3"/>
  <c r="AX330" i="3"/>
  <c r="AW330" i="3"/>
  <c r="AV330" i="3"/>
  <c r="AC330" i="3"/>
  <c r="H330" i="3"/>
  <c r="AX329" i="3"/>
  <c r="AW329" i="3"/>
  <c r="AV329" i="3"/>
  <c r="AC329" i="3"/>
  <c r="H329" i="3"/>
  <c r="AX328" i="3"/>
  <c r="AW328" i="3"/>
  <c r="AV328" i="3"/>
  <c r="AC328" i="3"/>
  <c r="H328" i="3"/>
  <c r="AX327" i="3"/>
  <c r="AW327" i="3"/>
  <c r="AV327" i="3"/>
  <c r="AC327" i="3"/>
  <c r="H327" i="3"/>
  <c r="AX326" i="3"/>
  <c r="AW326" i="3"/>
  <c r="AV326" i="3"/>
  <c r="AC326" i="3"/>
  <c r="H326" i="3"/>
  <c r="AX325" i="3"/>
  <c r="AW325" i="3"/>
  <c r="AV325" i="3"/>
  <c r="AC325" i="3"/>
  <c r="H325" i="3"/>
  <c r="AX324" i="3"/>
  <c r="AW324" i="3"/>
  <c r="AV324" i="3"/>
  <c r="AC324" i="3"/>
  <c r="H324" i="3"/>
  <c r="AX323" i="3"/>
  <c r="AW323" i="3"/>
  <c r="AV323" i="3"/>
  <c r="AC323" i="3"/>
  <c r="H323" i="3"/>
  <c r="G323" i="3" s="1"/>
  <c r="AX322" i="3"/>
  <c r="AW322" i="3"/>
  <c r="AV322" i="3"/>
  <c r="AC322" i="3"/>
  <c r="H322" i="3"/>
  <c r="AX321" i="3"/>
  <c r="AW321" i="3"/>
  <c r="AV321" i="3"/>
  <c r="AC321" i="3"/>
  <c r="H321" i="3"/>
  <c r="AX320" i="3"/>
  <c r="AW320" i="3"/>
  <c r="AV320" i="3"/>
  <c r="AC320" i="3"/>
  <c r="H320" i="3"/>
  <c r="AX319" i="3"/>
  <c r="AW319" i="3"/>
  <c r="AV319" i="3"/>
  <c r="AC319" i="3"/>
  <c r="H319" i="3"/>
  <c r="AX318" i="3"/>
  <c r="AW318" i="3"/>
  <c r="AV318" i="3"/>
  <c r="AC318" i="3"/>
  <c r="H318" i="3"/>
  <c r="G318" i="3" s="1"/>
  <c r="AX317" i="3"/>
  <c r="AW317" i="3"/>
  <c r="AV317" i="3"/>
  <c r="AC317" i="3"/>
  <c r="H317" i="3"/>
  <c r="AX316" i="3"/>
  <c r="AW316" i="3"/>
  <c r="AV316" i="3"/>
  <c r="AC316" i="3"/>
  <c r="H316" i="3"/>
  <c r="AX315" i="3"/>
  <c r="AW315" i="3"/>
  <c r="AV315" i="3"/>
  <c r="AC315" i="3"/>
  <c r="H315" i="3"/>
  <c r="AX314" i="3"/>
  <c r="AW314" i="3"/>
  <c r="AV314" i="3"/>
  <c r="AC314" i="3"/>
  <c r="H314" i="3"/>
  <c r="AX313" i="3"/>
  <c r="AW313" i="3"/>
  <c r="AV313" i="3"/>
  <c r="AC313" i="3"/>
  <c r="H313" i="3"/>
  <c r="G313" i="3" s="1"/>
  <c r="AX312" i="3"/>
  <c r="AW312" i="3"/>
  <c r="AV312" i="3"/>
  <c r="AC312" i="3"/>
  <c r="H312" i="3"/>
  <c r="AX311" i="3"/>
  <c r="AW311" i="3"/>
  <c r="AV311" i="3"/>
  <c r="AC311" i="3"/>
  <c r="H311" i="3"/>
  <c r="AX310" i="3"/>
  <c r="AW310" i="3"/>
  <c r="AV310" i="3"/>
  <c r="AC310" i="3"/>
  <c r="H310" i="3"/>
  <c r="AX309" i="3"/>
  <c r="AW309" i="3"/>
  <c r="AV309" i="3"/>
  <c r="AC309" i="3"/>
  <c r="H309" i="3"/>
  <c r="AX308" i="3"/>
  <c r="AW308" i="3"/>
  <c r="AV308" i="3"/>
  <c r="AC308" i="3"/>
  <c r="H308" i="3"/>
  <c r="AX307" i="3"/>
  <c r="AW307" i="3"/>
  <c r="AV307" i="3"/>
  <c r="AC307" i="3"/>
  <c r="H307" i="3"/>
  <c r="G307" i="3"/>
  <c r="AX306" i="3"/>
  <c r="AW306" i="3"/>
  <c r="AV306" i="3"/>
  <c r="AC306" i="3"/>
  <c r="H306" i="3"/>
  <c r="AX305" i="3"/>
  <c r="AW305" i="3"/>
  <c r="AV305" i="3"/>
  <c r="AC305" i="3"/>
  <c r="H305" i="3"/>
  <c r="AX304" i="3"/>
  <c r="AW304" i="3"/>
  <c r="AV304" i="3"/>
  <c r="AC304" i="3"/>
  <c r="H304" i="3"/>
  <c r="AX303" i="3"/>
  <c r="AW303" i="3"/>
  <c r="AV303" i="3"/>
  <c r="AC303" i="3"/>
  <c r="H303" i="3"/>
  <c r="AX492" i="3"/>
  <c r="AW492" i="3"/>
  <c r="AV492" i="3"/>
  <c r="AC492" i="3"/>
  <c r="H492" i="3"/>
  <c r="G492" i="3"/>
  <c r="AX491" i="3"/>
  <c r="AW491" i="3"/>
  <c r="AV491" i="3"/>
  <c r="AC491" i="3"/>
  <c r="H491" i="3"/>
  <c r="G491" i="3"/>
  <c r="AX490" i="3"/>
  <c r="AW490" i="3"/>
  <c r="AV490" i="3"/>
  <c r="AC490" i="3"/>
  <c r="H490" i="3"/>
  <c r="AX489" i="3"/>
  <c r="AW489" i="3"/>
  <c r="AV489" i="3"/>
  <c r="AC489" i="3"/>
  <c r="H489" i="3"/>
  <c r="AX488" i="3"/>
  <c r="AW488" i="3"/>
  <c r="AV488" i="3"/>
  <c r="AC488" i="3"/>
  <c r="H488" i="3"/>
  <c r="G488" i="3"/>
  <c r="AX487" i="3"/>
  <c r="AW487" i="3"/>
  <c r="AV487" i="3"/>
  <c r="AC487" i="3"/>
  <c r="H487" i="3"/>
  <c r="G487" i="3"/>
  <c r="AX486" i="3"/>
  <c r="AW486" i="3"/>
  <c r="AV486" i="3"/>
  <c r="AC486" i="3"/>
  <c r="H486" i="3"/>
  <c r="AX485" i="3"/>
  <c r="AW485" i="3"/>
  <c r="AV485" i="3"/>
  <c r="AC485" i="3"/>
  <c r="H485" i="3"/>
  <c r="AX484" i="3"/>
  <c r="AW484" i="3"/>
  <c r="AV484" i="3"/>
  <c r="AC484" i="3"/>
  <c r="H484" i="3"/>
  <c r="G484" i="3"/>
  <c r="AX483" i="3"/>
  <c r="AW483" i="3"/>
  <c r="AV483" i="3"/>
  <c r="AC483" i="3"/>
  <c r="H483" i="3"/>
  <c r="G483" i="3"/>
  <c r="AX482" i="3"/>
  <c r="AW482" i="3"/>
  <c r="AV482" i="3"/>
  <c r="AC482" i="3"/>
  <c r="H482" i="3"/>
  <c r="AX481" i="3"/>
  <c r="AW481" i="3"/>
  <c r="AV481" i="3"/>
  <c r="AC481" i="3"/>
  <c r="H481" i="3"/>
  <c r="G481" i="3" s="1"/>
  <c r="AX480" i="3"/>
  <c r="AW480" i="3"/>
  <c r="AV480" i="3"/>
  <c r="AC480" i="3"/>
  <c r="H480" i="3"/>
  <c r="AX479" i="3"/>
  <c r="AW479" i="3"/>
  <c r="AV479" i="3"/>
  <c r="AC479" i="3"/>
  <c r="H479" i="3"/>
  <c r="G479" i="3"/>
  <c r="AX478" i="3"/>
  <c r="AW478" i="3"/>
  <c r="AV478" i="3"/>
  <c r="AC478" i="3"/>
  <c r="H478" i="3"/>
  <c r="AX477" i="3"/>
  <c r="AW477" i="3"/>
  <c r="AV477" i="3"/>
  <c r="AC477" i="3"/>
  <c r="H477" i="3"/>
  <c r="G477" i="3" s="1"/>
  <c r="AX476" i="3"/>
  <c r="AW476" i="3"/>
  <c r="AV476" i="3"/>
  <c r="AC476" i="3"/>
  <c r="H476" i="3"/>
  <c r="AX475" i="3"/>
  <c r="AW475" i="3"/>
  <c r="AV475" i="3"/>
  <c r="AC475" i="3"/>
  <c r="H475" i="3"/>
  <c r="G475" i="3"/>
  <c r="AX474" i="3"/>
  <c r="AW474" i="3"/>
  <c r="AV474" i="3"/>
  <c r="AC474" i="3"/>
  <c r="H474" i="3"/>
  <c r="AX473" i="3"/>
  <c r="AW473" i="3"/>
  <c r="AV473" i="3"/>
  <c r="AC473" i="3"/>
  <c r="H473" i="3"/>
  <c r="AX472" i="3"/>
  <c r="AW472" i="3"/>
  <c r="AV472" i="3"/>
  <c r="AC472" i="3"/>
  <c r="H472" i="3"/>
  <c r="AX471" i="3"/>
  <c r="AW471" i="3"/>
  <c r="AV471" i="3"/>
  <c r="AC471" i="3"/>
  <c r="H471" i="3"/>
  <c r="AX470" i="3"/>
  <c r="AW470" i="3"/>
  <c r="AV470" i="3"/>
  <c r="AC470" i="3"/>
  <c r="H470" i="3"/>
  <c r="G470" i="3"/>
  <c r="AX469" i="3"/>
  <c r="AW469" i="3"/>
  <c r="AV469" i="3"/>
  <c r="AC469" i="3"/>
  <c r="H469" i="3"/>
  <c r="AX468" i="3"/>
  <c r="AW468" i="3"/>
  <c r="AV468" i="3"/>
  <c r="AC468" i="3"/>
  <c r="H468" i="3"/>
  <c r="AX467" i="3"/>
  <c r="AW467" i="3"/>
  <c r="AV467" i="3"/>
  <c r="AC467" i="3"/>
  <c r="H467" i="3"/>
  <c r="AX466" i="3"/>
  <c r="AW466" i="3"/>
  <c r="AV466" i="3"/>
  <c r="AC466" i="3"/>
  <c r="H466" i="3"/>
  <c r="G466" i="3" s="1"/>
  <c r="AX465" i="3"/>
  <c r="AW465" i="3"/>
  <c r="AV465" i="3"/>
  <c r="AC465" i="3"/>
  <c r="H465" i="3"/>
  <c r="AX464" i="3"/>
  <c r="AW464" i="3"/>
  <c r="AV464" i="3"/>
  <c r="AC464" i="3"/>
  <c r="H464" i="3"/>
  <c r="G464" i="3"/>
  <c r="AX463" i="3"/>
  <c r="AW463" i="3"/>
  <c r="AV463" i="3"/>
  <c r="AC463" i="3"/>
  <c r="H463" i="3"/>
  <c r="AX462" i="3"/>
  <c r="AW462" i="3"/>
  <c r="AV462" i="3"/>
  <c r="AC462" i="3"/>
  <c r="H462" i="3"/>
  <c r="G462" i="3" s="1"/>
  <c r="AX461" i="3"/>
  <c r="AW461" i="3"/>
  <c r="AV461" i="3"/>
  <c r="AC461" i="3"/>
  <c r="H461" i="3"/>
  <c r="AX460" i="3"/>
  <c r="AW460" i="3"/>
  <c r="AV460" i="3"/>
  <c r="AC460" i="3"/>
  <c r="H460" i="3"/>
  <c r="G460" i="3"/>
  <c r="AX459" i="3"/>
  <c r="AW459" i="3"/>
  <c r="AV459" i="3"/>
  <c r="AC459" i="3"/>
  <c r="H459" i="3"/>
  <c r="G459" i="3"/>
  <c r="AX458" i="3"/>
  <c r="AW458" i="3"/>
  <c r="AV458" i="3"/>
  <c r="AC458" i="3"/>
  <c r="H458" i="3"/>
  <c r="G458" i="3"/>
  <c r="AX457" i="3"/>
  <c r="AW457" i="3"/>
  <c r="AV457" i="3"/>
  <c r="AC457" i="3"/>
  <c r="H457" i="3"/>
  <c r="AX456" i="3"/>
  <c r="AW456" i="3"/>
  <c r="AV456" i="3"/>
  <c r="AC456" i="3"/>
  <c r="H456" i="3"/>
  <c r="AX455" i="3"/>
  <c r="AW455" i="3"/>
  <c r="AV455" i="3"/>
  <c r="AC455" i="3"/>
  <c r="H455" i="3"/>
  <c r="G455" i="3"/>
  <c r="AX454" i="3"/>
  <c r="AW454" i="3"/>
  <c r="AV454" i="3"/>
  <c r="AC454" i="3"/>
  <c r="H454" i="3"/>
  <c r="G454" i="3"/>
  <c r="AX453" i="3"/>
  <c r="AW453" i="3"/>
  <c r="AV453" i="3"/>
  <c r="AC453" i="3"/>
  <c r="H453" i="3"/>
  <c r="AX452" i="3"/>
  <c r="AW452" i="3"/>
  <c r="AV452" i="3"/>
  <c r="AC452" i="3"/>
  <c r="H452" i="3"/>
  <c r="G452" i="3" s="1"/>
  <c r="AX451" i="3"/>
  <c r="AW451" i="3"/>
  <c r="AV451" i="3"/>
  <c r="AC451" i="3"/>
  <c r="H451" i="3"/>
  <c r="G451" i="3" s="1"/>
  <c r="AX450" i="3"/>
  <c r="AW450" i="3"/>
  <c r="AV450" i="3"/>
  <c r="AC450" i="3"/>
  <c r="H450" i="3"/>
  <c r="G450" i="3" s="1"/>
  <c r="AX449" i="3"/>
  <c r="AW449" i="3"/>
  <c r="AV449" i="3"/>
  <c r="AC449" i="3"/>
  <c r="H449" i="3"/>
  <c r="G449" i="3" s="1"/>
  <c r="AX448" i="3"/>
  <c r="AW448" i="3"/>
  <c r="AV448" i="3"/>
  <c r="AC448" i="3"/>
  <c r="H448" i="3"/>
  <c r="AX447" i="3"/>
  <c r="AW447" i="3"/>
  <c r="AV447" i="3"/>
  <c r="AC447" i="3"/>
  <c r="H447" i="3"/>
  <c r="G447" i="3"/>
  <c r="AX446" i="3"/>
  <c r="AW446" i="3"/>
  <c r="AV446" i="3"/>
  <c r="AC446" i="3"/>
  <c r="H446" i="3"/>
  <c r="G446" i="3"/>
  <c r="AX445" i="3"/>
  <c r="AW445" i="3"/>
  <c r="AV445" i="3"/>
  <c r="AC445" i="3"/>
  <c r="H445" i="3"/>
  <c r="G445" i="3"/>
  <c r="AX444" i="3"/>
  <c r="AW444" i="3"/>
  <c r="AV444" i="3"/>
  <c r="AC444" i="3"/>
  <c r="H444" i="3"/>
  <c r="AX443" i="3"/>
  <c r="AW443" i="3"/>
  <c r="AV443" i="3"/>
  <c r="AC443" i="3"/>
  <c r="H443" i="3"/>
  <c r="G443" i="3" s="1"/>
  <c r="AX442" i="3"/>
  <c r="AW442" i="3"/>
  <c r="AV442" i="3"/>
  <c r="AC442" i="3"/>
  <c r="H442" i="3"/>
  <c r="AX441" i="3"/>
  <c r="AW441" i="3"/>
  <c r="AV441" i="3"/>
  <c r="AC441" i="3"/>
  <c r="H441" i="3"/>
  <c r="AX440" i="3"/>
  <c r="AW440" i="3"/>
  <c r="AV440" i="3"/>
  <c r="AC440" i="3"/>
  <c r="H440" i="3"/>
  <c r="AX439" i="3"/>
  <c r="AW439" i="3"/>
  <c r="AV439" i="3"/>
  <c r="AC439" i="3"/>
  <c r="H439" i="3"/>
  <c r="G439" i="3"/>
  <c r="AX438" i="3"/>
  <c r="AW438" i="3"/>
  <c r="AV438" i="3"/>
  <c r="AC438" i="3"/>
  <c r="H438" i="3"/>
  <c r="AX437" i="3"/>
  <c r="AW437" i="3"/>
  <c r="AV437" i="3"/>
  <c r="AC437" i="3"/>
  <c r="H437" i="3"/>
  <c r="AX436" i="3"/>
  <c r="AW436" i="3"/>
  <c r="AV436" i="3"/>
  <c r="AC436" i="3"/>
  <c r="H436" i="3"/>
  <c r="G436" i="3"/>
  <c r="AX435" i="3"/>
  <c r="AW435" i="3"/>
  <c r="AV435" i="3"/>
  <c r="AC435" i="3"/>
  <c r="H435" i="3"/>
  <c r="AX434" i="3"/>
  <c r="AW434" i="3"/>
  <c r="AV434" i="3"/>
  <c r="AC434" i="3"/>
  <c r="H434" i="3"/>
  <c r="G434" i="3" s="1"/>
  <c r="AX433" i="3"/>
  <c r="AW433" i="3"/>
  <c r="AV433" i="3"/>
  <c r="AC433" i="3"/>
  <c r="H433" i="3"/>
  <c r="AX432" i="3"/>
  <c r="AW432" i="3"/>
  <c r="AV432" i="3"/>
  <c r="AC432" i="3"/>
  <c r="H432" i="3"/>
  <c r="G432" i="3"/>
  <c r="AX431" i="3"/>
  <c r="AW431" i="3"/>
  <c r="AV431" i="3"/>
  <c r="AC431" i="3"/>
  <c r="H431" i="3"/>
  <c r="AX430" i="3"/>
  <c r="AW430" i="3"/>
  <c r="AV430" i="3"/>
  <c r="AC430" i="3"/>
  <c r="H430" i="3"/>
  <c r="AX429" i="3"/>
  <c r="AW429" i="3"/>
  <c r="AV429" i="3"/>
  <c r="AC429" i="3"/>
  <c r="H429" i="3"/>
  <c r="G429" i="3"/>
  <c r="AX428" i="3"/>
  <c r="AW428" i="3"/>
  <c r="AV428" i="3"/>
  <c r="AC428" i="3"/>
  <c r="H428" i="3"/>
  <c r="G428" i="3"/>
  <c r="AX427" i="3"/>
  <c r="AW427" i="3"/>
  <c r="AV427" i="3"/>
  <c r="AC427" i="3"/>
  <c r="H427" i="3"/>
  <c r="AX426" i="3"/>
  <c r="AW426" i="3"/>
  <c r="AV426" i="3"/>
  <c r="AC426" i="3"/>
  <c r="H426" i="3"/>
  <c r="G426" i="3" s="1"/>
  <c r="AX425" i="3"/>
  <c r="AW425" i="3"/>
  <c r="AV425" i="3"/>
  <c r="AC425" i="3"/>
  <c r="H425" i="3"/>
  <c r="AX424" i="3"/>
  <c r="AW424" i="3"/>
  <c r="AV424" i="3"/>
  <c r="AC424" i="3"/>
  <c r="H424" i="3"/>
  <c r="AX423" i="3"/>
  <c r="AW423" i="3"/>
  <c r="AV423" i="3"/>
  <c r="AC423" i="3"/>
  <c r="H423" i="3"/>
  <c r="G423" i="3" s="1"/>
  <c r="AX422" i="3"/>
  <c r="AW422" i="3"/>
  <c r="AV422" i="3"/>
  <c r="AC422" i="3"/>
  <c r="H422" i="3"/>
  <c r="G422" i="3" s="1"/>
  <c r="AX421" i="3"/>
  <c r="AW421" i="3"/>
  <c r="AV421" i="3"/>
  <c r="AC421" i="3"/>
  <c r="H421" i="3"/>
  <c r="AX420" i="3"/>
  <c r="AW420" i="3"/>
  <c r="AV420" i="3"/>
  <c r="AC420" i="3"/>
  <c r="H420" i="3"/>
  <c r="G420" i="3"/>
  <c r="AX419" i="3"/>
  <c r="AW419" i="3"/>
  <c r="AV419" i="3"/>
  <c r="AC419" i="3"/>
  <c r="H419" i="3"/>
  <c r="G419" i="3"/>
  <c r="AX418" i="3"/>
  <c r="AW418" i="3"/>
  <c r="AV418" i="3"/>
  <c r="AC418" i="3"/>
  <c r="H418" i="3"/>
  <c r="G418" i="3"/>
  <c r="AX417" i="3"/>
  <c r="AW417" i="3"/>
  <c r="AV417" i="3"/>
  <c r="AC417" i="3"/>
  <c r="H417" i="3"/>
  <c r="G417" i="3"/>
  <c r="AX416" i="3"/>
  <c r="AW416" i="3"/>
  <c r="AV416" i="3"/>
  <c r="AC416" i="3"/>
  <c r="H416" i="3"/>
  <c r="AX415" i="3"/>
  <c r="AW415" i="3"/>
  <c r="AV415" i="3"/>
  <c r="AC415" i="3"/>
  <c r="H415" i="3"/>
  <c r="AX414" i="3"/>
  <c r="AW414" i="3"/>
  <c r="AV414" i="3"/>
  <c r="AC414" i="3"/>
  <c r="H414" i="3"/>
  <c r="AX413" i="3"/>
  <c r="AW413" i="3"/>
  <c r="AV413" i="3"/>
  <c r="AC413" i="3"/>
  <c r="H413" i="3"/>
  <c r="G413" i="3" s="1"/>
  <c r="AX412" i="3"/>
  <c r="AW412" i="3"/>
  <c r="AV412" i="3"/>
  <c r="AC412" i="3"/>
  <c r="H412" i="3"/>
  <c r="AX411" i="3"/>
  <c r="AW411" i="3"/>
  <c r="AV411" i="3"/>
  <c r="AC411" i="3"/>
  <c r="H411" i="3"/>
  <c r="G411" i="3"/>
  <c r="AX410" i="3"/>
  <c r="AW410" i="3"/>
  <c r="AV410" i="3"/>
  <c r="AC410" i="3"/>
  <c r="H410" i="3"/>
  <c r="AX409" i="3"/>
  <c r="AW409" i="3"/>
  <c r="AV409" i="3"/>
  <c r="AC409" i="3"/>
  <c r="H409" i="3"/>
  <c r="G409" i="3" s="1"/>
  <c r="AX408" i="3"/>
  <c r="AW408" i="3"/>
  <c r="AV408" i="3"/>
  <c r="AC408" i="3"/>
  <c r="H408" i="3"/>
  <c r="AX407" i="3"/>
  <c r="AW407" i="3"/>
  <c r="AV407" i="3"/>
  <c r="AC407" i="3"/>
  <c r="H407" i="3"/>
  <c r="G407" i="3"/>
  <c r="AX406" i="3"/>
  <c r="AW406" i="3"/>
  <c r="AV406" i="3"/>
  <c r="AC406" i="3"/>
  <c r="H406" i="3"/>
  <c r="G406" i="3"/>
  <c r="AX405" i="3"/>
  <c r="AW405" i="3"/>
  <c r="AV405" i="3"/>
  <c r="AC405" i="3"/>
  <c r="H405" i="3"/>
  <c r="AX404" i="3"/>
  <c r="AW404" i="3"/>
  <c r="AV404" i="3"/>
  <c r="AC404" i="3"/>
  <c r="H404" i="3"/>
  <c r="G404" i="3" s="1"/>
  <c r="AX403" i="3"/>
  <c r="AW403" i="3"/>
  <c r="AV403" i="3"/>
  <c r="AC403" i="3"/>
  <c r="H403" i="3"/>
  <c r="G403" i="3" s="1"/>
  <c r="AX402" i="3"/>
  <c r="AW402" i="3"/>
  <c r="AV402" i="3"/>
  <c r="AC402" i="3"/>
  <c r="H402" i="3"/>
  <c r="G402" i="3" s="1"/>
  <c r="AX401" i="3"/>
  <c r="AW401" i="3"/>
  <c r="AV401" i="3"/>
  <c r="AC401" i="3"/>
  <c r="H401" i="3"/>
  <c r="G401" i="3" s="1"/>
  <c r="AX400" i="3"/>
  <c r="AW400" i="3"/>
  <c r="AV400" i="3"/>
  <c r="AC400" i="3"/>
  <c r="H400" i="3"/>
  <c r="AX399" i="3"/>
  <c r="AW399" i="3"/>
  <c r="AV399" i="3"/>
  <c r="AC399" i="3"/>
  <c r="H399" i="3"/>
  <c r="AX398" i="3"/>
  <c r="AW398" i="3"/>
  <c r="AV398" i="3"/>
  <c r="AC398" i="3"/>
  <c r="H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L22" i="4"/>
  <c r="L20" i="4"/>
  <c r="A5" i="62"/>
  <c r="B72" i="72"/>
  <c r="A4" i="62"/>
  <c r="B70" i="72"/>
  <c r="F33" i="9"/>
  <c r="B37" i="48"/>
  <c r="B2" i="72" s="1"/>
  <c r="B13" i="53"/>
  <c r="B29" i="72" s="1"/>
  <c r="R35" i="4"/>
  <c r="Q35" i="4"/>
  <c r="P35" i="4"/>
  <c r="O35" i="4"/>
  <c r="N35" i="4"/>
  <c r="M35" i="4"/>
  <c r="L35" i="4"/>
  <c r="K34" i="4"/>
  <c r="T34" i="4"/>
  <c r="G11" i="1"/>
  <c r="H15" i="4"/>
  <c r="G15" i="4"/>
  <c r="E15" i="4"/>
  <c r="D15" i="4"/>
  <c r="F7" i="1"/>
  <c r="G7" i="1" s="1"/>
  <c r="L21" i="4"/>
  <c r="F19" i="4"/>
  <c r="F2" i="52"/>
  <c r="B50" i="72" s="1"/>
  <c r="D2" i="52"/>
  <c r="B46" i="72" s="1"/>
  <c r="B8" i="53"/>
  <c r="B23" i="72" s="1"/>
  <c r="L4" i="9"/>
  <c r="B17" i="72"/>
  <c r="B15" i="72"/>
  <c r="A3" i="51"/>
  <c r="C8" i="11"/>
  <c r="B2" i="49"/>
  <c r="B23" i="49" s="1"/>
  <c r="B40" i="48"/>
  <c r="B3" i="72"/>
  <c r="I2" i="43"/>
  <c r="N1" i="43"/>
  <c r="F35" i="4"/>
  <c r="J55" i="39"/>
  <c r="H34" i="43"/>
  <c r="H35" i="43"/>
  <c r="H36" i="43"/>
  <c r="H37" i="43"/>
  <c r="H39" i="43"/>
  <c r="H33" i="43"/>
  <c r="J20" i="43"/>
  <c r="C18" i="43"/>
  <c r="F15" i="43"/>
  <c r="E15" i="43"/>
  <c r="D15" i="43"/>
  <c r="C15" i="43"/>
  <c r="C10" i="43"/>
  <c r="C11" i="43"/>
  <c r="C9" i="43"/>
  <c r="A7" i="43"/>
  <c r="F33" i="15"/>
  <c r="F61" i="15"/>
  <c r="M19" i="15"/>
  <c r="B22" i="1"/>
  <c r="B23" i="1"/>
  <c r="B24" i="1"/>
  <c r="B43" i="1"/>
  <c r="D78" i="9"/>
  <c r="E20" i="6"/>
  <c r="E21" i="6"/>
  <c r="K8" i="1"/>
  <c r="M8" i="1"/>
  <c r="F23" i="15"/>
  <c r="D24" i="15"/>
  <c r="O8" i="1"/>
  <c r="P8" i="1"/>
  <c r="O13" i="1"/>
  <c r="P13" i="1"/>
  <c r="E22" i="6"/>
  <c r="E23" i="6"/>
  <c r="E24" i="6"/>
  <c r="E25" i="6"/>
  <c r="E26" i="6"/>
  <c r="BC10" i="3"/>
  <c r="BD10" i="3"/>
  <c r="BB10" i="3"/>
  <c r="H13" i="3"/>
  <c r="AC13" i="3"/>
  <c r="H14" i="3"/>
  <c r="AC14" i="3"/>
  <c r="G14" i="3"/>
  <c r="H15" i="3"/>
  <c r="AC15" i="3"/>
  <c r="H16" i="3"/>
  <c r="AC16" i="3"/>
  <c r="H17" i="3"/>
  <c r="AC17" i="3"/>
  <c r="AT5" i="3"/>
  <c r="I5" i="3"/>
  <c r="D29" i="4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H494" i="3"/>
  <c r="AC494" i="3"/>
  <c r="G494" i="3"/>
  <c r="H495" i="3"/>
  <c r="AC495" i="3"/>
  <c r="G495" i="3" s="1"/>
  <c r="H496" i="3"/>
  <c r="AC496" i="3"/>
  <c r="H497" i="3"/>
  <c r="AC497" i="3"/>
  <c r="G497" i="3"/>
  <c r="H498" i="3"/>
  <c r="AC498" i="3"/>
  <c r="H499" i="3"/>
  <c r="AC499" i="3"/>
  <c r="H500" i="3"/>
  <c r="AC500" i="3"/>
  <c r="G500" i="3" s="1"/>
  <c r="H501" i="3"/>
  <c r="AC501" i="3"/>
  <c r="G501" i="3"/>
  <c r="H502" i="3"/>
  <c r="AC502" i="3"/>
  <c r="H503" i="3"/>
  <c r="AC503" i="3"/>
  <c r="G503" i="3" s="1"/>
  <c r="H504" i="3"/>
  <c r="AC504" i="3"/>
  <c r="G504" i="3"/>
  <c r="H505" i="3"/>
  <c r="AC505" i="3"/>
  <c r="G505" i="3" s="1"/>
  <c r="H506" i="3"/>
  <c r="AC506" i="3"/>
  <c r="G506" i="3"/>
  <c r="H507" i="3"/>
  <c r="AC507" i="3"/>
  <c r="H508" i="3"/>
  <c r="AC508" i="3"/>
  <c r="G508" i="3" s="1"/>
  <c r="H509" i="3"/>
  <c r="H510" i="3"/>
  <c r="AC510" i="3"/>
  <c r="H511" i="3"/>
  <c r="AC511" i="3"/>
  <c r="G511" i="3" s="1"/>
  <c r="H512" i="3"/>
  <c r="AC512" i="3"/>
  <c r="H513" i="3"/>
  <c r="AC513" i="3"/>
  <c r="G513" i="3"/>
  <c r="H514" i="3"/>
  <c r="AC514" i="3"/>
  <c r="G514" i="3" s="1"/>
  <c r="H515" i="3"/>
  <c r="AC515" i="3"/>
  <c r="G515" i="3"/>
  <c r="H516" i="3"/>
  <c r="AC516" i="3"/>
  <c r="G516" i="3" s="1"/>
  <c r="H517" i="3"/>
  <c r="AC517" i="3"/>
  <c r="H518" i="3"/>
  <c r="AC518" i="3"/>
  <c r="G518" i="3"/>
  <c r="H519" i="3"/>
  <c r="AC519" i="3"/>
  <c r="G519" i="3" s="1"/>
  <c r="H520" i="3"/>
  <c r="AC520" i="3"/>
  <c r="G520" i="3"/>
  <c r="H521" i="3"/>
  <c r="H522" i="3"/>
  <c r="AC522" i="3"/>
  <c r="H523" i="3"/>
  <c r="AC523" i="3"/>
  <c r="G523" i="3"/>
  <c r="H524" i="3"/>
  <c r="AC524" i="3"/>
  <c r="G524" i="3" s="1"/>
  <c r="H525" i="3"/>
  <c r="AC525" i="3"/>
  <c r="G525" i="3"/>
  <c r="H526" i="3"/>
  <c r="AC526" i="3"/>
  <c r="G526" i="3" s="1"/>
  <c r="H527" i="3"/>
  <c r="AC527" i="3"/>
  <c r="H528" i="3"/>
  <c r="AC528" i="3"/>
  <c r="G528" i="3"/>
  <c r="H529" i="3"/>
  <c r="AC529" i="3"/>
  <c r="H530" i="3"/>
  <c r="AC530" i="3"/>
  <c r="G530" i="3" s="1"/>
  <c r="H531" i="3"/>
  <c r="AC531" i="3"/>
  <c r="G531" i="3"/>
  <c r="H532" i="3"/>
  <c r="AC532" i="3"/>
  <c r="G532" i="3" s="1"/>
  <c r="H533" i="3"/>
  <c r="AC533" i="3"/>
  <c r="G533" i="3"/>
  <c r="H534" i="3"/>
  <c r="AC534" i="3"/>
  <c r="H535" i="3"/>
  <c r="AC535" i="3"/>
  <c r="H536" i="3"/>
  <c r="AC536" i="3"/>
  <c r="G536" i="3" s="1"/>
  <c r="H537" i="3"/>
  <c r="AC537" i="3"/>
  <c r="H538" i="3"/>
  <c r="AC538" i="3"/>
  <c r="H539" i="3"/>
  <c r="AC539" i="3"/>
  <c r="G539" i="3"/>
  <c r="H540" i="3"/>
  <c r="AC540" i="3"/>
  <c r="G540" i="3" s="1"/>
  <c r="H541" i="3"/>
  <c r="AC541" i="3"/>
  <c r="G541" i="3"/>
  <c r="H542" i="3"/>
  <c r="AC542" i="3"/>
  <c r="G542" i="3" s="1"/>
  <c r="H543" i="3"/>
  <c r="AC543" i="3"/>
  <c r="H544" i="3"/>
  <c r="AC544" i="3"/>
  <c r="H545" i="3"/>
  <c r="AC545" i="3"/>
  <c r="H546" i="3"/>
  <c r="AC546" i="3"/>
  <c r="H547" i="3"/>
  <c r="AC547" i="3"/>
  <c r="H548" i="3"/>
  <c r="AC548" i="3"/>
  <c r="H549" i="3"/>
  <c r="AC549" i="3"/>
  <c r="H550" i="3"/>
  <c r="AC550" i="3"/>
  <c r="H551" i="3"/>
  <c r="AC551" i="3"/>
  <c r="H552" i="3"/>
  <c r="AC552" i="3"/>
  <c r="H553" i="3"/>
  <c r="AC553" i="3"/>
  <c r="H554" i="3"/>
  <c r="AC554" i="3"/>
  <c r="H555" i="3"/>
  <c r="AC555" i="3"/>
  <c r="H556" i="3"/>
  <c r="AC556" i="3"/>
  <c r="H557" i="3"/>
  <c r="H558" i="3"/>
  <c r="AC558" i="3"/>
  <c r="H559" i="3"/>
  <c r="AC559" i="3"/>
  <c r="G559" i="3" s="1"/>
  <c r="H560" i="3"/>
  <c r="AC560" i="3"/>
  <c r="G560" i="3"/>
  <c r="H561" i="3"/>
  <c r="AC561" i="3"/>
  <c r="H562" i="3"/>
  <c r="AC562" i="3"/>
  <c r="G562" i="3" s="1"/>
  <c r="H563" i="3"/>
  <c r="AC563" i="3"/>
  <c r="H564" i="3"/>
  <c r="AC564" i="3"/>
  <c r="H565" i="3"/>
  <c r="AC565" i="3"/>
  <c r="H566" i="3"/>
  <c r="AC566" i="3"/>
  <c r="H567" i="3"/>
  <c r="AC567" i="3"/>
  <c r="H568" i="3"/>
  <c r="AC568" i="3"/>
  <c r="H569" i="3"/>
  <c r="AC569" i="3"/>
  <c r="H570" i="3"/>
  <c r="AC570" i="3"/>
  <c r="H571" i="3"/>
  <c r="AC571" i="3"/>
  <c r="H572" i="3"/>
  <c r="AC572" i="3"/>
  <c r="H573" i="3"/>
  <c r="AC573" i="3"/>
  <c r="H574" i="3"/>
  <c r="AC574" i="3"/>
  <c r="H575" i="3"/>
  <c r="AC575" i="3"/>
  <c r="H576" i="3"/>
  <c r="AC576" i="3"/>
  <c r="H577" i="3"/>
  <c r="AC577" i="3"/>
  <c r="H578" i="3"/>
  <c r="AC578" i="3"/>
  <c r="G578" i="3"/>
  <c r="H579" i="3"/>
  <c r="AC579" i="3"/>
  <c r="H580" i="3"/>
  <c r="AC580" i="3"/>
  <c r="H581" i="3"/>
  <c r="AC581" i="3"/>
  <c r="H582" i="3"/>
  <c r="AC582" i="3"/>
  <c r="G582" i="3" s="1"/>
  <c r="H583" i="3"/>
  <c r="AC583" i="3"/>
  <c r="H584" i="3"/>
  <c r="AC584" i="3"/>
  <c r="H7" i="12"/>
  <c r="I7" i="12"/>
  <c r="J7" i="12"/>
  <c r="K7" i="12"/>
  <c r="H111" i="21"/>
  <c r="B110" i="39"/>
  <c r="B112" i="39"/>
  <c r="H36" i="39" s="1"/>
  <c r="AB36" i="39" s="1"/>
  <c r="J30" i="36"/>
  <c r="H30" i="36"/>
  <c r="F30" i="36"/>
  <c r="AA30" i="36"/>
  <c r="C26" i="35"/>
  <c r="C79" i="35"/>
  <c r="J31" i="35"/>
  <c r="W31" i="35"/>
  <c r="H31" i="35"/>
  <c r="U31" i="35"/>
  <c r="F31" i="35"/>
  <c r="D87" i="35"/>
  <c r="E87" i="35" s="1"/>
  <c r="F87" i="35"/>
  <c r="G87" i="35" s="1"/>
  <c r="H87" i="35" s="1"/>
  <c r="I87" i="35" s="1"/>
  <c r="J87" i="35" s="1"/>
  <c r="K87" i="35" s="1"/>
  <c r="L87" i="35" s="1"/>
  <c r="M87" i="35" s="1"/>
  <c r="H34" i="37"/>
  <c r="AB34" i="37" s="1"/>
  <c r="D101" i="37"/>
  <c r="F34" i="37"/>
  <c r="D99" i="37"/>
  <c r="E99" i="37"/>
  <c r="F99" i="37" s="1"/>
  <c r="G99" i="37" s="1"/>
  <c r="H99" i="37" s="1"/>
  <c r="I99" i="37" s="1"/>
  <c r="J99" i="37" s="1"/>
  <c r="K99" i="37" s="1"/>
  <c r="L99" i="37" s="1"/>
  <c r="M99" i="37" s="1"/>
  <c r="H42" i="34"/>
  <c r="J42" i="34"/>
  <c r="W42" i="34" s="1"/>
  <c r="F42" i="34"/>
  <c r="J38" i="34"/>
  <c r="W38" i="34"/>
  <c r="D114" i="34"/>
  <c r="E114" i="34"/>
  <c r="F114" i="34" s="1"/>
  <c r="G114" i="34"/>
  <c r="H114" i="34" s="1"/>
  <c r="I114" i="34" s="1"/>
  <c r="J114" i="34" s="1"/>
  <c r="K114" i="34" s="1"/>
  <c r="L114" i="34" s="1"/>
  <c r="M114" i="34" s="1"/>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J38" i="40" s="1"/>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B103" i="40"/>
  <c r="J32" i="40" s="1"/>
  <c r="AC32" i="40"/>
  <c r="B101" i="40"/>
  <c r="D100" i="40"/>
  <c r="E100" i="40" s="1"/>
  <c r="F100" i="40" s="1"/>
  <c r="G100" i="40" s="1"/>
  <c r="H100" i="40" s="1"/>
  <c r="I100" i="40" s="1"/>
  <c r="J100" i="40" s="1"/>
  <c r="K100" i="40" s="1"/>
  <c r="L100" i="40" s="1"/>
  <c r="M100" i="40" s="1"/>
  <c r="D98" i="40"/>
  <c r="D96" i="40"/>
  <c r="E96" i="40"/>
  <c r="F96" i="40" s="1"/>
  <c r="G96" i="40"/>
  <c r="H96" i="40" s="1"/>
  <c r="I96" i="40" s="1"/>
  <c r="J96" i="40" s="1"/>
  <c r="K96" i="40" s="1"/>
  <c r="L96" i="40" s="1"/>
  <c r="M96" i="40" s="1"/>
  <c r="B95" i="40"/>
  <c r="D92" i="40"/>
  <c r="E92" i="40" s="1"/>
  <c r="F92" i="40"/>
  <c r="G92" i="40" s="1"/>
  <c r="D90" i="40"/>
  <c r="E90" i="40" s="1"/>
  <c r="F90" i="40"/>
  <c r="G90" i="40" s="1"/>
  <c r="D88" i="40"/>
  <c r="E88" i="40" s="1"/>
  <c r="F88" i="40"/>
  <c r="G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H40" i="40"/>
  <c r="Q39" i="40"/>
  <c r="Z39" i="40" s="1"/>
  <c r="Q38" i="40"/>
  <c r="Z38" i="40"/>
  <c r="AC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D109" i="39"/>
  <c r="F34" i="39"/>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B110" i="37"/>
  <c r="B108" i="37"/>
  <c r="C23" i="37"/>
  <c r="C19" i="37"/>
  <c r="C17" i="37"/>
  <c r="C15" i="37"/>
  <c r="B112" i="37"/>
  <c r="D107" i="37"/>
  <c r="E107" i="37"/>
  <c r="D105" i="37"/>
  <c r="E105" i="37"/>
  <c r="F105" i="37" s="1"/>
  <c r="D103" i="37"/>
  <c r="J35" i="37"/>
  <c r="W35" i="37"/>
  <c r="F97" i="37"/>
  <c r="E97" i="37"/>
  <c r="D97" i="37"/>
  <c r="C97" i="37"/>
  <c r="D96" i="37"/>
  <c r="E96" i="37"/>
  <c r="D94" i="37"/>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H26" i="37"/>
  <c r="AB26" i="37" s="1"/>
  <c r="D79" i="37"/>
  <c r="E79" i="37" s="1"/>
  <c r="D75" i="37"/>
  <c r="E75" i="37" s="1"/>
  <c r="D73" i="37"/>
  <c r="E73" i="37" s="1"/>
  <c r="F73" i="37" s="1"/>
  <c r="G73" i="37" s="1"/>
  <c r="D71" i="37"/>
  <c r="H15" i="37"/>
  <c r="AB15" i="37" s="1"/>
  <c r="B68" i="37"/>
  <c r="H14" i="37" s="1"/>
  <c r="AB14" i="37" s="1"/>
  <c r="B66" i="37"/>
  <c r="F13" i="37"/>
  <c r="S13" i="37" s="1"/>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M86" i="36"/>
  <c r="L86" i="36"/>
  <c r="K86" i="36"/>
  <c r="J86" i="36"/>
  <c r="I86" i="36"/>
  <c r="H86" i="36"/>
  <c r="G86" i="36"/>
  <c r="F86" i="36"/>
  <c r="E86" i="36"/>
  <c r="D86" i="36"/>
  <c r="C86" i="36"/>
  <c r="D85" i="36"/>
  <c r="E85" i="36"/>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F25" i="36"/>
  <c r="S25" i="36" s="1"/>
  <c r="B73" i="36"/>
  <c r="J24" i="36" s="1"/>
  <c r="AC24" i="36"/>
  <c r="B71" i="36"/>
  <c r="H23" i="36"/>
  <c r="AB23" i="36" s="1"/>
  <c r="D70" i="36"/>
  <c r="H22" i="36"/>
  <c r="AB22" i="36"/>
  <c r="D68" i="36"/>
  <c r="E68" i="36"/>
  <c r="F68" i="36" s="1"/>
  <c r="G68" i="36"/>
  <c r="D64" i="36"/>
  <c r="E64" i="36"/>
  <c r="F64" i="36" s="1"/>
  <c r="G64" i="36" s="1"/>
  <c r="J16" i="36"/>
  <c r="D62" i="36"/>
  <c r="E62" i="36" s="1"/>
  <c r="F62" i="36"/>
  <c r="G62" i="36" s="1"/>
  <c r="B59" i="36"/>
  <c r="J13" i="36" s="1"/>
  <c r="W13" i="36"/>
  <c r="B57" i="36"/>
  <c r="J12" i="36"/>
  <c r="B55" i="36"/>
  <c r="F54" i="36"/>
  <c r="G54" i="36" s="1"/>
  <c r="H54" i="36" s="1"/>
  <c r="I54" i="36" s="1"/>
  <c r="C51" i="36"/>
  <c r="J9" i="36" s="1"/>
  <c r="AC9" i="36" s="1"/>
  <c r="P37" i="36"/>
  <c r="P36" i="36"/>
  <c r="V35" i="36"/>
  <c r="T35" i="36"/>
  <c r="R35" i="36"/>
  <c r="P35" i="36"/>
  <c r="Q34" i="36"/>
  <c r="Z34" i="36"/>
  <c r="Q33" i="36"/>
  <c r="Z33" i="36"/>
  <c r="Q32" i="36"/>
  <c r="Z32" i="36"/>
  <c r="Q31" i="36"/>
  <c r="Z31" i="36"/>
  <c r="Q30" i="36"/>
  <c r="Z30" i="36"/>
  <c r="AC30" i="36"/>
  <c r="Q29" i="36"/>
  <c r="Z29" i="36" s="1"/>
  <c r="Q28" i="36"/>
  <c r="Z28" i="36" s="1"/>
  <c r="J28" i="36"/>
  <c r="Q27" i="36"/>
  <c r="Z27" i="36"/>
  <c r="Q26" i="36"/>
  <c r="Z26" i="36"/>
  <c r="H26" i="36"/>
  <c r="AB26" i="36"/>
  <c r="Q25" i="36"/>
  <c r="Z25" i="36"/>
  <c r="Q24" i="36"/>
  <c r="Z24" i="36"/>
  <c r="Q23" i="36"/>
  <c r="Z23" i="36"/>
  <c r="J23" i="36"/>
  <c r="AC23" i="36"/>
  <c r="F23" i="36"/>
  <c r="AA23" i="36"/>
  <c r="Q22" i="36"/>
  <c r="Z22" i="36"/>
  <c r="J22" i="36"/>
  <c r="AC22" i="36"/>
  <c r="Q20" i="36"/>
  <c r="Z20" i="36"/>
  <c r="Q16" i="36"/>
  <c r="Z16" i="36"/>
  <c r="Q14" i="36"/>
  <c r="Z14" i="36"/>
  <c r="Q13" i="36"/>
  <c r="Z13" i="36"/>
  <c r="Q12" i="36"/>
  <c r="Z12" i="36"/>
  <c r="H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J36" i="35"/>
  <c r="AC36" i="35"/>
  <c r="Q35" i="35"/>
  <c r="Z35" i="35"/>
  <c r="Q34" i="35"/>
  <c r="Z34" i="35"/>
  <c r="J34" i="35"/>
  <c r="AC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c r="D124" i="34"/>
  <c r="E124" i="34"/>
  <c r="F124" i="34" s="1"/>
  <c r="G124" i="34" s="1"/>
  <c r="H124" i="34" s="1"/>
  <c r="I124" i="34" s="1"/>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c r="Q10" i="34"/>
  <c r="Z10" i="34"/>
  <c r="F10" i="34"/>
  <c r="AA10" i="34"/>
  <c r="Q9" i="34"/>
  <c r="Z9" i="34"/>
  <c r="J9" i="34"/>
  <c r="AC9" i="34"/>
  <c r="H9" i="34"/>
  <c r="F9" i="34"/>
  <c r="AA9" i="34" s="1"/>
  <c r="J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c r="AA40" i="33"/>
  <c r="Q39" i="33"/>
  <c r="Z39" i="33" s="1"/>
  <c r="J39" i="33"/>
  <c r="AC39" i="33" s="1"/>
  <c r="Q38" i="33"/>
  <c r="Z38" i="33" s="1"/>
  <c r="J38" i="33"/>
  <c r="AC38" i="33" s="1"/>
  <c r="H38" i="33"/>
  <c r="AB38" i="33" s="1"/>
  <c r="F38" i="33"/>
  <c r="Q37" i="33"/>
  <c r="Z37" i="33"/>
  <c r="Q36" i="33"/>
  <c r="Z36" i="33"/>
  <c r="Q35" i="33"/>
  <c r="Z35" i="33"/>
  <c r="H35" i="33"/>
  <c r="Q34" i="33"/>
  <c r="Z34" i="33" s="1"/>
  <c r="Q33" i="33"/>
  <c r="Z33" i="33" s="1"/>
  <c r="J33" i="33"/>
  <c r="AC33" i="33" s="1"/>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c r="H8" i="33"/>
  <c r="AB8" i="33"/>
  <c r="F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G123" i="21" s="1"/>
  <c r="H123" i="21" s="1"/>
  <c r="I123" i="21" s="1"/>
  <c r="J123" i="21" s="1"/>
  <c r="K123" i="21" s="1"/>
  <c r="L123" i="21" s="1"/>
  <c r="M123" i="21" s="1"/>
  <c r="F42" i="21"/>
  <c r="AA42" i="21" s="1"/>
  <c r="D119" i="21"/>
  <c r="E119" i="2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B126" i="21"/>
  <c r="B98" i="21"/>
  <c r="F31" i="21"/>
  <c r="S31" i="21" s="1"/>
  <c r="B96" i="21"/>
  <c r="B94" i="21"/>
  <c r="B92" i="21"/>
  <c r="B90" i="2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D38" i="43" s="1"/>
  <c r="I4" i="6"/>
  <c r="G3" i="43" s="1"/>
  <c r="J5" i="3"/>
  <c r="BE10"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F43" i="21"/>
  <c r="S43" i="2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J44" i="39"/>
  <c r="AC44" i="39"/>
  <c r="J35" i="39"/>
  <c r="AC35" i="39"/>
  <c r="F35" i="39"/>
  <c r="AA35" i="39"/>
  <c r="U9" i="39"/>
  <c r="W40" i="39"/>
  <c r="U30" i="37"/>
  <c r="W31" i="37"/>
  <c r="E103" i="37"/>
  <c r="F103" i="37"/>
  <c r="G103" i="37" s="1"/>
  <c r="H103" i="37" s="1"/>
  <c r="I103" i="37" s="1"/>
  <c r="J103" i="37" s="1"/>
  <c r="K103" i="37" s="1"/>
  <c r="L103" i="37" s="1"/>
  <c r="M103" i="37" s="1"/>
  <c r="U14" i="37"/>
  <c r="F29" i="36"/>
  <c r="AA29" i="36"/>
  <c r="F16" i="36"/>
  <c r="AA16" i="36" s="1"/>
  <c r="S30" i="36"/>
  <c r="U31" i="36"/>
  <c r="J33" i="36"/>
  <c r="W33" i="36"/>
  <c r="H22" i="35"/>
  <c r="AB22" i="35"/>
  <c r="AC27" i="35"/>
  <c r="W28" i="35"/>
  <c r="S34" i="35"/>
  <c r="W34" i="35"/>
  <c r="W36" i="35"/>
  <c r="S31" i="35"/>
  <c r="F36" i="34"/>
  <c r="J35" i="34"/>
  <c r="W9" i="34"/>
  <c r="S34" i="34"/>
  <c r="H39" i="33"/>
  <c r="AB39" i="33" s="1"/>
  <c r="F26" i="33"/>
  <c r="AA26" i="33" s="1"/>
  <c r="S40" i="33"/>
  <c r="W33" i="33"/>
  <c r="W39" i="33"/>
  <c r="S27" i="35"/>
  <c r="F11" i="40"/>
  <c r="AA11" i="40"/>
  <c r="H11" i="40"/>
  <c r="AB11" i="40"/>
  <c r="AA9" i="40"/>
  <c r="F42" i="39"/>
  <c r="AA42" i="39" s="1"/>
  <c r="F41" i="39"/>
  <c r="S41" i="39" s="1"/>
  <c r="H40" i="39"/>
  <c r="H39" i="39"/>
  <c r="U39" i="39"/>
  <c r="S38" i="39"/>
  <c r="H34" i="39"/>
  <c r="U34" i="39" s="1"/>
  <c r="E109" i="39"/>
  <c r="H31" i="39"/>
  <c r="AB31" i="39"/>
  <c r="E101" i="39"/>
  <c r="F101" i="39"/>
  <c r="H19" i="39"/>
  <c r="AB19" i="39"/>
  <c r="F19" i="39"/>
  <c r="AA19" i="39"/>
  <c r="H17" i="39"/>
  <c r="AB17" i="39"/>
  <c r="F17" i="39"/>
  <c r="AA17" i="39"/>
  <c r="J23" i="40"/>
  <c r="AC23" i="40"/>
  <c r="F21" i="40"/>
  <c r="J21" i="40"/>
  <c r="W21" i="40" s="1"/>
  <c r="H42" i="39"/>
  <c r="AB42" i="39" s="1"/>
  <c r="J34" i="39"/>
  <c r="AC34" i="39" s="1"/>
  <c r="F109" i="39"/>
  <c r="G109" i="39" s="1"/>
  <c r="H109" i="39" s="1"/>
  <c r="I109" i="39" s="1"/>
  <c r="J109" i="39" s="1"/>
  <c r="K109" i="39" s="1"/>
  <c r="L109" i="39" s="1"/>
  <c r="M109" i="39" s="1"/>
  <c r="H27" i="39"/>
  <c r="U27" i="39" s="1"/>
  <c r="J19" i="39"/>
  <c r="AC19" i="39" s="1"/>
  <c r="J17" i="39"/>
  <c r="J27" i="39"/>
  <c r="AC27" i="39"/>
  <c r="F27" i="39"/>
  <c r="F11" i="21"/>
  <c r="S11" i="21" s="1"/>
  <c r="S40" i="21"/>
  <c r="C25" i="39"/>
  <c r="H11" i="39"/>
  <c r="S40" i="39"/>
  <c r="C15" i="39"/>
  <c r="H32" i="33"/>
  <c r="H11" i="21"/>
  <c r="U11" i="21"/>
  <c r="J11" i="21"/>
  <c r="W11" i="21"/>
  <c r="H37" i="40"/>
  <c r="U37" i="40"/>
  <c r="H36" i="40"/>
  <c r="AB36" i="40"/>
  <c r="H23" i="40"/>
  <c r="H17" i="40"/>
  <c r="U17" i="40" s="1"/>
  <c r="J15" i="40"/>
  <c r="W15" i="40" s="1"/>
  <c r="J11" i="40"/>
  <c r="W11" i="40" s="1"/>
  <c r="AB8" i="39"/>
  <c r="AC12" i="34"/>
  <c r="W32" i="40"/>
  <c r="S44" i="39"/>
  <c r="F37" i="39"/>
  <c r="AA37" i="39" s="1"/>
  <c r="J34" i="36"/>
  <c r="W34" i="36" s="1"/>
  <c r="U30" i="36"/>
  <c r="J30" i="35"/>
  <c r="W30" i="35"/>
  <c r="H30" i="35"/>
  <c r="AB30" i="35"/>
  <c r="F22" i="35"/>
  <c r="AA22" i="35"/>
  <c r="H10" i="35"/>
  <c r="U10" i="35"/>
  <c r="F33" i="36"/>
  <c r="AA33" i="36"/>
  <c r="W30" i="36"/>
  <c r="H16" i="36"/>
  <c r="AB16" i="36" s="1"/>
  <c r="J29" i="36"/>
  <c r="AC29" i="36" s="1"/>
  <c r="F12" i="36"/>
  <c r="AA12" i="36" s="1"/>
  <c r="F24" i="36"/>
  <c r="AA24" i="36"/>
  <c r="F34" i="36"/>
  <c r="S34" i="36"/>
  <c r="S10" i="36"/>
  <c r="AB8" i="36"/>
  <c r="F14" i="35"/>
  <c r="AA14" i="35" s="1"/>
  <c r="F23" i="35"/>
  <c r="AA23" i="35" s="1"/>
  <c r="J32" i="35"/>
  <c r="AC32" i="35" s="1"/>
  <c r="J16" i="35"/>
  <c r="AC16" i="35" s="1"/>
  <c r="H16" i="35"/>
  <c r="U16" i="35" s="1"/>
  <c r="F16" i="35"/>
  <c r="S16" i="35" s="1"/>
  <c r="H14" i="35"/>
  <c r="AB14" i="35" s="1"/>
  <c r="J29" i="35"/>
  <c r="H33" i="35"/>
  <c r="AC8" i="35"/>
  <c r="J20" i="35"/>
  <c r="W20" i="35"/>
  <c r="F35" i="37"/>
  <c r="S35" i="37"/>
  <c r="E101" i="37"/>
  <c r="F101" i="37"/>
  <c r="G101" i="37" s="1"/>
  <c r="H101" i="37" s="1"/>
  <c r="I101" i="37" s="1"/>
  <c r="J101" i="37" s="1"/>
  <c r="K101" i="37" s="1"/>
  <c r="L101" i="37" s="1"/>
  <c r="M101" i="37" s="1"/>
  <c r="J34" i="37"/>
  <c r="W34" i="37" s="1"/>
  <c r="S10" i="37"/>
  <c r="J33" i="37"/>
  <c r="AC33" i="37" s="1"/>
  <c r="H40" i="34"/>
  <c r="U40" i="34" s="1"/>
  <c r="H36" i="34"/>
  <c r="U36" i="34" s="1"/>
  <c r="F37" i="34"/>
  <c r="AA37" i="34" s="1"/>
  <c r="F28" i="34"/>
  <c r="AA28" i="34" s="1"/>
  <c r="F27" i="34"/>
  <c r="AA27" i="34" s="1"/>
  <c r="F25" i="34"/>
  <c r="S25" i="34" s="1"/>
  <c r="H23" i="34"/>
  <c r="U23" i="34" s="1"/>
  <c r="J23" i="34"/>
  <c r="F19" i="34"/>
  <c r="H17" i="34"/>
  <c r="U17" i="34" s="1"/>
  <c r="F15" i="34"/>
  <c r="S15" i="34" s="1"/>
  <c r="J15" i="34"/>
  <c r="W15" i="34"/>
  <c r="H15" i="34"/>
  <c r="AB15" i="34"/>
  <c r="J28" i="34"/>
  <c r="W28" i="34" s="1"/>
  <c r="F41" i="33"/>
  <c r="AA41" i="33" s="1"/>
  <c r="E113" i="33"/>
  <c r="F113" i="33" s="1"/>
  <c r="G113" i="33" s="1"/>
  <c r="H113" i="33" s="1"/>
  <c r="I113" i="33" s="1"/>
  <c r="J113" i="33" s="1"/>
  <c r="K113" i="33" s="1"/>
  <c r="L113" i="33" s="1"/>
  <c r="M113" i="33" s="1"/>
  <c r="F32" i="33"/>
  <c r="AA32" i="33"/>
  <c r="J19" i="33"/>
  <c r="AC19" i="33"/>
  <c r="J15" i="33"/>
  <c r="AC15" i="33"/>
  <c r="F11" i="33"/>
  <c r="AA11" i="33"/>
  <c r="U40" i="33"/>
  <c r="U8" i="33"/>
  <c r="F37" i="40"/>
  <c r="AA37" i="40" s="1"/>
  <c r="F36" i="40"/>
  <c r="AA36" i="40" s="1"/>
  <c r="F23" i="40"/>
  <c r="AA23" i="40" s="1"/>
  <c r="F17" i="40"/>
  <c r="AA17" i="40" s="1"/>
  <c r="J17" i="40"/>
  <c r="W17" i="40" s="1"/>
  <c r="F15" i="40"/>
  <c r="S15" i="40" s="1"/>
  <c r="H15" i="40"/>
  <c r="AB15" i="40" s="1"/>
  <c r="S12" i="36"/>
  <c r="AB30" i="36"/>
  <c r="U30" i="35"/>
  <c r="F29" i="35"/>
  <c r="H29" i="35"/>
  <c r="AB29" i="35" s="1"/>
  <c r="H33" i="37"/>
  <c r="F33" i="37"/>
  <c r="AA33" i="37"/>
  <c r="U34" i="37"/>
  <c r="W33" i="37"/>
  <c r="S34" i="37"/>
  <c r="AA34" i="37"/>
  <c r="J43" i="34"/>
  <c r="J40" i="34"/>
  <c r="H38" i="34"/>
  <c r="AB38" i="34"/>
  <c r="J36" i="34"/>
  <c r="W36" i="34"/>
  <c r="H37" i="34"/>
  <c r="H25" i="34"/>
  <c r="AB25" i="34" s="1"/>
  <c r="J25" i="34"/>
  <c r="AC25" i="34" s="1"/>
  <c r="AB23" i="34"/>
  <c r="F23" i="34"/>
  <c r="AA23" i="34"/>
  <c r="J19" i="34"/>
  <c r="AC19" i="34"/>
  <c r="F17" i="34"/>
  <c r="AA17" i="34"/>
  <c r="J17" i="34"/>
  <c r="W17" i="34"/>
  <c r="AA15" i="34"/>
  <c r="S41" i="33"/>
  <c r="H37" i="33"/>
  <c r="AB37" i="33"/>
  <c r="H15" i="33"/>
  <c r="AB15" i="33"/>
  <c r="H11" i="33"/>
  <c r="AB11" i="33"/>
  <c r="AC38" i="34"/>
  <c r="AA38" i="34"/>
  <c r="J37" i="34"/>
  <c r="AC37" i="34"/>
  <c r="J11" i="33"/>
  <c r="W11" i="33"/>
  <c r="J42" i="21"/>
  <c r="AC42" i="21" s="1"/>
  <c r="H42" i="21"/>
  <c r="U42" i="21" s="1"/>
  <c r="J44" i="34"/>
  <c r="AC44" i="34" s="1"/>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H27" i="21"/>
  <c r="AB27" i="21" s="1"/>
  <c r="F27" i="33"/>
  <c r="AA27" i="33" s="1"/>
  <c r="J13" i="33"/>
  <c r="H13" i="33"/>
  <c r="F13" i="33"/>
  <c r="S13" i="33" s="1"/>
  <c r="J29" i="33"/>
  <c r="AC29" i="33" s="1"/>
  <c r="H29" i="33"/>
  <c r="U29" i="33" s="1"/>
  <c r="F29" i="33"/>
  <c r="S29" i="33" s="1"/>
  <c r="J31" i="33"/>
  <c r="W31" i="33" s="1"/>
  <c r="H31" i="33"/>
  <c r="U31" i="33" s="1"/>
  <c r="F31" i="33"/>
  <c r="H45" i="33"/>
  <c r="J45" i="33"/>
  <c r="W45" i="33" s="1"/>
  <c r="F45" i="33"/>
  <c r="AA45" i="33" s="1"/>
  <c r="J14" i="34"/>
  <c r="W14" i="34" s="1"/>
  <c r="F14" i="34"/>
  <c r="H14" i="34"/>
  <c r="H30" i="34"/>
  <c r="F30" i="34"/>
  <c r="S30" i="34"/>
  <c r="J30" i="34"/>
  <c r="W30" i="34"/>
  <c r="H32" i="34"/>
  <c r="F32" i="34"/>
  <c r="J32" i="34"/>
  <c r="W32" i="34"/>
  <c r="H46" i="34"/>
  <c r="F46" i="34"/>
  <c r="J46" i="34"/>
  <c r="H11" i="35"/>
  <c r="U11" i="35" s="1"/>
  <c r="J11" i="35"/>
  <c r="AC11" i="35" s="1"/>
  <c r="F11" i="35"/>
  <c r="S11" i="35" s="1"/>
  <c r="J26" i="36"/>
  <c r="W26" i="36" s="1"/>
  <c r="H28" i="36"/>
  <c r="U28" i="36" s="1"/>
  <c r="H32" i="36"/>
  <c r="AB32" i="36" s="1"/>
  <c r="J11" i="36"/>
  <c r="AC11" i="36" s="1"/>
  <c r="H11" i="36"/>
  <c r="F11" i="36"/>
  <c r="AA11" i="36"/>
  <c r="F13" i="36"/>
  <c r="S13" i="36"/>
  <c r="J29" i="37"/>
  <c r="W29" i="37"/>
  <c r="F29" i="37"/>
  <c r="S29" i="37"/>
  <c r="H36" i="37"/>
  <c r="AB36" i="37"/>
  <c r="F107"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c r="H13" i="35"/>
  <c r="U13" i="35"/>
  <c r="J25" i="35"/>
  <c r="W25" i="35"/>
  <c r="F25" i="35"/>
  <c r="S25" i="35"/>
  <c r="H25" i="35"/>
  <c r="AB25" i="35"/>
  <c r="J35" i="35"/>
  <c r="AC35" i="35"/>
  <c r="F35" i="35"/>
  <c r="AA35" i="35"/>
  <c r="H35" i="35"/>
  <c r="AB35" i="35"/>
  <c r="H13" i="37"/>
  <c r="AB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H33" i="40"/>
  <c r="U33" i="40"/>
  <c r="J37" i="40"/>
  <c r="AC37" i="40"/>
  <c r="H13" i="40"/>
  <c r="U13" i="40"/>
  <c r="J13" i="40"/>
  <c r="F13" i="40"/>
  <c r="AA13" i="40" s="1"/>
  <c r="F14" i="37"/>
  <c r="S14" i="37" s="1"/>
  <c r="F13" i="39"/>
  <c r="J13" i="39"/>
  <c r="W13" i="39"/>
  <c r="H13" i="39"/>
  <c r="H14" i="40"/>
  <c r="AB14" i="40" s="1"/>
  <c r="J14" i="40"/>
  <c r="W14" i="40" s="1"/>
  <c r="F14" i="40"/>
  <c r="AA14" i="40" s="1"/>
  <c r="J14" i="37"/>
  <c r="AA14" i="33"/>
  <c r="J36" i="37"/>
  <c r="AC36" i="37"/>
  <c r="G105" i="37"/>
  <c r="J10" i="36"/>
  <c r="AC10" i="36" s="1"/>
  <c r="AB26" i="33"/>
  <c r="AB30" i="21"/>
  <c r="W31" i="34"/>
  <c r="S11" i="36"/>
  <c r="W11" i="35"/>
  <c r="W29" i="33"/>
  <c r="AC28" i="21"/>
  <c r="S44" i="34"/>
  <c r="F17" i="21"/>
  <c r="AA17" i="21"/>
  <c r="H17" i="21"/>
  <c r="AB17" i="21"/>
  <c r="F15" i="21"/>
  <c r="S15" i="21"/>
  <c r="AB11" i="21"/>
  <c r="J41" i="39"/>
  <c r="W41" i="39" s="1"/>
  <c r="W44" i="39"/>
  <c r="W35" i="39"/>
  <c r="U36" i="39"/>
  <c r="S35" i="39"/>
  <c r="G544" i="3"/>
  <c r="G535" i="3"/>
  <c r="G527" i="3"/>
  <c r="G510" i="3"/>
  <c r="G496" i="3"/>
  <c r="G584" i="3"/>
  <c r="G580" i="3"/>
  <c r="G576" i="3"/>
  <c r="G572" i="3"/>
  <c r="G554" i="3"/>
  <c r="G550" i="3"/>
  <c r="G529" i="3"/>
  <c r="G583" i="3"/>
  <c r="G581" i="3"/>
  <c r="G579" i="3"/>
  <c r="G577" i="3"/>
  <c r="G575" i="3"/>
  <c r="G573" i="3"/>
  <c r="G571" i="3"/>
  <c r="G569" i="3"/>
  <c r="G561" i="3"/>
  <c r="AC557" i="3"/>
  <c r="G557" i="3" s="1"/>
  <c r="G555" i="3"/>
  <c r="G553" i="3"/>
  <c r="G549" i="3"/>
  <c r="G547" i="3"/>
  <c r="G545" i="3"/>
  <c r="G543" i="3"/>
  <c r="G537" i="3"/>
  <c r="AC521" i="3"/>
  <c r="G521" i="3" s="1"/>
  <c r="G517" i="3"/>
  <c r="AC509" i="3"/>
  <c r="G507" i="3"/>
  <c r="G499"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c r="E125" i="33"/>
  <c r="F125" i="33"/>
  <c r="G125" i="33" s="1"/>
  <c r="H43" i="33"/>
  <c r="U43" i="33" s="1"/>
  <c r="H17" i="37"/>
  <c r="U17" i="37"/>
  <c r="F39" i="33"/>
  <c r="AA39" i="33"/>
  <c r="E123" i="33"/>
  <c r="F123" i="33"/>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AA41" i="34" s="1"/>
  <c r="H41" i="34"/>
  <c r="U41" i="34"/>
  <c r="J41" i="34"/>
  <c r="AC41" i="34"/>
  <c r="F10" i="35"/>
  <c r="S10" i="35"/>
  <c r="F24" i="35"/>
  <c r="AA24" i="35"/>
  <c r="H24" i="35"/>
  <c r="AB24" i="35"/>
  <c r="H23" i="37"/>
  <c r="AB23" i="37"/>
  <c r="J32" i="37"/>
  <c r="AC32" i="37"/>
  <c r="F36" i="37"/>
  <c r="AA36" i="37"/>
  <c r="F37" i="37"/>
  <c r="AA37" i="37"/>
  <c r="F32" i="40"/>
  <c r="S32" i="40"/>
  <c r="H32" i="40"/>
  <c r="AB32" i="40"/>
  <c r="J36" i="40"/>
  <c r="W36" i="40"/>
  <c r="H19" i="37"/>
  <c r="AB19" i="37"/>
  <c r="H42" i="33"/>
  <c r="AB42" i="33"/>
  <c r="J43" i="33"/>
  <c r="AC43" i="33"/>
  <c r="S28" i="31"/>
  <c r="S27" i="31"/>
  <c r="S26" i="31"/>
  <c r="U14" i="40"/>
  <c r="AC33" i="36"/>
  <c r="U35" i="35"/>
  <c r="AA12" i="35"/>
  <c r="AB28" i="37"/>
  <c r="AC8" i="37"/>
  <c r="U26" i="37"/>
  <c r="W47" i="34"/>
  <c r="AB13" i="34"/>
  <c r="W37" i="34"/>
  <c r="AC36" i="34"/>
  <c r="AA13" i="33"/>
  <c r="AC45" i="33"/>
  <c r="U11" i="33"/>
  <c r="U19" i="21"/>
  <c r="W44" i="21"/>
  <c r="U26" i="21"/>
  <c r="AC46" i="21"/>
  <c r="F43" i="33"/>
  <c r="AA43" i="33" s="1"/>
  <c r="AC15" i="34"/>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H5" i="3"/>
  <c r="C12" i="43"/>
  <c r="H19" i="40"/>
  <c r="U19" i="40" s="1"/>
  <c r="F19" i="40"/>
  <c r="S19" i="40" s="1"/>
  <c r="S14" i="40"/>
  <c r="AB33" i="40"/>
  <c r="W23" i="39"/>
  <c r="G101" i="39"/>
  <c r="H37" i="39"/>
  <c r="AB37" i="39" s="1"/>
  <c r="H25" i="39"/>
  <c r="AB25" i="39" s="1"/>
  <c r="J25" i="39"/>
  <c r="F25" i="39"/>
  <c r="AA25" i="39"/>
  <c r="F15" i="39"/>
  <c r="AA15" i="39"/>
  <c r="H15" i="39"/>
  <c r="U15" i="39"/>
  <c r="J15" i="39"/>
  <c r="W15" i="39"/>
  <c r="H41" i="39"/>
  <c r="W27" i="39"/>
  <c r="AB34" i="39"/>
  <c r="S42" i="39"/>
  <c r="AA41" i="39"/>
  <c r="W9" i="39"/>
  <c r="W8" i="39"/>
  <c r="J19" i="40"/>
  <c r="AC19" i="40"/>
  <c r="J50" i="40"/>
  <c r="B54" i="72"/>
  <c r="H103" i="9"/>
  <c r="D8" i="53"/>
  <c r="B16" i="53"/>
  <c r="B33" i="72"/>
  <c r="C7" i="37"/>
  <c r="C7" i="34"/>
  <c r="C7" i="36"/>
  <c r="A118" i="9"/>
  <c r="A4" i="52"/>
  <c r="B41" i="72"/>
  <c r="J11" i="39"/>
  <c r="W11" i="39"/>
  <c r="F11" i="39"/>
  <c r="AA11" i="39"/>
  <c r="A12" i="52"/>
  <c r="B56" i="72"/>
  <c r="S11" i="39"/>
  <c r="G4" i="4"/>
  <c r="I4" i="4"/>
  <c r="K5" i="4"/>
  <c r="B47" i="48" s="1"/>
  <c r="A2" i="9"/>
  <c r="G546" i="3"/>
  <c r="G303" i="3"/>
  <c r="G305" i="3"/>
  <c r="G310" i="3"/>
  <c r="G319" i="3"/>
  <c r="G321" i="3"/>
  <c r="G326" i="3"/>
  <c r="G335" i="3"/>
  <c r="G337" i="3"/>
  <c r="G356" i="3"/>
  <c r="G361" i="3"/>
  <c r="G370" i="3"/>
  <c r="G372" i="3"/>
  <c r="G377" i="3"/>
  <c r="G379" i="3"/>
  <c r="G388" i="3"/>
  <c r="G390" i="3"/>
  <c r="G113" i="3"/>
  <c r="G117" i="3"/>
  <c r="G121" i="3"/>
  <c r="G125" i="3"/>
  <c r="G129" i="3"/>
  <c r="G133" i="3"/>
  <c r="G137" i="3"/>
  <c r="G141" i="3"/>
  <c r="G145" i="3"/>
  <c r="G149" i="3"/>
  <c r="G153" i="3"/>
  <c r="G157" i="3"/>
  <c r="G161" i="3"/>
  <c r="G165" i="3"/>
  <c r="G169" i="3"/>
  <c r="G173" i="3"/>
  <c r="G177" i="3"/>
  <c r="G181" i="3"/>
  <c r="G185" i="3"/>
  <c r="G189" i="3"/>
  <c r="G193" i="3"/>
  <c r="G197" i="3"/>
  <c r="G201" i="3"/>
  <c r="G534" i="3"/>
  <c r="G522" i="3"/>
  <c r="G512" i="3"/>
  <c r="G498" i="3"/>
  <c r="G16" i="3"/>
  <c r="G15" i="3"/>
  <c r="G306" i="3"/>
  <c r="G309" i="3"/>
  <c r="G314" i="3"/>
  <c r="G317" i="3"/>
  <c r="G322" i="3"/>
  <c r="G325" i="3"/>
  <c r="G330" i="3"/>
  <c r="G333" i="3"/>
  <c r="G338" i="3"/>
  <c r="G341" i="3"/>
  <c r="G350" i="3"/>
  <c r="G352" i="3"/>
  <c r="G354" i="3"/>
  <c r="G357" i="3"/>
  <c r="G360" i="3"/>
  <c r="G365" i="3"/>
  <c r="G368" i="3"/>
  <c r="G373" i="3"/>
  <c r="G376" i="3"/>
  <c r="G383" i="3"/>
  <c r="G386" i="3"/>
  <c r="G391" i="3"/>
  <c r="G394" i="3"/>
  <c r="G304" i="3"/>
  <c r="G308" i="3"/>
  <c r="G312" i="3"/>
  <c r="G316" i="3"/>
  <c r="G320" i="3"/>
  <c r="G324" i="3"/>
  <c r="G328" i="3"/>
  <c r="G332" i="3"/>
  <c r="G336" i="3"/>
  <c r="G340" i="3"/>
  <c r="G344" i="3"/>
  <c r="G348" i="3"/>
  <c r="G355" i="3"/>
  <c r="G342" i="3"/>
  <c r="G346" i="3"/>
  <c r="G353" i="3"/>
  <c r="G359" i="3"/>
  <c r="G363" i="3"/>
  <c r="G367" i="3"/>
  <c r="G371" i="3"/>
  <c r="G375" i="3"/>
  <c r="G381" i="3"/>
  <c r="G385" i="3"/>
  <c r="G389" i="3"/>
  <c r="G393" i="3"/>
  <c r="BM5" i="3"/>
  <c r="BH5" i="3"/>
  <c r="BD5" i="3"/>
  <c r="BQ5" i="3"/>
  <c r="F28" i="6" s="1"/>
  <c r="G548" i="3"/>
  <c r="G538" i="3"/>
  <c r="G502" i="3"/>
  <c r="BP5" i="3"/>
  <c r="BI5" i="3"/>
  <c r="BE5" i="3"/>
  <c r="E15" i="6" s="1"/>
  <c r="G17" i="3"/>
  <c r="BT5" i="3"/>
  <c r="E8" i="6"/>
  <c r="F27" i="6"/>
  <c r="F36" i="43"/>
  <c r="H113" i="43"/>
  <c r="F48" i="43"/>
  <c r="H52" i="43"/>
  <c r="N7" i="43"/>
  <c r="F81" i="43"/>
  <c r="H82" i="43" s="1"/>
  <c r="F70" i="43"/>
  <c r="H73" i="43"/>
  <c r="M6" i="43"/>
  <c r="E17" i="43"/>
  <c r="F39" i="43"/>
  <c r="F35" i="43"/>
  <c r="U17" i="39"/>
  <c r="S14" i="35"/>
  <c r="U43" i="21"/>
  <c r="AC35" i="21"/>
  <c r="U10" i="21"/>
  <c r="G8" i="1"/>
  <c r="G9" i="1"/>
  <c r="G10" i="1"/>
  <c r="F48" i="9"/>
  <c r="O52" i="9" s="1"/>
  <c r="W44" i="34"/>
  <c r="S15"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F111" i="40"/>
  <c r="G111"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E98" i="40"/>
  <c r="F98" i="40"/>
  <c r="G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50" i="43"/>
  <c r="H48" i="43"/>
  <c r="F23" i="39"/>
  <c r="AA23" i="39"/>
  <c r="H27" i="36"/>
  <c r="U27" i="36"/>
  <c r="F27" i="36"/>
  <c r="AA27" i="36"/>
  <c r="H33" i="34"/>
  <c r="U33" i="34"/>
  <c r="F32" i="37"/>
  <c r="AA32" i="37"/>
  <c r="F20" i="36"/>
  <c r="AA20" i="36"/>
  <c r="J33" i="34"/>
  <c r="AC33" i="34"/>
  <c r="H23" i="39"/>
  <c r="U23" i="39"/>
  <c r="D48" i="9"/>
  <c r="M52" i="9"/>
  <c r="K9" i="1"/>
  <c r="M9" i="1"/>
  <c r="O9" i="1"/>
  <c r="P9" i="1"/>
  <c r="AE9" i="1"/>
  <c r="W43" i="39"/>
  <c r="AC43" i="39"/>
  <c r="AB45" i="39"/>
  <c r="U45" i="39"/>
  <c r="W12" i="36"/>
  <c r="AC12" i="36"/>
  <c r="U44" i="39"/>
  <c r="AB44" i="39"/>
  <c r="W37" i="39"/>
  <c r="AC37" i="39"/>
  <c r="AC12" i="40"/>
  <c r="W12" i="40"/>
  <c r="G570" i="3"/>
  <c r="G568" i="3"/>
  <c r="G567" i="3"/>
  <c r="G566" i="3"/>
  <c r="G565" i="3"/>
  <c r="G564" i="3"/>
  <c r="G563" i="3"/>
  <c r="G556" i="3"/>
  <c r="G552" i="3"/>
  <c r="G551" i="3"/>
  <c r="G400" i="3"/>
  <c r="G410" i="3"/>
  <c r="G412" i="3"/>
  <c r="G416" i="3"/>
  <c r="G427" i="3"/>
  <c r="G433" i="3"/>
  <c r="G435" i="3"/>
  <c r="G438" i="3"/>
  <c r="G442" i="3"/>
  <c r="G444" i="3"/>
  <c r="G448" i="3"/>
  <c r="G461" i="3"/>
  <c r="G463" i="3"/>
  <c r="G465" i="3"/>
  <c r="G469" i="3"/>
  <c r="G474" i="3"/>
  <c r="G476" i="3"/>
  <c r="G478" i="3"/>
  <c r="G480" i="3"/>
  <c r="G482" i="3"/>
  <c r="G329" i="3"/>
  <c r="G334" i="3"/>
  <c r="G349" i="3"/>
  <c r="G358" i="3"/>
  <c r="G362" i="3"/>
  <c r="G382" i="3"/>
  <c r="G208" i="3"/>
  <c r="G210" i="3"/>
  <c r="H49" i="43"/>
  <c r="H74" i="43"/>
  <c r="AC11" i="39"/>
  <c r="W11" i="36"/>
  <c r="AB11" i="35"/>
  <c r="F9" i="36"/>
  <c r="AA9" i="36"/>
  <c r="H24" i="36"/>
  <c r="AB24" i="36"/>
  <c r="G509" i="3"/>
  <c r="BS5" i="3"/>
  <c r="BN5" i="3"/>
  <c r="BK5" i="3"/>
  <c r="BG5" i="3"/>
  <c r="E11" i="6" s="1"/>
  <c r="E61" i="39" s="1"/>
  <c r="BC5" i="3"/>
  <c r="BR5" i="3"/>
  <c r="BO5" i="3"/>
  <c r="BJ5" i="3"/>
  <c r="BF5" i="3"/>
  <c r="E19" i="6"/>
  <c r="K6" i="1" s="1"/>
  <c r="L108" i="43"/>
  <c r="L100" i="43"/>
  <c r="G217" i="3"/>
  <c r="G219" i="3"/>
  <c r="G226" i="3"/>
  <c r="G228" i="3"/>
  <c r="G230" i="3"/>
  <c r="G235" i="3"/>
  <c r="G239" i="3"/>
  <c r="G241" i="3"/>
  <c r="G245" i="3"/>
  <c r="G256" i="3"/>
  <c r="G258" i="3"/>
  <c r="G260" i="3"/>
  <c r="G262" i="3"/>
  <c r="G264" i="3"/>
  <c r="G266" i="3"/>
  <c r="G271" i="3"/>
  <c r="G275" i="3"/>
  <c r="G278" i="3"/>
  <c r="G280" i="3"/>
  <c r="G286" i="3"/>
  <c r="G288" i="3"/>
  <c r="G291" i="3"/>
  <c r="G294" i="3"/>
  <c r="G296" i="3"/>
  <c r="G302" i="3"/>
  <c r="G114" i="3"/>
  <c r="G116" i="3"/>
  <c r="G124" i="3"/>
  <c r="G127" i="3"/>
  <c r="G131" i="3"/>
  <c r="G152" i="3"/>
  <c r="G159" i="3"/>
  <c r="G162" i="3"/>
  <c r="G168" i="3"/>
  <c r="G175" i="3"/>
  <c r="G178" i="3"/>
  <c r="G184" i="3"/>
  <c r="G191" i="3"/>
  <c r="G194" i="3"/>
  <c r="G204" i="3"/>
  <c r="G206" i="3"/>
  <c r="G18" i="3"/>
  <c r="G21" i="3"/>
  <c r="G23" i="3"/>
  <c r="G25" i="3"/>
  <c r="G35" i="3"/>
  <c r="G38" i="3"/>
  <c r="G40" i="3"/>
  <c r="G53" i="3"/>
  <c r="G57" i="3"/>
  <c r="G59" i="3"/>
  <c r="G63" i="3"/>
  <c r="G65" i="3"/>
  <c r="G67" i="3"/>
  <c r="G71" i="3"/>
  <c r="G73" i="3"/>
  <c r="G75" i="3"/>
  <c r="D83" i="43"/>
  <c r="J83" i="43"/>
  <c r="D85" i="43"/>
  <c r="J85" i="43"/>
  <c r="D87" i="43"/>
  <c r="J87" i="43"/>
  <c r="G93" i="3"/>
  <c r="G95" i="3"/>
  <c r="G99" i="3"/>
  <c r="G107" i="3"/>
  <c r="G110" i="3"/>
  <c r="E59" i="43"/>
  <c r="B57" i="43"/>
  <c r="U36" i="40"/>
  <c r="S11" i="40"/>
  <c r="AC11" i="40"/>
  <c r="J81" i="43"/>
  <c r="H83" i="43"/>
  <c r="H86" i="43"/>
  <c r="M11" i="43"/>
  <c r="N4" i="43"/>
  <c r="N2" i="43"/>
  <c r="F59" i="43"/>
  <c r="H62" i="43"/>
  <c r="H75" i="43"/>
  <c r="G28" i="6"/>
  <c r="A15" i="62"/>
  <c r="B61" i="72"/>
  <c r="F29" i="6"/>
  <c r="AB43" i="33"/>
  <c r="S13" i="35"/>
  <c r="AA13" i="35"/>
  <c r="AB46" i="33"/>
  <c r="U46" i="33"/>
  <c r="U45" i="33"/>
  <c r="AB45" i="33"/>
  <c r="AB13" i="33"/>
  <c r="U13" i="33"/>
  <c r="AB33" i="37"/>
  <c r="U33" i="37"/>
  <c r="S29" i="35"/>
  <c r="AA29" i="35"/>
  <c r="W45" i="39"/>
  <c r="AC45" i="39"/>
  <c r="U38" i="21"/>
  <c r="AB38" i="21"/>
  <c r="B74" i="43"/>
  <c r="C27" i="39"/>
  <c r="AA8" i="33"/>
  <c r="S8" i="33"/>
  <c r="AB35" i="33"/>
  <c r="U35" i="33"/>
  <c r="AB8" i="35"/>
  <c r="U8" i="35"/>
  <c r="AC28" i="36"/>
  <c r="W28" i="36"/>
  <c r="F32" i="36"/>
  <c r="S32" i="36" s="1"/>
  <c r="J32" i="36"/>
  <c r="S31" i="36"/>
  <c r="AA31" i="36"/>
  <c r="AC26" i="37"/>
  <c r="W26" i="37"/>
  <c r="H27" i="37"/>
  <c r="F27" i="37"/>
  <c r="AA27" i="37"/>
  <c r="J27" i="37"/>
  <c r="AC27" i="37"/>
  <c r="J39" i="37"/>
  <c r="AC39" i="37"/>
  <c r="F39" i="37"/>
  <c r="H39" i="37"/>
  <c r="J31" i="40"/>
  <c r="H31" i="40"/>
  <c r="U31" i="40" s="1"/>
  <c r="J33" i="40"/>
  <c r="F33" i="40"/>
  <c r="AA33" i="40"/>
  <c r="W41" i="33"/>
  <c r="AC41" i="33"/>
  <c r="S42" i="34"/>
  <c r="AA42" i="34"/>
  <c r="W24" i="36"/>
  <c r="U13" i="37"/>
  <c r="W37" i="37"/>
  <c r="U35" i="21"/>
  <c r="F31" i="40"/>
  <c r="AA31" i="40" s="1"/>
  <c r="S41" i="34"/>
  <c r="AA25" i="21"/>
  <c r="AB31" i="33"/>
  <c r="AC30" i="34"/>
  <c r="AC13" i="36"/>
  <c r="AA14" i="37"/>
  <c r="U31" i="34"/>
  <c r="AC14" i="37"/>
  <c r="W14" i="37"/>
  <c r="J13" i="37"/>
  <c r="W13" i="37"/>
  <c r="H13" i="36"/>
  <c r="AB13" i="36"/>
  <c r="U11" i="36"/>
  <c r="AB11" i="36"/>
  <c r="AB33" i="35"/>
  <c r="U33" i="35"/>
  <c r="AB12" i="35"/>
  <c r="AB23" i="40"/>
  <c r="U23" i="40"/>
  <c r="AB32" i="33"/>
  <c r="U32" i="33"/>
  <c r="C21" i="39"/>
  <c r="AA21" i="40"/>
  <c r="S21" i="40"/>
  <c r="AB40" i="39"/>
  <c r="U40" i="39"/>
  <c r="W13" i="40"/>
  <c r="AC13" i="40"/>
  <c r="U46" i="34"/>
  <c r="AB46" i="34"/>
  <c r="S14" i="34"/>
  <c r="AA14" i="34"/>
  <c r="U37" i="34"/>
  <c r="AB37" i="34"/>
  <c r="AB34" i="21"/>
  <c r="U34" i="21"/>
  <c r="H13" i="21"/>
  <c r="J13" i="21"/>
  <c r="AC13" i="21" s="1"/>
  <c r="J27" i="21"/>
  <c r="W27" i="21" s="1"/>
  <c r="F27" i="21"/>
  <c r="AA27" i="21" s="1"/>
  <c r="J29" i="21"/>
  <c r="AC29" i="21" s="1"/>
  <c r="H29" i="21"/>
  <c r="U29" i="21" s="1"/>
  <c r="H31" i="21"/>
  <c r="U31" i="21" s="1"/>
  <c r="J31" i="21"/>
  <c r="AC31" i="21"/>
  <c r="J45" i="21"/>
  <c r="W45" i="21"/>
  <c r="F45" i="21"/>
  <c r="AA45" i="21"/>
  <c r="AB33" i="33"/>
  <c r="U33" i="33"/>
  <c r="AA38" i="33"/>
  <c r="S38" i="33"/>
  <c r="AC40" i="33"/>
  <c r="W40" i="33"/>
  <c r="W16" i="36"/>
  <c r="AC16" i="36"/>
  <c r="J25" i="36"/>
  <c r="W25" i="36"/>
  <c r="H25" i="36"/>
  <c r="AB25" i="36"/>
  <c r="W31" i="36"/>
  <c r="AC31" i="36"/>
  <c r="AB40" i="40"/>
  <c r="U40" i="40"/>
  <c r="F38" i="40"/>
  <c r="H38" i="40"/>
  <c r="J40" i="40"/>
  <c r="F40" i="40"/>
  <c r="AB42" i="34"/>
  <c r="U42" i="34"/>
  <c r="AC8" i="34"/>
  <c r="W8" i="34"/>
  <c r="S12" i="34"/>
  <c r="AA12" i="34"/>
  <c r="AA35" i="34"/>
  <c r="S35" i="34"/>
  <c r="AB34" i="35"/>
  <c r="U34" i="35"/>
  <c r="J12" i="33"/>
  <c r="H12" i="33"/>
  <c r="AC22" i="35"/>
  <c r="W22" i="35"/>
  <c r="U12" i="36"/>
  <c r="AB12" i="36"/>
  <c r="H25" i="37"/>
  <c r="J25" i="37"/>
  <c r="F31" i="39"/>
  <c r="J31" i="39"/>
  <c r="W31" i="39" s="1"/>
  <c r="AA34" i="39"/>
  <c r="S34" i="39"/>
  <c r="W9" i="40"/>
  <c r="AC9" i="40"/>
  <c r="G574" i="3"/>
  <c r="G558" i="3"/>
  <c r="G398" i="3"/>
  <c r="G399" i="3"/>
  <c r="G405" i="3"/>
  <c r="G408" i="3"/>
  <c r="G414" i="3"/>
  <c r="G415" i="3"/>
  <c r="G421" i="3"/>
  <c r="G424" i="3"/>
  <c r="G425" i="3"/>
  <c r="G430" i="3"/>
  <c r="G431" i="3"/>
  <c r="G437" i="3"/>
  <c r="G440" i="3"/>
  <c r="G441" i="3"/>
  <c r="G453" i="3"/>
  <c r="G456" i="3"/>
  <c r="G457" i="3"/>
  <c r="G467" i="3"/>
  <c r="G468" i="3"/>
  <c r="G471" i="3"/>
  <c r="G472" i="3"/>
  <c r="G473" i="3"/>
  <c r="G485" i="3"/>
  <c r="G486" i="3"/>
  <c r="G489" i="3"/>
  <c r="G490" i="3"/>
  <c r="G311" i="3"/>
  <c r="G315" i="3"/>
  <c r="G327" i="3"/>
  <c r="G331" i="3"/>
  <c r="G343" i="3"/>
  <c r="G351" i="3"/>
  <c r="G364" i="3"/>
  <c r="G369" i="3"/>
  <c r="G392" i="3"/>
  <c r="G213" i="3"/>
  <c r="G222" i="3"/>
  <c r="G223" i="3"/>
  <c r="G224" i="3"/>
  <c r="G232" i="3"/>
  <c r="G233" i="3"/>
  <c r="G234" i="3"/>
  <c r="G237" i="3"/>
  <c r="G238" i="3"/>
  <c r="G248" i="3"/>
  <c r="G249" i="3"/>
  <c r="G250" i="3"/>
  <c r="G253" i="3"/>
  <c r="G254" i="3"/>
  <c r="G268" i="3"/>
  <c r="G269" i="3"/>
  <c r="G270" i="3"/>
  <c r="G273" i="3"/>
  <c r="G274" i="3"/>
  <c r="G277" i="3"/>
  <c r="G283" i="3"/>
  <c r="G284" i="3"/>
  <c r="G290" i="3"/>
  <c r="G293" i="3"/>
  <c r="G299" i="3"/>
  <c r="G300" i="3"/>
  <c r="G119" i="3"/>
  <c r="G122" i="3"/>
  <c r="G135" i="3"/>
  <c r="G138" i="3"/>
  <c r="G139" i="3"/>
  <c r="G142" i="3"/>
  <c r="G143" i="3"/>
  <c r="G146" i="3"/>
  <c r="G147" i="3"/>
  <c r="G148" i="3"/>
  <c r="G156" i="3"/>
  <c r="G164" i="3"/>
  <c r="G172" i="3"/>
  <c r="G180" i="3"/>
  <c r="G188" i="3"/>
  <c r="G196" i="3"/>
  <c r="G200" i="3"/>
  <c r="G19" i="3"/>
  <c r="G28" i="3"/>
  <c r="G29" i="3"/>
  <c r="G30" i="3"/>
  <c r="G45" i="3"/>
  <c r="G46" i="3"/>
  <c r="G49" i="3"/>
  <c r="G61" i="3"/>
  <c r="G62" i="3"/>
  <c r="G69" i="3"/>
  <c r="G70" i="3"/>
  <c r="G79" i="3"/>
  <c r="G80" i="3"/>
  <c r="G82" i="3"/>
  <c r="G83" i="3"/>
  <c r="G84" i="3"/>
  <c r="G88" i="3"/>
  <c r="G91" i="3"/>
  <c r="G97" i="3"/>
  <c r="G98" i="3"/>
  <c r="G104" i="3"/>
  <c r="F3" i="35"/>
  <c r="M100" i="43"/>
  <c r="I100" i="43"/>
  <c r="E100" i="43"/>
  <c r="I20" i="66"/>
  <c r="D93" i="9"/>
  <c r="E12" i="6"/>
  <c r="E62" i="39" s="1"/>
  <c r="E13" i="6"/>
  <c r="E58" i="40" s="1"/>
  <c r="G29" i="6"/>
  <c r="E29" i="6" s="1"/>
  <c r="K15" i="1" s="1"/>
  <c r="AC26" i="33"/>
  <c r="W26" i="33"/>
  <c r="W27" i="34"/>
  <c r="AC27" i="34"/>
  <c r="AB34" i="36"/>
  <c r="U34" i="36"/>
  <c r="AB33" i="36"/>
  <c r="U33" i="36"/>
  <c r="AC12" i="39"/>
  <c r="W12" i="39"/>
  <c r="AC39" i="40"/>
  <c r="W39" i="40"/>
  <c r="B113" i="43"/>
  <c r="B115" i="43" s="1"/>
  <c r="K101" i="43"/>
  <c r="K103" i="43"/>
  <c r="F101" i="43"/>
  <c r="F104" i="43"/>
  <c r="N101" i="43"/>
  <c r="N102" i="43"/>
  <c r="G101" i="43"/>
  <c r="G105" i="43"/>
  <c r="C101" i="43"/>
  <c r="C104" i="43"/>
  <c r="J101" i="43"/>
  <c r="J104" i="43"/>
  <c r="N104" i="46"/>
  <c r="W12" i="33"/>
  <c r="AC12" i="33"/>
  <c r="AA32" i="36"/>
  <c r="AA39" i="34"/>
  <c r="U30" i="33"/>
  <c r="AC13" i="34"/>
  <c r="AA47" i="34"/>
  <c r="W28" i="37"/>
  <c r="S19" i="39"/>
  <c r="F12" i="33"/>
  <c r="H12" i="39"/>
  <c r="AB12" i="39" s="1"/>
  <c r="F39" i="40"/>
  <c r="AA39" i="40" s="1"/>
  <c r="S12" i="1"/>
  <c r="R12" i="1"/>
  <c r="B12" i="1"/>
  <c r="E12" i="1"/>
  <c r="S10" i="1"/>
  <c r="R10" i="1"/>
  <c r="B10" i="1"/>
  <c r="E10" i="1" s="1"/>
  <c r="D1" i="66"/>
  <c r="E10" i="66" s="1"/>
  <c r="K12" i="1"/>
  <c r="M12" i="1" s="1"/>
  <c r="O12" i="1"/>
  <c r="P12" i="1"/>
  <c r="S13" i="1"/>
  <c r="T13" i="1" s="1"/>
  <c r="R13" i="1"/>
  <c r="S11" i="1"/>
  <c r="R11" i="1"/>
  <c r="S9" i="1"/>
  <c r="R9" i="1"/>
  <c r="J51" i="67"/>
  <c r="H100" i="43"/>
  <c r="C30" i="66"/>
  <c r="E26" i="66"/>
  <c r="AA34" i="33"/>
  <c r="B41" i="1"/>
  <c r="F53" i="9" s="1"/>
  <c r="S22" i="31"/>
  <c r="J100" i="43"/>
  <c r="AB37" i="40"/>
  <c r="AC36" i="40"/>
  <c r="W38" i="40"/>
  <c r="AA32" i="40"/>
  <c r="S17" i="40"/>
  <c r="S23" i="40"/>
  <c r="AC17" i="40"/>
  <c r="AC15" i="40"/>
  <c r="AB27" i="40"/>
  <c r="AA19" i="40"/>
  <c r="AA27" i="40"/>
  <c r="U21" i="40"/>
  <c r="AB19" i="40"/>
  <c r="W42" i="39"/>
  <c r="U37" i="39"/>
  <c r="W39" i="39"/>
  <c r="S43" i="39"/>
  <c r="S37" i="39"/>
  <c r="U35" i="39"/>
  <c r="F32" i="39"/>
  <c r="F107" i="39"/>
  <c r="G107" i="39" s="1"/>
  <c r="H107" i="39" s="1"/>
  <c r="I107" i="39" s="1"/>
  <c r="U25" i="39"/>
  <c r="AB27" i="39"/>
  <c r="U31" i="39"/>
  <c r="S25" i="39"/>
  <c r="J21" i="39"/>
  <c r="AC21" i="39" s="1"/>
  <c r="F21" i="39"/>
  <c r="G95" i="39"/>
  <c r="H21" i="39"/>
  <c r="W19" i="39"/>
  <c r="U19" i="39"/>
  <c r="S17" i="39"/>
  <c r="AC15" i="39"/>
  <c r="S15" i="39"/>
  <c r="AB15" i="39"/>
  <c r="AA12" i="39"/>
  <c r="S9" i="39"/>
  <c r="U14" i="39"/>
  <c r="AC13" i="39"/>
  <c r="U12" i="39"/>
  <c r="S23" i="36"/>
  <c r="U13" i="36"/>
  <c r="AB27" i="36"/>
  <c r="U26" i="36"/>
  <c r="S33" i="36"/>
  <c r="S27"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S9" i="35" s="1"/>
  <c r="H9" i="35"/>
  <c r="F26" i="35"/>
  <c r="AA26" i="35" s="1"/>
  <c r="J26" i="35"/>
  <c r="W26" i="35" s="1"/>
  <c r="H26" i="35"/>
  <c r="AB40" i="37"/>
  <c r="S25" i="37"/>
  <c r="W27" i="37"/>
  <c r="S26" i="37"/>
  <c r="AC9" i="37"/>
  <c r="AC29" i="37"/>
  <c r="U29" i="37"/>
  <c r="S32" i="37"/>
  <c r="AB31" i="37"/>
  <c r="W30" i="37"/>
  <c r="S36" i="37"/>
  <c r="AA38" i="37"/>
  <c r="U32" i="37"/>
  <c r="W38" i="37"/>
  <c r="AC35" i="37"/>
  <c r="W39" i="37"/>
  <c r="S30" i="37"/>
  <c r="S37" i="37"/>
  <c r="AC15" i="37"/>
  <c r="J17" i="37"/>
  <c r="W17" i="37"/>
  <c r="F17" i="37"/>
  <c r="AA17" i="37" s="1"/>
  <c r="AB17" i="37"/>
  <c r="F75" i="37"/>
  <c r="F19" i="37"/>
  <c r="AA19" i="37" s="1"/>
  <c r="F79" i="37"/>
  <c r="F23" i="37"/>
  <c r="S23" i="37" s="1"/>
  <c r="U23" i="37"/>
  <c r="U15" i="37"/>
  <c r="AC13" i="37"/>
  <c r="U9" i="37"/>
  <c r="AA13" i="37"/>
  <c r="AA12" i="37"/>
  <c r="AA9" i="37"/>
  <c r="H10" i="37"/>
  <c r="H60" i="37"/>
  <c r="F63" i="37"/>
  <c r="F11" i="37"/>
  <c r="S11" i="37" s="1"/>
  <c r="S27" i="34"/>
  <c r="W25" i="34"/>
  <c r="AB8"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G70" i="34" s="1"/>
  <c r="W42" i="33"/>
  <c r="AA35" i="33"/>
  <c r="S27" i="33"/>
  <c r="S32" i="33"/>
  <c r="AA29" i="33"/>
  <c r="AB29" i="33"/>
  <c r="W38" i="33"/>
  <c r="H41" i="33"/>
  <c r="AB41" i="33" s="1"/>
  <c r="F121" i="33"/>
  <c r="G121" i="33"/>
  <c r="H121" i="33" s="1"/>
  <c r="I121" i="33" s="1"/>
  <c r="J121" i="33" s="1"/>
  <c r="K121" i="33" s="1"/>
  <c r="L121" i="33" s="1"/>
  <c r="M121" i="33" s="1"/>
  <c r="U42" i="33"/>
  <c r="S42" i="33"/>
  <c r="F36" i="33"/>
  <c r="G111" i="33"/>
  <c r="H111" i="33" s="1"/>
  <c r="G108" i="33"/>
  <c r="H108" i="33"/>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27" i="33"/>
  <c r="F87" i="33"/>
  <c r="G87" i="33" s="1"/>
  <c r="H25" i="33"/>
  <c r="F25" i="33"/>
  <c r="S25" i="33" s="1"/>
  <c r="J23" i="33"/>
  <c r="F85" i="33"/>
  <c r="H23" i="33"/>
  <c r="F81" i="33"/>
  <c r="G81" i="33" s="1"/>
  <c r="F19" i="33"/>
  <c r="S19" i="33"/>
  <c r="W19" i="33"/>
  <c r="J17" i="33"/>
  <c r="W17" i="33" s="1"/>
  <c r="F79" i="33"/>
  <c r="S15" i="33"/>
  <c r="W15" i="33"/>
  <c r="I66" i="33"/>
  <c r="J10" i="33"/>
  <c r="AC10" i="33" s="1"/>
  <c r="H10" i="33"/>
  <c r="AA10" i="33"/>
  <c r="AC11" i="33"/>
  <c r="AB14" i="33"/>
  <c r="W43" i="21"/>
  <c r="W36" i="21"/>
  <c r="W41" i="21"/>
  <c r="AB39" i="21"/>
  <c r="AA43" i="21"/>
  <c r="S39" i="21"/>
  <c r="AA38" i="21"/>
  <c r="AA36" i="21"/>
  <c r="AC40" i="21"/>
  <c r="J15" i="21"/>
  <c r="W15" i="21" s="1"/>
  <c r="F23" i="21"/>
  <c r="E85" i="21"/>
  <c r="F85" i="21" s="1"/>
  <c r="AC11" i="21"/>
  <c r="AA14" i="21"/>
  <c r="AB8" i="21"/>
  <c r="S8" i="21"/>
  <c r="M3" i="43"/>
  <c r="N10" i="43"/>
  <c r="M1" i="43"/>
  <c r="M8" i="43"/>
  <c r="N8" i="43"/>
  <c r="N9" i="43"/>
  <c r="D120" i="9"/>
  <c r="C18" i="9"/>
  <c r="D18" i="9" s="1"/>
  <c r="F34" i="67"/>
  <c r="F62" i="67" s="1"/>
  <c r="M20" i="67"/>
  <c r="F34" i="15"/>
  <c r="F62" i="15"/>
  <c r="G13" i="3"/>
  <c r="E10" i="6"/>
  <c r="G30" i="6"/>
  <c r="J56" i="9"/>
  <c r="J57" i="9" s="1"/>
  <c r="A24" i="51"/>
  <c r="B18" i="72" s="1"/>
  <c r="U29" i="34"/>
  <c r="C106" i="43"/>
  <c r="E14" i="6"/>
  <c r="E64" i="39" s="1"/>
  <c r="E5" i="6"/>
  <c r="J105" i="43"/>
  <c r="I115" i="43"/>
  <c r="J115" i="43" s="1"/>
  <c r="K115" i="43"/>
  <c r="L115" i="43" s="1"/>
  <c r="M115" i="43" s="1"/>
  <c r="G102" i="43"/>
  <c r="P10" i="1"/>
  <c r="L101" i="43"/>
  <c r="L109" i="43"/>
  <c r="H101" i="43"/>
  <c r="D101" i="43"/>
  <c r="M101" i="43"/>
  <c r="I101" i="43"/>
  <c r="E101" i="43"/>
  <c r="E32" i="6"/>
  <c r="L19" i="6"/>
  <c r="G1" i="68"/>
  <c r="K1" i="12"/>
  <c r="N103" i="43"/>
  <c r="N105" i="43"/>
  <c r="N106" i="43"/>
  <c r="J107" i="43"/>
  <c r="J103" i="43"/>
  <c r="J102" i="43"/>
  <c r="F107" i="43"/>
  <c r="F106" i="43"/>
  <c r="C105" i="43"/>
  <c r="K107" i="43"/>
  <c r="K102" i="43"/>
  <c r="K104" i="43"/>
  <c r="G107" i="43"/>
  <c r="G103" i="43"/>
  <c r="G104" i="43"/>
  <c r="D118" i="43"/>
  <c r="E118" i="43" s="1"/>
  <c r="F118" i="43"/>
  <c r="E57" i="40"/>
  <c r="G106" i="43"/>
  <c r="K106" i="43"/>
  <c r="K105" i="43"/>
  <c r="C102" i="43"/>
  <c r="F105" i="43"/>
  <c r="J106" i="43"/>
  <c r="N104" i="43"/>
  <c r="N107" i="43"/>
  <c r="E56" i="40"/>
  <c r="T12" i="1"/>
  <c r="T10" i="1"/>
  <c r="E19" i="69"/>
  <c r="E19" i="68"/>
  <c r="E19" i="11"/>
  <c r="E1" i="73"/>
  <c r="K1" i="73"/>
  <c r="G41" i="69"/>
  <c r="G22" i="69"/>
  <c r="G41" i="68"/>
  <c r="G22" i="68"/>
  <c r="G27" i="12"/>
  <c r="G26" i="12"/>
  <c r="G41" i="11"/>
  <c r="G22" i="11"/>
  <c r="G25" i="12"/>
  <c r="J109" i="43"/>
  <c r="C100" i="43"/>
  <c r="K109" i="43"/>
  <c r="E11" i="43"/>
  <c r="E10" i="43"/>
  <c r="E9" i="43"/>
  <c r="E8" i="43"/>
  <c r="C7" i="43"/>
  <c r="E81" i="43"/>
  <c r="B79" i="43" s="1"/>
  <c r="C24" i="43" s="1"/>
  <c r="F109" i="43"/>
  <c r="AJ11" i="43"/>
  <c r="AJ13" i="43" s="1"/>
  <c r="AH11" i="43"/>
  <c r="AH13" i="43" s="1"/>
  <c r="AF11" i="43"/>
  <c r="AF13" i="43" s="1"/>
  <c r="AD11" i="43"/>
  <c r="AD13" i="43" s="1"/>
  <c r="AB11" i="43"/>
  <c r="AB13" i="43" s="1"/>
  <c r="Z11" i="43"/>
  <c r="Z13" i="43" s="1"/>
  <c r="Z7" i="43"/>
  <c r="AI11" i="43"/>
  <c r="AI13" i="43"/>
  <c r="AG11" i="43"/>
  <c r="AG13" i="43"/>
  <c r="AE11" i="43"/>
  <c r="AE13" i="43"/>
  <c r="AC11" i="43"/>
  <c r="AC13" i="43"/>
  <c r="AA11" i="43"/>
  <c r="AA13" i="43"/>
  <c r="Y11" i="43"/>
  <c r="Y13" i="43"/>
  <c r="E48" i="43"/>
  <c r="B46" i="43"/>
  <c r="E70" i="43"/>
  <c r="B68" i="43"/>
  <c r="G109" i="43"/>
  <c r="N109" i="43"/>
  <c r="F100" i="43"/>
  <c r="D9" i="53"/>
  <c r="B25" i="72" s="1"/>
  <c r="B24" i="72"/>
  <c r="H85" i="43"/>
  <c r="H81" i="43"/>
  <c r="H84" i="43"/>
  <c r="H88" i="43"/>
  <c r="H53" i="43"/>
  <c r="H54" i="43"/>
  <c r="H78" i="43"/>
  <c r="H70" i="43"/>
  <c r="H71" i="43"/>
  <c r="C17" i="43"/>
  <c r="F33" i="43"/>
  <c r="F34" i="43"/>
  <c r="M7" i="43"/>
  <c r="C6" i="43" s="1"/>
  <c r="N6" i="43"/>
  <c r="M2" i="43"/>
  <c r="M10" i="43"/>
  <c r="N3" i="43"/>
  <c r="N11" i="43"/>
  <c r="F38" i="43"/>
  <c r="F37" i="43"/>
  <c r="M9" i="43"/>
  <c r="N12" i="43"/>
  <c r="N5" i="43"/>
  <c r="M5" i="43"/>
  <c r="M12" i="43"/>
  <c r="M4" i="43"/>
  <c r="B19" i="53"/>
  <c r="B37" i="72" s="1"/>
  <c r="C7" i="39"/>
  <c r="C68" i="39" s="1"/>
  <c r="D68" i="39" s="1"/>
  <c r="C70" i="39"/>
  <c r="C7" i="35"/>
  <c r="C7" i="33"/>
  <c r="C58" i="33" s="1"/>
  <c r="D58" i="33" s="1"/>
  <c r="E58" i="33" s="1"/>
  <c r="F58" i="33" s="1"/>
  <c r="C7" i="21"/>
  <c r="C58" i="21" s="1"/>
  <c r="C7" i="40"/>
  <c r="C63" i="40"/>
  <c r="C65" i="40" s="1"/>
  <c r="M47" i="9"/>
  <c r="T35" i="4"/>
  <c r="A19" i="51"/>
  <c r="B14" i="72" s="1"/>
  <c r="C46" i="36"/>
  <c r="C59" i="34"/>
  <c r="D59" i="34"/>
  <c r="E59" i="34" s="1"/>
  <c r="C52" i="37"/>
  <c r="D52" i="37"/>
  <c r="A4" i="51"/>
  <c r="B6" i="72"/>
  <c r="C48" i="35"/>
  <c r="D48" i="35"/>
  <c r="D58" i="21"/>
  <c r="C94" i="9"/>
  <c r="C4" i="12"/>
  <c r="C92" i="9"/>
  <c r="H66" i="43"/>
  <c r="H65" i="43"/>
  <c r="H64" i="43"/>
  <c r="H63" i="43"/>
  <c r="H55" i="43"/>
  <c r="H51" i="43"/>
  <c r="H56" i="43"/>
  <c r="H76" i="43"/>
  <c r="H72" i="43"/>
  <c r="H77" i="43"/>
  <c r="L20" i="6"/>
  <c r="E56" i="39"/>
  <c r="E51" i="40"/>
  <c r="B6" i="1"/>
  <c r="E6" i="1" s="1"/>
  <c r="S8" i="1"/>
  <c r="T8" i="1" s="1"/>
  <c r="K11" i="1"/>
  <c r="M11" i="1"/>
  <c r="O11" i="1"/>
  <c r="P11" i="1"/>
  <c r="AP6" i="1"/>
  <c r="B9" i="1"/>
  <c r="E9" i="1" s="1"/>
  <c r="K7" i="1"/>
  <c r="M7" i="1" s="1"/>
  <c r="G1" i="15"/>
  <c r="G1" i="69"/>
  <c r="G1" i="67"/>
  <c r="W23" i="40"/>
  <c r="U32" i="40"/>
  <c r="AB31" i="40"/>
  <c r="S37" i="40"/>
  <c r="W19" i="40"/>
  <c r="W27" i="40"/>
  <c r="S36" i="40"/>
  <c r="W37" i="40"/>
  <c r="AC14" i="40"/>
  <c r="S13" i="40"/>
  <c r="S33" i="40"/>
  <c r="AA15" i="40"/>
  <c r="U1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J101" i="21"/>
  <c r="K101" i="21" s="1"/>
  <c r="L101" i="21" s="1"/>
  <c r="M101" i="21" s="1"/>
  <c r="F33" i="21"/>
  <c r="J33" i="21"/>
  <c r="H33" i="21"/>
  <c r="AB33" i="21" s="1"/>
  <c r="F37" i="21"/>
  <c r="AA26" i="21"/>
  <c r="AB14" i="21"/>
  <c r="AB46" i="21"/>
  <c r="U40" i="21"/>
  <c r="AB31" i="21"/>
  <c r="U13" i="21"/>
  <c r="AB13" i="21"/>
  <c r="W8" i="21"/>
  <c r="S35" i="21"/>
  <c r="AB37" i="21"/>
  <c r="J37" i="21"/>
  <c r="H15" i="21"/>
  <c r="J17" i="21"/>
  <c r="AC19" i="21"/>
  <c r="W39" i="21"/>
  <c r="AC14" i="21"/>
  <c r="W30" i="21"/>
  <c r="S46" i="21"/>
  <c r="H45" i="21"/>
  <c r="U45" i="21"/>
  <c r="F29" i="21"/>
  <c r="S29" i="21"/>
  <c r="F13" i="21"/>
  <c r="AA13" i="21"/>
  <c r="AC38" i="21"/>
  <c r="H32" i="21"/>
  <c r="AB32" i="21" s="1"/>
  <c r="H9" i="21"/>
  <c r="J9" i="2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C109" i="43"/>
  <c r="F103" i="43"/>
  <c r="B118" i="43"/>
  <c r="C118" i="43" s="1"/>
  <c r="G118" i="43"/>
  <c r="H118" i="43" s="1"/>
  <c r="D116" i="43"/>
  <c r="E116" i="43" s="1"/>
  <c r="F116" i="43"/>
  <c r="G116" i="43" s="1"/>
  <c r="H116" i="43" s="1"/>
  <c r="C103" i="43"/>
  <c r="C107" i="43"/>
  <c r="F102" i="43"/>
  <c r="H67" i="43"/>
  <c r="H59" i="43"/>
  <c r="H60" i="43"/>
  <c r="H61" i="43"/>
  <c r="AA31" i="39"/>
  <c r="S31" i="39"/>
  <c r="U25" i="37"/>
  <c r="AB25" i="37"/>
  <c r="AA40" i="40"/>
  <c r="S40" i="40"/>
  <c r="AB38" i="40"/>
  <c r="U38" i="40"/>
  <c r="AB39" i="37"/>
  <c r="U39" i="37"/>
  <c r="AC32" i="36"/>
  <c r="W32" i="36"/>
  <c r="AC25" i="37"/>
  <c r="W25" i="37"/>
  <c r="U12" i="33"/>
  <c r="AB12" i="33"/>
  <c r="W40" i="40"/>
  <c r="AC40" i="40"/>
  <c r="AA38" i="40"/>
  <c r="S38" i="40"/>
  <c r="W33" i="40"/>
  <c r="AC33" i="40"/>
  <c r="AC31" i="40"/>
  <c r="W31" i="40"/>
  <c r="S39" i="37"/>
  <c r="AA39" i="37"/>
  <c r="U27" i="37"/>
  <c r="AB27" i="37"/>
  <c r="J53" i="67"/>
  <c r="O6" i="1"/>
  <c r="P6" i="1"/>
  <c r="F30" i="11"/>
  <c r="F28" i="67"/>
  <c r="C28" i="67" s="1"/>
  <c r="F31" i="12"/>
  <c r="F32" i="67"/>
  <c r="F60" i="67" s="1"/>
  <c r="F30" i="69"/>
  <c r="F32" i="15"/>
  <c r="F60" i="15" s="1"/>
  <c r="M18" i="15"/>
  <c r="E63" i="39"/>
  <c r="T11" i="1"/>
  <c r="D9" i="69"/>
  <c r="C9" i="69" s="1"/>
  <c r="E59" i="40"/>
  <c r="D70" i="39"/>
  <c r="T9" i="1"/>
  <c r="C77" i="9"/>
  <c r="C74" i="9" s="1"/>
  <c r="S7" i="1"/>
  <c r="T7" i="1" s="1"/>
  <c r="E7" i="70"/>
  <c r="C24" i="12"/>
  <c r="S39" i="40"/>
  <c r="S12" i="33"/>
  <c r="AA12" i="33"/>
  <c r="F54" i="9"/>
  <c r="J32" i="39"/>
  <c r="J107" i="39"/>
  <c r="K107" i="39" s="1"/>
  <c r="L107" i="39" s="1"/>
  <c r="M107" i="39" s="1"/>
  <c r="H32" i="39"/>
  <c r="U32" i="39" s="1"/>
  <c r="AA32" i="39"/>
  <c r="S32" i="39"/>
  <c r="AB21" i="39"/>
  <c r="U21" i="39"/>
  <c r="AA21" i="39"/>
  <c r="S21" i="39"/>
  <c r="W21" i="39"/>
  <c r="U9" i="35"/>
  <c r="AB9" i="35"/>
  <c r="AA9" i="35"/>
  <c r="AC26" i="35"/>
  <c r="AB26" i="35"/>
  <c r="U26" i="35"/>
  <c r="AC17" i="37"/>
  <c r="J19" i="37"/>
  <c r="W19" i="37" s="1"/>
  <c r="G75" i="37"/>
  <c r="S19" i="37"/>
  <c r="AA23" i="37"/>
  <c r="J23" i="37"/>
  <c r="G79" i="37"/>
  <c r="J10" i="37"/>
  <c r="I60" i="37"/>
  <c r="G63" i="37"/>
  <c r="H11" i="37"/>
  <c r="AB11" i="37" s="1"/>
  <c r="AB10" i="37"/>
  <c r="U10" i="37"/>
  <c r="H11" i="34"/>
  <c r="AB11" i="34" s="1"/>
  <c r="AB10" i="34"/>
  <c r="U10" i="34"/>
  <c r="J10" i="34"/>
  <c r="I67" i="34"/>
  <c r="U41" i="33"/>
  <c r="AC35" i="33"/>
  <c r="I111" i="33"/>
  <c r="J111" i="33" s="1"/>
  <c r="K111" i="33" s="1"/>
  <c r="L111" i="33" s="1"/>
  <c r="M111" i="33" s="1"/>
  <c r="J36" i="33"/>
  <c r="H36" i="33"/>
  <c r="S36" i="33"/>
  <c r="AA36" i="33"/>
  <c r="U27" i="33"/>
  <c r="AB27" i="33"/>
  <c r="H91" i="33"/>
  <c r="I91" i="33" s="1"/>
  <c r="J91" i="33" s="1"/>
  <c r="K91" i="33" s="1"/>
  <c r="L91" i="33" s="1"/>
  <c r="M91" i="33" s="1"/>
  <c r="J27" i="33"/>
  <c r="W27" i="33" s="1"/>
  <c r="U25" i="33"/>
  <c r="AB25" i="33"/>
  <c r="AA25" i="33"/>
  <c r="H87" i="33"/>
  <c r="I87" i="33" s="1"/>
  <c r="J87" i="33"/>
  <c r="K87" i="33" s="1"/>
  <c r="L87" i="33" s="1"/>
  <c r="M87" i="33" s="1"/>
  <c r="J25" i="33"/>
  <c r="AB23" i="33"/>
  <c r="U23" i="33"/>
  <c r="F23" i="33"/>
  <c r="G85" i="33"/>
  <c r="AC23" i="33"/>
  <c r="W23" i="33"/>
  <c r="AA19" i="33"/>
  <c r="H19" i="33"/>
  <c r="AB19" i="33" s="1"/>
  <c r="G79" i="33"/>
  <c r="H17" i="33"/>
  <c r="F17" i="33"/>
  <c r="AA17" i="33" s="1"/>
  <c r="AC17" i="33"/>
  <c r="U10" i="33"/>
  <c r="AB10" i="33"/>
  <c r="U33" i="21"/>
  <c r="J23" i="21"/>
  <c r="AC23" i="21" s="1"/>
  <c r="G85" i="21"/>
  <c r="H23" i="21"/>
  <c r="S13" i="21"/>
  <c r="D6" i="52"/>
  <c r="D121" i="9"/>
  <c r="D7" i="52" s="1"/>
  <c r="K120" i="9"/>
  <c r="A18" i="62" s="1"/>
  <c r="B64" i="72" s="1"/>
  <c r="J22" i="43"/>
  <c r="O14" i="1"/>
  <c r="P14" i="1"/>
  <c r="J59" i="9"/>
  <c r="J61" i="9" s="1"/>
  <c r="E106" i="43"/>
  <c r="M102" i="43"/>
  <c r="M103" i="43"/>
  <c r="H102" i="43"/>
  <c r="H107" i="43"/>
  <c r="H103" i="43"/>
  <c r="H106" i="43"/>
  <c r="H104" i="43"/>
  <c r="H105" i="43"/>
  <c r="H109" i="43"/>
  <c r="I104" i="43"/>
  <c r="I107" i="43"/>
  <c r="I105" i="43"/>
  <c r="D105" i="43"/>
  <c r="D106" i="43"/>
  <c r="D102" i="43"/>
  <c r="L102" i="43"/>
  <c r="L106" i="43"/>
  <c r="L105" i="43"/>
  <c r="L107" i="43"/>
  <c r="L104" i="43"/>
  <c r="L103" i="43"/>
  <c r="R22" i="31"/>
  <c r="B21" i="31" s="1"/>
  <c r="O19" i="43"/>
  <c r="E58" i="21"/>
  <c r="F58" i="21" s="1"/>
  <c r="E48" i="35"/>
  <c r="F48" i="35" s="1"/>
  <c r="G48" i="35"/>
  <c r="H48" i="35" s="1"/>
  <c r="I48" i="35" s="1"/>
  <c r="J48" i="35" s="1"/>
  <c r="K48" i="35" s="1"/>
  <c r="F59" i="34"/>
  <c r="D63" i="40"/>
  <c r="E63" i="40" s="1"/>
  <c r="AP7" i="1"/>
  <c r="C36" i="69" s="1"/>
  <c r="O7" i="1"/>
  <c r="AB45" i="21"/>
  <c r="AC33" i="21"/>
  <c r="W33" i="21"/>
  <c r="W32" i="21"/>
  <c r="AC32" i="21"/>
  <c r="AB9" i="21"/>
  <c r="U9" i="21"/>
  <c r="U32" i="21"/>
  <c r="AA10" i="21"/>
  <c r="S10" i="21"/>
  <c r="M17" i="67"/>
  <c r="M17" i="15"/>
  <c r="F31" i="15"/>
  <c r="F59" i="67"/>
  <c r="F31" i="67"/>
  <c r="F59" i="15"/>
  <c r="C23" i="43"/>
  <c r="S3" i="43"/>
  <c r="S5" i="43"/>
  <c r="S7" i="43"/>
  <c r="S4" i="43"/>
  <c r="S6" i="43"/>
  <c r="S2" i="43"/>
  <c r="AC32" i="39"/>
  <c r="W32" i="39"/>
  <c r="AC19" i="37"/>
  <c r="W23" i="37"/>
  <c r="AC23" i="37"/>
  <c r="H63" i="37"/>
  <c r="I63" i="37"/>
  <c r="J63" i="37" s="1"/>
  <c r="K63" i="37" s="1"/>
  <c r="L63" i="37" s="1"/>
  <c r="M63" i="37"/>
  <c r="J11" i="37"/>
  <c r="W10" i="37"/>
  <c r="AC10" i="37"/>
  <c r="U11" i="34"/>
  <c r="AC10" i="34"/>
  <c r="W10" i="34"/>
  <c r="H70" i="34"/>
  <c r="I70" i="34" s="1"/>
  <c r="J70" i="34"/>
  <c r="K70" i="34" s="1"/>
  <c r="L70" i="34" s="1"/>
  <c r="M70" i="34" s="1"/>
  <c r="J11" i="34"/>
  <c r="AC36" i="33"/>
  <c r="W36" i="33"/>
  <c r="AC27" i="33"/>
  <c r="AA23" i="33"/>
  <c r="S23" i="33"/>
  <c r="S17" i="33"/>
  <c r="U17" i="33"/>
  <c r="AB17" i="33"/>
  <c r="U23" i="21"/>
  <c r="AB23" i="21"/>
  <c r="M18" i="9"/>
  <c r="B118" i="9"/>
  <c r="B14" i="74" s="1"/>
  <c r="B1" i="74" s="1"/>
  <c r="P7" i="1"/>
  <c r="G59" i="34"/>
  <c r="H59" i="34"/>
  <c r="I59" i="34" s="1"/>
  <c r="G58" i="21"/>
  <c r="H58" i="21" s="1"/>
  <c r="D65" i="40"/>
  <c r="G39" i="43"/>
  <c r="I39" i="43" s="1"/>
  <c r="E68" i="39"/>
  <c r="F68" i="39" s="1"/>
  <c r="F1" i="67"/>
  <c r="Q52" i="67"/>
  <c r="AC11" i="37"/>
  <c r="W11" i="37"/>
  <c r="W11" i="34"/>
  <c r="AC11" i="34"/>
  <c r="C13" i="12"/>
  <c r="F34" i="11"/>
  <c r="F11" i="12"/>
  <c r="E70" i="39"/>
  <c r="R7" i="1"/>
  <c r="R8" i="1"/>
  <c r="C19" i="68"/>
  <c r="AE7" i="1"/>
  <c r="AE8" i="1"/>
  <c r="H112" i="9"/>
  <c r="D21" i="53" s="1"/>
  <c r="B39" i="72" s="1"/>
  <c r="H111" i="9"/>
  <c r="D126" i="9"/>
  <c r="I14" i="74" s="1"/>
  <c r="B8" i="74" s="1"/>
  <c r="D59" i="9"/>
  <c r="M55" i="9"/>
  <c r="D19" i="53"/>
  <c r="B38" i="72"/>
  <c r="D20" i="53"/>
  <c r="B40" i="72"/>
  <c r="H107" i="9"/>
  <c r="D122" i="9"/>
  <c r="D13" i="53"/>
  <c r="D14" i="53" s="1"/>
  <c r="B32" i="72" s="1"/>
  <c r="G14" i="74"/>
  <c r="B6" i="74" s="1"/>
  <c r="D123" i="9"/>
  <c r="D9" i="52" s="1"/>
  <c r="D8" i="52"/>
  <c r="AD3" i="71"/>
  <c r="P21" i="43"/>
  <c r="P22" i="43"/>
  <c r="P23" i="43"/>
  <c r="B71" i="39" s="1"/>
  <c r="P24" i="43"/>
  <c r="B66" i="40" s="1"/>
  <c r="P25" i="43"/>
  <c r="B10" i="76"/>
  <c r="B11" i="76"/>
  <c r="B13" i="76"/>
  <c r="AO13" i="1"/>
  <c r="F7" i="67"/>
  <c r="L47" i="67"/>
  <c r="M29" i="15"/>
  <c r="M21" i="67"/>
  <c r="D2" i="36"/>
  <c r="E9" i="76"/>
  <c r="E12" i="76"/>
  <c r="E8" i="76"/>
  <c r="AO10" i="1"/>
  <c r="AO11" i="1"/>
  <c r="C76" i="67"/>
  <c r="F9" i="67"/>
  <c r="F26" i="67"/>
  <c r="C76" i="15"/>
  <c r="J15" i="67"/>
  <c r="M23" i="67"/>
  <c r="E2" i="69"/>
  <c r="M26" i="67"/>
  <c r="AO8" i="1"/>
  <c r="M27" i="67"/>
  <c r="F40" i="67"/>
  <c r="M8" i="67"/>
  <c r="F38" i="67"/>
  <c r="F13" i="67"/>
  <c r="F42" i="67"/>
  <c r="F20" i="31"/>
  <c r="AO7" i="1"/>
  <c r="M28" i="67"/>
  <c r="D2" i="37"/>
  <c r="B12" i="76"/>
  <c r="E7" i="76"/>
  <c r="B7" i="76"/>
  <c r="E11" i="76"/>
  <c r="AO9" i="1"/>
  <c r="F37" i="67"/>
  <c r="L47" i="15"/>
  <c r="M6" i="67"/>
  <c r="D2" i="34"/>
  <c r="E13" i="76"/>
  <c r="B9" i="76"/>
  <c r="B8" i="76"/>
  <c r="E10" i="76"/>
  <c r="AO12" i="1"/>
  <c r="L48" i="67"/>
  <c r="M22" i="67"/>
  <c r="F6" i="67"/>
  <c r="M29" i="67"/>
  <c r="F16" i="67"/>
  <c r="F8" i="67"/>
  <c r="F35" i="67"/>
  <c r="D2" i="35"/>
  <c r="M9" i="67"/>
  <c r="D2" i="33"/>
  <c r="D2" i="21"/>
  <c r="F43" i="67"/>
  <c r="M24" i="67"/>
  <c r="F36" i="67"/>
  <c r="F41" i="67"/>
  <c r="P16" i="1" l="1"/>
  <c r="C11" i="12" s="1"/>
  <c r="O16" i="1"/>
  <c r="C23" i="12"/>
  <c r="B10" i="49"/>
  <c r="E5" i="49"/>
  <c r="B9" i="49"/>
  <c r="E4" i="49"/>
  <c r="E8" i="49"/>
  <c r="E7" i="49"/>
  <c r="B4" i="49"/>
  <c r="E10" i="49"/>
  <c r="E16" i="49"/>
  <c r="E6" i="49"/>
  <c r="B16" i="49"/>
  <c r="E11" i="49"/>
  <c r="B8" i="49"/>
  <c r="C4" i="4" s="1"/>
  <c r="B6" i="49"/>
  <c r="E9" i="49"/>
  <c r="E21" i="49"/>
  <c r="B11" i="49"/>
  <c r="E4" i="4" s="1"/>
  <c r="B5" i="62" s="1"/>
  <c r="B73" i="72" s="1"/>
  <c r="B13" i="49"/>
  <c r="B5" i="49"/>
  <c r="E22" i="49"/>
  <c r="B14" i="49"/>
  <c r="B7" i="49"/>
  <c r="B22" i="49"/>
  <c r="B7" i="70"/>
  <c r="B8" i="70"/>
  <c r="J20" i="67"/>
  <c r="B20" i="31"/>
  <c r="F69" i="67"/>
  <c r="F63" i="67"/>
  <c r="C62" i="67" s="1"/>
  <c r="C34" i="67"/>
  <c r="F70" i="67"/>
  <c r="F51" i="67"/>
  <c r="L58" i="67"/>
  <c r="L59" i="67"/>
  <c r="M59" i="67"/>
  <c r="N59" i="67"/>
  <c r="F64" i="67"/>
  <c r="Q71" i="15"/>
  <c r="F65" i="67"/>
  <c r="C27" i="67"/>
  <c r="F66" i="67"/>
  <c r="C6" i="67"/>
  <c r="F71" i="67"/>
  <c r="Q71" i="67"/>
  <c r="M7" i="67"/>
  <c r="J6" i="67" s="1"/>
  <c r="F50" i="67"/>
  <c r="I54" i="67"/>
  <c r="J57" i="67"/>
  <c r="J55" i="67" s="1"/>
  <c r="J58" i="67" s="1"/>
  <c r="Q50" i="67" s="1"/>
  <c r="L56" i="67"/>
  <c r="F68" i="67"/>
  <c r="B11" i="70"/>
  <c r="B9" i="70"/>
  <c r="B12" i="70"/>
  <c r="B13" i="70"/>
  <c r="B10" i="70"/>
  <c r="C12" i="12"/>
  <c r="C15" i="12"/>
  <c r="G68" i="39"/>
  <c r="F70" i="39"/>
  <c r="G58" i="33"/>
  <c r="H58" i="33" s="1"/>
  <c r="I58" i="33" s="1"/>
  <c r="J58" i="33" s="1"/>
  <c r="K58" i="33" s="1"/>
  <c r="L58" i="33" s="1"/>
  <c r="M58" i="33" s="1"/>
  <c r="N58" i="33" s="1"/>
  <c r="O58" i="33" s="1"/>
  <c r="H7" i="33"/>
  <c r="J59" i="34"/>
  <c r="K59" i="34" s="1"/>
  <c r="L59" i="34" s="1"/>
  <c r="M59" i="34" s="1"/>
  <c r="N59" i="34" s="1"/>
  <c r="O59" i="34" s="1"/>
  <c r="H7" i="34"/>
  <c r="C6" i="74"/>
  <c r="C8" i="74"/>
  <c r="I58" i="21"/>
  <c r="J58" i="21" s="1"/>
  <c r="K58" i="21" s="1"/>
  <c r="L58" i="21" s="1"/>
  <c r="M58" i="21" s="1"/>
  <c r="N58" i="21" s="1"/>
  <c r="O58" i="21" s="1"/>
  <c r="F63" i="40"/>
  <c r="E65" i="40"/>
  <c r="L48" i="35"/>
  <c r="M48" i="35" s="1"/>
  <c r="N48" i="35" s="1"/>
  <c r="O48" i="35" s="1"/>
  <c r="F7" i="35"/>
  <c r="B30" i="72"/>
  <c r="D12" i="52"/>
  <c r="D127" i="9"/>
  <c r="D13" i="52" s="1"/>
  <c r="C36" i="11"/>
  <c r="H7" i="21"/>
  <c r="F7" i="34"/>
  <c r="J7" i="21"/>
  <c r="J7" i="34"/>
  <c r="J7" i="35"/>
  <c r="W23" i="21"/>
  <c r="U19" i="33"/>
  <c r="U11" i="37"/>
  <c r="AB32" i="39"/>
  <c r="S32" i="21"/>
  <c r="U36" i="33"/>
  <c r="AB36" i="33"/>
  <c r="S33" i="21"/>
  <c r="AA33" i="21"/>
  <c r="D46" i="36"/>
  <c r="L27" i="6"/>
  <c r="E104" i="43"/>
  <c r="E107" i="43"/>
  <c r="E105" i="43"/>
  <c r="E109" i="43"/>
  <c r="E102" i="43"/>
  <c r="E103" i="43"/>
  <c r="M109" i="43"/>
  <c r="M104" i="43"/>
  <c r="M107" i="43"/>
  <c r="M105" i="43"/>
  <c r="M106" i="43"/>
  <c r="D9" i="11"/>
  <c r="C9" i="11" s="1"/>
  <c r="D19" i="12"/>
  <c r="C19" i="12" s="1"/>
  <c r="W25" i="33"/>
  <c r="AC25" i="33"/>
  <c r="C48" i="11"/>
  <c r="C30" i="11"/>
  <c r="W9" i="21"/>
  <c r="AC9" i="21"/>
  <c r="U15" i="21"/>
  <c r="AB15" i="21"/>
  <c r="C31" i="12"/>
  <c r="S23" i="21"/>
  <c r="AA23" i="21"/>
  <c r="H98" i="40"/>
  <c r="I98" i="40" s="1"/>
  <c r="J98" i="40" s="1"/>
  <c r="K98" i="40" s="1"/>
  <c r="L98" i="40" s="1"/>
  <c r="M98" i="40" s="1"/>
  <c r="F28" i="40"/>
  <c r="H28" i="40"/>
  <c r="J28" i="40"/>
  <c r="H111" i="40"/>
  <c r="I111" i="40" s="1"/>
  <c r="J111" i="40" s="1"/>
  <c r="K111" i="40" s="1"/>
  <c r="L111" i="40" s="1"/>
  <c r="M111" i="40" s="1"/>
  <c r="J35" i="40"/>
  <c r="H35" i="40"/>
  <c r="F35" i="40"/>
  <c r="E587" i="3"/>
  <c r="S12" i="21"/>
  <c r="AA12" i="21"/>
  <c r="W10" i="33"/>
  <c r="W32" i="33"/>
  <c r="E16" i="6"/>
  <c r="C48" i="69"/>
  <c r="C30" i="69"/>
  <c r="M6" i="1"/>
  <c r="AC17" i="21"/>
  <c r="W17" i="21"/>
  <c r="W37" i="21"/>
  <c r="AC37" i="21"/>
  <c r="AC15" i="21"/>
  <c r="AA37" i="21"/>
  <c r="S37" i="21"/>
  <c r="E52" i="37"/>
  <c r="I109" i="43"/>
  <c r="I102" i="43"/>
  <c r="I106" i="43"/>
  <c r="I103" i="43"/>
  <c r="D109" i="43"/>
  <c r="D103" i="43"/>
  <c r="D104" i="43"/>
  <c r="D107" i="43"/>
  <c r="C115" i="43"/>
  <c r="D113" i="43" s="1"/>
  <c r="E60" i="40"/>
  <c r="E65" i="39"/>
  <c r="E66" i="39" s="1"/>
  <c r="F30" i="6"/>
  <c r="F31" i="6" s="1"/>
  <c r="E28" i="6"/>
  <c r="S17" i="37"/>
  <c r="S26" i="35"/>
  <c r="D68" i="9"/>
  <c r="F28" i="15"/>
  <c r="C28" i="15" s="1"/>
  <c r="M18" i="67"/>
  <c r="F52" i="9"/>
  <c r="F30" i="68"/>
  <c r="I116" i="43"/>
  <c r="J116" i="43" s="1"/>
  <c r="K116" i="43" s="1"/>
  <c r="L116" i="43" s="1"/>
  <c r="M116" i="43" s="1"/>
  <c r="AA11" i="34"/>
  <c r="S31" i="40"/>
  <c r="D115" i="43"/>
  <c r="E115" i="43" s="1"/>
  <c r="F115" i="43" s="1"/>
  <c r="G115" i="43" s="1"/>
  <c r="H115" i="43" s="1"/>
  <c r="B117" i="43"/>
  <c r="C117" i="43" s="1"/>
  <c r="I117" i="43"/>
  <c r="J117" i="43" s="1"/>
  <c r="K117" i="43" s="1"/>
  <c r="L117" i="43" s="1"/>
  <c r="M117" i="43" s="1"/>
  <c r="B116" i="43"/>
  <c r="C116" i="43" s="1"/>
  <c r="I118" i="43"/>
  <c r="J118" i="43" s="1"/>
  <c r="K118" i="43" s="1"/>
  <c r="L118" i="43" s="1"/>
  <c r="M118" i="43" s="1"/>
  <c r="G5" i="3"/>
  <c r="B3" i="3" s="1"/>
  <c r="S43" i="34"/>
  <c r="AA33" i="34"/>
  <c r="AB20" i="36"/>
  <c r="AC27" i="36"/>
  <c r="S30" i="40"/>
  <c r="D117" i="43"/>
  <c r="E117" i="43" s="1"/>
  <c r="F117" i="43" s="1"/>
  <c r="G117" i="43" s="1"/>
  <c r="H117" i="43" s="1"/>
  <c r="AC34" i="33"/>
  <c r="AC5" i="3"/>
  <c r="H87" i="43"/>
  <c r="W14" i="39"/>
  <c r="W16" i="35"/>
  <c r="W44" i="33"/>
  <c r="AC31" i="33"/>
  <c r="AC28" i="34"/>
  <c r="S45" i="33"/>
  <c r="AA44" i="33"/>
  <c r="S28" i="34"/>
  <c r="AB17" i="34"/>
  <c r="AC34" i="36"/>
  <c r="S26" i="33"/>
  <c r="S9" i="34"/>
  <c r="S8" i="36"/>
  <c r="S34" i="21"/>
  <c r="U9" i="40"/>
  <c r="W8" i="40"/>
  <c r="U34" i="34"/>
  <c r="W8" i="36"/>
  <c r="J36" i="39"/>
  <c r="F36" i="39"/>
  <c r="H12" i="21"/>
  <c r="J12" i="21"/>
  <c r="G27" i="6"/>
  <c r="G31" i="6" s="1"/>
  <c r="G22" i="43"/>
  <c r="H22" i="43"/>
  <c r="F22" i="43"/>
  <c r="E22" i="43"/>
  <c r="J9" i="33"/>
  <c r="H9" i="33"/>
  <c r="F9" i="33"/>
  <c r="H9" i="36"/>
  <c r="H39" i="40"/>
  <c r="D1" i="43"/>
  <c r="H38" i="43"/>
  <c r="H23" i="35"/>
  <c r="J23" i="35"/>
  <c r="G17" i="43"/>
  <c r="C16" i="43" s="1"/>
  <c r="C5" i="43" s="1"/>
  <c r="I17" i="43"/>
  <c r="H17" i="43"/>
  <c r="J17" i="43"/>
  <c r="K13" i="1"/>
  <c r="Q16" i="1" s="1"/>
  <c r="G100" i="43"/>
  <c r="N100" i="43"/>
  <c r="D45" i="71"/>
  <c r="D17" i="71"/>
  <c r="O46" i="71"/>
  <c r="D16" i="71"/>
  <c r="D31" i="71"/>
  <c r="C32" i="71"/>
  <c r="G17" i="77"/>
  <c r="O18" i="77" s="1"/>
  <c r="F34" i="68"/>
  <c r="V21" i="71"/>
  <c r="M19" i="43"/>
  <c r="D39" i="71"/>
  <c r="C40" i="71"/>
  <c r="F48" i="71"/>
  <c r="AH10" i="43"/>
  <c r="AD10" i="43"/>
  <c r="Z10" i="43"/>
  <c r="AG10" i="43"/>
  <c r="AC10" i="43"/>
  <c r="D48" i="71"/>
  <c r="AA8" i="71"/>
  <c r="AA6" i="71"/>
  <c r="E9" i="71"/>
  <c r="AB8" i="71"/>
  <c r="AB6" i="71"/>
  <c r="C19" i="43" s="1"/>
  <c r="F9" i="71"/>
  <c r="F8" i="71" s="1"/>
  <c r="F7" i="71" s="1"/>
  <c r="F6" i="71" s="1"/>
  <c r="F5" i="71" s="1"/>
  <c r="BL168" i="3"/>
  <c r="AZ168" i="3" s="1"/>
  <c r="BA45" i="3"/>
  <c r="AZ45" i="3" s="1"/>
  <c r="BL42" i="3"/>
  <c r="BA41" i="3"/>
  <c r="BL44" i="3"/>
  <c r="AZ44" i="3" s="1"/>
  <c r="BA43" i="3"/>
  <c r="AZ43" i="3" s="1"/>
  <c r="AZ15" i="3"/>
  <c r="C1" i="73"/>
  <c r="I15" i="4"/>
  <c r="F6" i="1" s="1"/>
  <c r="C28" i="80"/>
  <c r="K25" i="80"/>
  <c r="K28" i="80" s="1"/>
  <c r="F38" i="15"/>
  <c r="J15" i="15"/>
  <c r="F43" i="15"/>
  <c r="D9" i="68"/>
  <c r="M9" i="15"/>
  <c r="F16" i="15"/>
  <c r="C17" i="67"/>
  <c r="F9" i="15"/>
  <c r="M24" i="15"/>
  <c r="M6" i="15"/>
  <c r="C16" i="67"/>
  <c r="M28" i="15"/>
  <c r="F40" i="15"/>
  <c r="M23" i="15"/>
  <c r="F36" i="15"/>
  <c r="L48" i="15"/>
  <c r="M22" i="15"/>
  <c r="C14" i="67"/>
  <c r="M26" i="15"/>
  <c r="F26" i="15"/>
  <c r="F8" i="15"/>
  <c r="F27" i="68"/>
  <c r="F41" i="15"/>
  <c r="F7" i="15"/>
  <c r="C36" i="68"/>
  <c r="M8" i="15"/>
  <c r="F37" i="15"/>
  <c r="F42" i="15"/>
  <c r="B4" i="62" l="1"/>
  <c r="B71" i="72" s="1"/>
  <c r="K4" i="4"/>
  <c r="B46" i="48" s="1"/>
  <c r="B4" i="72" s="1"/>
  <c r="C49" i="67"/>
  <c r="F69" i="15"/>
  <c r="F68" i="15"/>
  <c r="F65" i="15"/>
  <c r="C18" i="67"/>
  <c r="C15" i="67"/>
  <c r="C9" i="68"/>
  <c r="C47" i="68"/>
  <c r="D45" i="68" s="1"/>
  <c r="C29" i="68"/>
  <c r="D27" i="68" s="1"/>
  <c r="F71" i="15"/>
  <c r="F51" i="15"/>
  <c r="I54" i="15"/>
  <c r="L57" i="15"/>
  <c r="L56" i="15"/>
  <c r="L60" i="15"/>
  <c r="J57" i="15"/>
  <c r="J55" i="15" s="1"/>
  <c r="J58" i="15" s="1"/>
  <c r="Q50" i="15" s="1"/>
  <c r="J53" i="15"/>
  <c r="F64" i="15"/>
  <c r="F66" i="15"/>
  <c r="C27" i="15"/>
  <c r="M7" i="15"/>
  <c r="F50" i="15"/>
  <c r="F28" i="12"/>
  <c r="C29" i="12" s="1"/>
  <c r="D28" i="12" s="1"/>
  <c r="F27" i="11"/>
  <c r="F27" i="69"/>
  <c r="I20" i="43"/>
  <c r="C10" i="40"/>
  <c r="G6" i="1"/>
  <c r="G16" i="1" s="1"/>
  <c r="AZ41" i="3"/>
  <c r="AZ5" i="3" s="1"/>
  <c r="BA5" i="3"/>
  <c r="E27" i="6" s="1"/>
  <c r="V9" i="71"/>
  <c r="E8" i="71"/>
  <c r="E7" i="71" s="1"/>
  <c r="E6" i="71" s="1"/>
  <c r="E5" i="71" s="1"/>
  <c r="M20" i="43" s="1"/>
  <c r="M18" i="77"/>
  <c r="AC23" i="35"/>
  <c r="W23" i="35"/>
  <c r="AB39" i="40"/>
  <c r="U39" i="40"/>
  <c r="AC9" i="33"/>
  <c r="W9" i="33"/>
  <c r="AB12" i="21"/>
  <c r="U12" i="21"/>
  <c r="AC36" i="39"/>
  <c r="W36" i="39"/>
  <c r="C30" i="68"/>
  <c r="C48" i="68"/>
  <c r="AB35" i="40"/>
  <c r="U35" i="40"/>
  <c r="W7" i="35"/>
  <c r="AC7" i="35"/>
  <c r="V38" i="35" s="1"/>
  <c r="I38" i="35" s="1"/>
  <c r="AB7" i="21"/>
  <c r="T48" i="21" s="1"/>
  <c r="G48" i="21" s="1"/>
  <c r="U7" i="21"/>
  <c r="AA7" i="35"/>
  <c r="R38" i="35" s="1"/>
  <c r="S7" i="35"/>
  <c r="AB7" i="34"/>
  <c r="T49" i="34" s="1"/>
  <c r="G49" i="34" s="1"/>
  <c r="U7" i="34"/>
  <c r="M13" i="1"/>
  <c r="S9" i="33"/>
  <c r="AA9" i="33"/>
  <c r="J7" i="37"/>
  <c r="F52" i="37"/>
  <c r="G52" i="37" s="1"/>
  <c r="H52" i="37" s="1"/>
  <c r="I52" i="37" s="1"/>
  <c r="J52" i="37" s="1"/>
  <c r="K52" i="37" s="1"/>
  <c r="L52" i="37" s="1"/>
  <c r="M52" i="37" s="1"/>
  <c r="N52" i="37" s="1"/>
  <c r="O52" i="37" s="1"/>
  <c r="F7" i="37"/>
  <c r="U28" i="40"/>
  <c r="AB28" i="40"/>
  <c r="E46" i="36"/>
  <c r="F46" i="36" s="1"/>
  <c r="G46" i="36" s="1"/>
  <c r="H46" i="36" s="1"/>
  <c r="I46" i="36" s="1"/>
  <c r="J46" i="36" s="1"/>
  <c r="K46" i="36" s="1"/>
  <c r="L46" i="36" s="1"/>
  <c r="M46" i="36" s="1"/>
  <c r="N46" i="36" s="1"/>
  <c r="O46" i="36" s="1"/>
  <c r="J7" i="36"/>
  <c r="AC7" i="21"/>
  <c r="V48" i="21" s="1"/>
  <c r="I48" i="21" s="1"/>
  <c r="W7" i="21"/>
  <c r="G63" i="40"/>
  <c r="F65" i="40"/>
  <c r="AB7" i="33"/>
  <c r="T48" i="33" s="1"/>
  <c r="G48" i="33" s="1"/>
  <c r="U7" i="33"/>
  <c r="H68" i="39"/>
  <c r="G70" i="39"/>
  <c r="Q74" i="67"/>
  <c r="Q61" i="67"/>
  <c r="J1" i="73"/>
  <c r="L1" i="73"/>
  <c r="BL5" i="3"/>
  <c r="AZ42" i="3"/>
  <c r="F47" i="71"/>
  <c r="Q48" i="71"/>
  <c r="C41" i="71"/>
  <c r="D40" i="71"/>
  <c r="C33" i="71"/>
  <c r="D32" i="71"/>
  <c r="U23" i="35"/>
  <c r="AB23" i="35"/>
  <c r="AB9" i="36"/>
  <c r="U9" i="36"/>
  <c r="AB9" i="33"/>
  <c r="U9" i="33"/>
  <c r="D22" i="43"/>
  <c r="C21" i="43" s="1"/>
  <c r="AC12" i="21"/>
  <c r="W12" i="21"/>
  <c r="S36" i="39"/>
  <c r="AA36" i="39"/>
  <c r="AT6"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25" i="3"/>
  <c r="E217" i="3"/>
  <c r="E366" i="3"/>
  <c r="E526" i="3"/>
  <c r="E553" i="3"/>
  <c r="E268" i="3"/>
  <c r="E282" i="3"/>
  <c r="E322" i="3"/>
  <c r="N6" i="3"/>
  <c r="AJ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3" i="3"/>
  <c r="E319" i="3"/>
  <c r="E501" i="3"/>
  <c r="E153" i="3"/>
  <c r="E426" i="3"/>
  <c r="E328" i="3"/>
  <c r="E329" i="3"/>
  <c r="E545" i="3"/>
  <c r="E510" i="3"/>
  <c r="E352" i="3"/>
  <c r="E205" i="3"/>
  <c r="E128" i="3"/>
  <c r="E353" i="3"/>
  <c r="E495" i="3"/>
  <c r="AN6" i="3"/>
  <c r="E586" i="3"/>
  <c r="E402" i="3"/>
  <c r="E350" i="3"/>
  <c r="E303" i="3"/>
  <c r="E301" i="3"/>
  <c r="E159" i="3"/>
  <c r="E99" i="3"/>
  <c r="E228" i="3"/>
  <c r="E157" i="3"/>
  <c r="E149" i="3"/>
  <c r="E212" i="3"/>
  <c r="E167" i="3"/>
  <c r="E141" i="3"/>
  <c r="E312" i="3"/>
  <c r="AD6" i="3"/>
  <c r="AC6" i="3" s="1"/>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7" i="3"/>
  <c r="E65" i="3"/>
  <c r="E195" i="3"/>
  <c r="E248" i="3"/>
  <c r="E266" i="3"/>
  <c r="E386" i="3"/>
  <c r="E584" i="3"/>
  <c r="E24" i="3"/>
  <c r="E87" i="3"/>
  <c r="E250" i="3"/>
  <c r="E341" i="3"/>
  <c r="E51" i="3"/>
  <c r="E154" i="3"/>
  <c r="E222" i="3"/>
  <c r="E373" i="3"/>
  <c r="E175" i="3"/>
  <c r="E530" i="3"/>
  <c r="E343" i="3"/>
  <c r="E305" i="3"/>
  <c r="E508" i="3"/>
  <c r="E539" i="3"/>
  <c r="E567" i="3"/>
  <c r="E461" i="3"/>
  <c r="E227" i="3"/>
  <c r="E165" i="3"/>
  <c r="E385" i="3"/>
  <c r="E518" i="3"/>
  <c r="AI6" i="3"/>
  <c r="E578" i="3"/>
  <c r="E423" i="3"/>
  <c r="E382" i="3"/>
  <c r="E263" i="3"/>
  <c r="E245" i="3"/>
  <c r="E191" i="3"/>
  <c r="E188" i="3"/>
  <c r="E181" i="3"/>
  <c r="E77" i="3"/>
  <c r="E253"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62" i="3"/>
  <c r="E446" i="3"/>
  <c r="E98" i="3"/>
  <c r="E138" i="3"/>
  <c r="E163" i="3"/>
  <c r="E209" i="3"/>
  <c r="E307" i="3"/>
  <c r="E354" i="3"/>
  <c r="E66" i="3"/>
  <c r="E48" i="3"/>
  <c r="E127" i="3"/>
  <c r="E284" i="3"/>
  <c r="Y6" i="3"/>
  <c r="E19" i="3"/>
  <c r="E179" i="3"/>
  <c r="E323" i="3"/>
  <c r="E82" i="3"/>
  <c r="E30" i="6"/>
  <c r="K20" i="6"/>
  <c r="M20" i="6" s="1"/>
  <c r="I20" i="6" s="1"/>
  <c r="S20" i="6" s="1"/>
  <c r="K24" i="6"/>
  <c r="M24" i="6" s="1"/>
  <c r="I24" i="6" s="1"/>
  <c r="S24" i="6" s="1"/>
  <c r="K14" i="1"/>
  <c r="M14" i="1" s="1"/>
  <c r="M16" i="1" s="1"/>
  <c r="K26" i="6"/>
  <c r="M26" i="6" s="1"/>
  <c r="I26" i="6" s="1"/>
  <c r="S26" i="6" s="1"/>
  <c r="K22" i="6"/>
  <c r="M22" i="6" s="1"/>
  <c r="I22" i="6" s="1"/>
  <c r="S22" i="6" s="1"/>
  <c r="K25" i="6"/>
  <c r="M25" i="6" s="1"/>
  <c r="I25" i="6" s="1"/>
  <c r="S25" i="6" s="1"/>
  <c r="K23" i="6"/>
  <c r="M23" i="6" s="1"/>
  <c r="I23" i="6" s="1"/>
  <c r="S23" i="6" s="1"/>
  <c r="K21" i="6"/>
  <c r="M21" i="6" s="1"/>
  <c r="I21" i="6" s="1"/>
  <c r="S21" i="6" s="1"/>
  <c r="K19" i="6"/>
  <c r="H7" i="37"/>
  <c r="AA35" i="40"/>
  <c r="S35" i="40"/>
  <c r="AC35" i="40"/>
  <c r="W35" i="40"/>
  <c r="AC28" i="40"/>
  <c r="W28" i="40"/>
  <c r="AA28" i="40"/>
  <c r="S28" i="40"/>
  <c r="H16" i="1"/>
  <c r="F7" i="36"/>
  <c r="W7" i="34"/>
  <c r="AC7" i="34"/>
  <c r="V49" i="34" s="1"/>
  <c r="I49" i="34" s="1"/>
  <c r="S7" i="34"/>
  <c r="AA7" i="34"/>
  <c r="R49" i="34" s="1"/>
  <c r="H7" i="35"/>
  <c r="F7" i="21"/>
  <c r="J7" i="33"/>
  <c r="F7" i="33"/>
  <c r="Q60" i="67"/>
  <c r="Q73" i="67"/>
  <c r="C16" i="15"/>
  <c r="C19" i="67" l="1"/>
  <c r="C20" i="67" s="1"/>
  <c r="AY6" i="3"/>
  <c r="E3" i="6"/>
  <c r="L16" i="1"/>
  <c r="C34" i="11"/>
  <c r="E49" i="34"/>
  <c r="I54" i="34" s="1"/>
  <c r="J54" i="34" s="1"/>
  <c r="R50" i="34"/>
  <c r="I53" i="34"/>
  <c r="J53" i="34" s="1"/>
  <c r="S7" i="36"/>
  <c r="AA7" i="36"/>
  <c r="R36" i="36" s="1"/>
  <c r="U7" i="37"/>
  <c r="AB7" i="37"/>
  <c r="T42" i="37" s="1"/>
  <c r="G42" i="37" s="1"/>
  <c r="AC7" i="36"/>
  <c r="V36" i="36" s="1"/>
  <c r="I36" i="36" s="1"/>
  <c r="W7" i="36"/>
  <c r="AA7" i="37"/>
  <c r="R42" i="37" s="1"/>
  <c r="S7" i="37"/>
  <c r="W7" i="37"/>
  <c r="AC7" i="37"/>
  <c r="V42" i="37" s="1"/>
  <c r="I42" i="37" s="1"/>
  <c r="C34" i="69"/>
  <c r="G54" i="34"/>
  <c r="H54" i="34" s="1"/>
  <c r="G53" i="34"/>
  <c r="H53" i="34" s="1"/>
  <c r="R39" i="35"/>
  <c r="E38" i="35"/>
  <c r="G52" i="21"/>
  <c r="H52" i="21" s="1"/>
  <c r="G53" i="21"/>
  <c r="H53" i="21" s="1"/>
  <c r="E31" i="6"/>
  <c r="H10" i="40"/>
  <c r="F10" i="40"/>
  <c r="J10" i="39"/>
  <c r="F10" i="39"/>
  <c r="J10" i="40"/>
  <c r="H10" i="39"/>
  <c r="C47" i="69"/>
  <c r="D45" i="69" s="1"/>
  <c r="C29" i="69"/>
  <c r="D27" i="69" s="1"/>
  <c r="F1" i="15"/>
  <c r="Q52" i="15"/>
  <c r="Q57" i="15"/>
  <c r="Q66" i="15"/>
  <c r="C49" i="15"/>
  <c r="J6" i="15"/>
  <c r="W7" i="33"/>
  <c r="AC7" i="33"/>
  <c r="V48" i="33" s="1"/>
  <c r="I48" i="33" s="1"/>
  <c r="S7" i="33"/>
  <c r="AA7" i="33"/>
  <c r="R48" i="33" s="1"/>
  <c r="AA7" i="21"/>
  <c r="R48" i="21" s="1"/>
  <c r="S7" i="21"/>
  <c r="U7" i="35"/>
  <c r="AB7" i="35"/>
  <c r="T38" i="35" s="1"/>
  <c r="G38" i="35" s="1"/>
  <c r="S6" i="1"/>
  <c r="M19" i="6"/>
  <c r="K27" i="6"/>
  <c r="H6" i="3"/>
  <c r="E6" i="3" s="1"/>
  <c r="T33" i="71"/>
  <c r="D33" i="71"/>
  <c r="T41" i="71"/>
  <c r="D41" i="71"/>
  <c r="Q46" i="71"/>
  <c r="Q47" i="71"/>
  <c r="I68" i="39"/>
  <c r="H70" i="39"/>
  <c r="G52" i="33"/>
  <c r="H52" i="33" s="1"/>
  <c r="G53" i="33"/>
  <c r="H53" i="33" s="1"/>
  <c r="H63" i="40"/>
  <c r="G65" i="40"/>
  <c r="I52" i="21"/>
  <c r="J52" i="21" s="1"/>
  <c r="H7" i="36"/>
  <c r="K16" i="1"/>
  <c r="I42" i="35"/>
  <c r="J42" i="35" s="1"/>
  <c r="I43" i="35"/>
  <c r="J43" i="35" s="1"/>
  <c r="Y6" i="1"/>
  <c r="C47" i="11"/>
  <c r="D45" i="11" s="1"/>
  <c r="C29" i="11"/>
  <c r="D27" i="11" s="1"/>
  <c r="C17" i="15"/>
  <c r="F7" i="73"/>
  <c r="F4" i="73"/>
  <c r="D3" i="73"/>
  <c r="F5" i="73"/>
  <c r="D5" i="73"/>
  <c r="D4" i="73"/>
  <c r="AE6" i="1"/>
  <c r="D6" i="73"/>
  <c r="F3" i="73"/>
  <c r="F13" i="15"/>
  <c r="F6" i="73"/>
  <c r="D7" i="73"/>
  <c r="D10" i="68"/>
  <c r="C10" i="68" l="1"/>
  <c r="C8" i="68" s="1"/>
  <c r="D19" i="68"/>
  <c r="D37" i="68" s="1"/>
  <c r="C37" i="68" s="1"/>
  <c r="AG6" i="1"/>
  <c r="E20" i="43"/>
  <c r="I1" i="73"/>
  <c r="B39" i="1" s="1"/>
  <c r="AQ10" i="1"/>
  <c r="AQ11" i="1"/>
  <c r="AR13" i="1"/>
  <c r="AR9" i="1"/>
  <c r="AR12" i="1"/>
  <c r="AQ13" i="1"/>
  <c r="AR11" i="1"/>
  <c r="AQ8" i="1"/>
  <c r="AQ7" i="1"/>
  <c r="AR6" i="1"/>
  <c r="AQ12" i="1"/>
  <c r="AR10" i="1"/>
  <c r="AR7" i="1"/>
  <c r="AQ9" i="1"/>
  <c r="AQ6" i="1"/>
  <c r="AR8" i="1"/>
  <c r="AB7" i="36"/>
  <c r="T36" i="36" s="1"/>
  <c r="G36" i="36" s="1"/>
  <c r="U7" i="36"/>
  <c r="H65" i="40"/>
  <c r="I63" i="40"/>
  <c r="I70" i="39"/>
  <c r="J68" i="39"/>
  <c r="E6" i="70"/>
  <c r="E2" i="70" s="1"/>
  <c r="T6" i="1"/>
  <c r="S16" i="1"/>
  <c r="E48" i="21"/>
  <c r="R49" i="21"/>
  <c r="W10" i="40"/>
  <c r="AC10" i="40"/>
  <c r="AC10" i="39"/>
  <c r="W10" i="39"/>
  <c r="U10" i="40"/>
  <c r="AB10" i="40"/>
  <c r="E43" i="35"/>
  <c r="F43" i="35" s="1"/>
  <c r="E42" i="35"/>
  <c r="F42" i="35" s="1"/>
  <c r="C35" i="69"/>
  <c r="C38" i="69"/>
  <c r="R43" i="37"/>
  <c r="E42" i="37"/>
  <c r="I40" i="36"/>
  <c r="J40" i="36" s="1"/>
  <c r="I41" i="36"/>
  <c r="J41" i="36" s="1"/>
  <c r="G46" i="37"/>
  <c r="H46" i="37" s="1"/>
  <c r="G47" i="37"/>
  <c r="H47" i="37" s="1"/>
  <c r="E36" i="36"/>
  <c r="R37" i="36"/>
  <c r="C49" i="34"/>
  <c r="C50" i="34"/>
  <c r="C26" i="67"/>
  <c r="N16" i="1"/>
  <c r="U6" i="1"/>
  <c r="D3" i="21"/>
  <c r="E6" i="6"/>
  <c r="C17" i="4"/>
  <c r="B4" i="52" s="1"/>
  <c r="B43" i="72" s="1"/>
  <c r="D14" i="12"/>
  <c r="D3" i="34"/>
  <c r="D19" i="11"/>
  <c r="C19" i="11" s="1"/>
  <c r="D3" i="33"/>
  <c r="D3" i="37"/>
  <c r="D37" i="11"/>
  <c r="C37" i="11" s="1"/>
  <c r="H108" i="9"/>
  <c r="D15" i="53" s="1"/>
  <c r="B31" i="72" s="1"/>
  <c r="M27" i="6"/>
  <c r="I19" i="6"/>
  <c r="G42" i="35"/>
  <c r="H42" i="35" s="1"/>
  <c r="G43" i="35"/>
  <c r="H43" i="35" s="1"/>
  <c r="E48" i="33"/>
  <c r="R49" i="33"/>
  <c r="I52" i="33"/>
  <c r="J52" i="33" s="1"/>
  <c r="I53" i="33"/>
  <c r="J53" i="33" s="1"/>
  <c r="AB10" i="39"/>
  <c r="U10" i="39"/>
  <c r="S10" i="39"/>
  <c r="AA10" i="39"/>
  <c r="AA10" i="40"/>
  <c r="S10" i="40"/>
  <c r="C39" i="35"/>
  <c r="B2" i="35" s="1"/>
  <c r="B3" i="35" s="1"/>
  <c r="C38" i="35"/>
  <c r="I47" i="37"/>
  <c r="J47" i="37" s="1"/>
  <c r="I46" i="37"/>
  <c r="J46" i="37" s="1"/>
  <c r="E54" i="34"/>
  <c r="F54" i="34" s="1"/>
  <c r="E53" i="34"/>
  <c r="F53" i="34" s="1"/>
  <c r="C38" i="11"/>
  <c r="C35" i="1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129" i="3"/>
  <c r="AY282" i="3"/>
  <c r="AY266" i="3"/>
  <c r="AY223" i="3"/>
  <c r="AY369" i="3"/>
  <c r="AY345" i="3"/>
  <c r="AY313" i="3"/>
  <c r="AY328" i="3"/>
  <c r="AY487" i="3"/>
  <c r="AY484" i="3"/>
  <c r="AY453" i="3"/>
  <c r="AY442" i="3"/>
  <c r="AY410" i="3"/>
  <c r="AY423" i="3"/>
  <c r="AY579" i="3"/>
  <c r="AY499"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G1" i="73"/>
  <c r="C34" i="68"/>
  <c r="M27" i="15"/>
  <c r="C14" i="15"/>
  <c r="F6" i="15"/>
  <c r="C33" i="11" l="1"/>
  <c r="B40" i="1"/>
  <c r="F24" i="15" s="1"/>
  <c r="C24" i="15" s="1"/>
  <c r="C6" i="15"/>
  <c r="C35" i="68"/>
  <c r="C38" i="68"/>
  <c r="C15" i="15"/>
  <c r="C18" i="15"/>
  <c r="D19" i="6"/>
  <c r="H19" i="6"/>
  <c r="D26" i="6"/>
  <c r="C18" i="4"/>
  <c r="D8" i="6"/>
  <c r="D23" i="6"/>
  <c r="D14" i="6"/>
  <c r="D5" i="6"/>
  <c r="D12" i="6"/>
  <c r="D11" i="6"/>
  <c r="D13" i="6"/>
  <c r="D29" i="6"/>
  <c r="H25" i="6"/>
  <c r="H22" i="6"/>
  <c r="H21" i="6"/>
  <c r="H24" i="6"/>
  <c r="C34" i="40"/>
  <c r="H20" i="6"/>
  <c r="D25" i="6"/>
  <c r="R25" i="6" s="1"/>
  <c r="D15" i="6"/>
  <c r="D22" i="6"/>
  <c r="R22" i="6" s="1"/>
  <c r="D21" i="6"/>
  <c r="R21" i="6" s="1"/>
  <c r="D24" i="6"/>
  <c r="R24" i="6" s="1"/>
  <c r="D20" i="6"/>
  <c r="R20" i="6" s="1"/>
  <c r="D6" i="6"/>
  <c r="D9" i="6"/>
  <c r="D10" i="6"/>
  <c r="D28" i="6"/>
  <c r="D30" i="6" s="1"/>
  <c r="E61" i="40"/>
  <c r="H23" i="6"/>
  <c r="H26" i="6"/>
  <c r="C39" i="11"/>
  <c r="E53" i="33"/>
  <c r="F53" i="33" s="1"/>
  <c r="E52" i="33"/>
  <c r="F52" i="33" s="1"/>
  <c r="C20" i="11"/>
  <c r="D17" i="12"/>
  <c r="C17" i="12" s="1"/>
  <c r="C14" i="12"/>
  <c r="C16" i="12" s="1"/>
  <c r="D10" i="11"/>
  <c r="C10" i="11" s="1"/>
  <c r="D20" i="12"/>
  <c r="C20" i="12" s="1"/>
  <c r="C18" i="12" s="1"/>
  <c r="D10" i="69"/>
  <c r="E41" i="36"/>
  <c r="F41" i="36" s="1"/>
  <c r="E40" i="36"/>
  <c r="F40" i="36" s="1"/>
  <c r="C43" i="37"/>
  <c r="B2" i="37" s="1"/>
  <c r="B3" i="37" s="1"/>
  <c r="C42" i="37"/>
  <c r="E53" i="21"/>
  <c r="F53" i="21" s="1"/>
  <c r="E52" i="21"/>
  <c r="F52" i="21" s="1"/>
  <c r="I53" i="21"/>
  <c r="J53" i="21" s="1"/>
  <c r="T16" i="1"/>
  <c r="K68" i="39"/>
  <c r="J70" i="39"/>
  <c r="J63" i="40"/>
  <c r="I65" i="40"/>
  <c r="M11" i="15"/>
  <c r="J10" i="15" s="1"/>
  <c r="J5" i="15" s="1"/>
  <c r="F11" i="15"/>
  <c r="C53" i="15" s="1"/>
  <c r="C48" i="15" s="1"/>
  <c r="M11" i="67"/>
  <c r="J10" i="67" s="1"/>
  <c r="J5" i="67" s="1"/>
  <c r="F11" i="67"/>
  <c r="C49" i="33"/>
  <c r="B2" i="33" s="1"/>
  <c r="B3" i="33" s="1"/>
  <c r="C48" i="33"/>
  <c r="L18" i="9"/>
  <c r="S19" i="6"/>
  <c r="S27" i="6" s="1"/>
  <c r="I27" i="6"/>
  <c r="F50" i="69"/>
  <c r="F50" i="11"/>
  <c r="F50" i="68"/>
  <c r="B2" i="34"/>
  <c r="B3" i="34" s="1"/>
  <c r="C37" i="36"/>
  <c r="B2" i="36" s="1"/>
  <c r="B3" i="36" s="1"/>
  <c r="C36" i="36"/>
  <c r="E47" i="37"/>
  <c r="F47" i="37" s="1"/>
  <c r="E46" i="37"/>
  <c r="F46" i="37" s="1"/>
  <c r="C49" i="21"/>
  <c r="B2" i="21" s="1"/>
  <c r="B3" i="21" s="1"/>
  <c r="C48" i="21"/>
  <c r="G40" i="36"/>
  <c r="H40" i="36" s="1"/>
  <c r="G41" i="36"/>
  <c r="H41" i="36" s="1"/>
  <c r="P17" i="43"/>
  <c r="G20" i="43" s="1"/>
  <c r="N17" i="43"/>
  <c r="O17" i="43"/>
  <c r="M17" i="43"/>
  <c r="F24" i="67" l="1"/>
  <c r="C24" i="67" s="1"/>
  <c r="F22" i="11"/>
  <c r="C23" i="11" s="1"/>
  <c r="F22" i="68"/>
  <c r="C26" i="68" s="1"/>
  <c r="D22" i="68" s="1"/>
  <c r="F22" i="69"/>
  <c r="C26" i="69" s="1"/>
  <c r="D22" i="69" s="1"/>
  <c r="F25" i="12"/>
  <c r="C26" i="12" s="1"/>
  <c r="D25" i="12" s="1"/>
  <c r="C33" i="68"/>
  <c r="C39" i="68" s="1"/>
  <c r="C19" i="15"/>
  <c r="C20" i="15" s="1"/>
  <c r="J24" i="67"/>
  <c r="J18" i="67"/>
  <c r="J26" i="67"/>
  <c r="J29" i="67" s="1"/>
  <c r="J18" i="15"/>
  <c r="J24" i="15"/>
  <c r="K63" i="40"/>
  <c r="J65" i="40"/>
  <c r="K70" i="39"/>
  <c r="L68" i="39"/>
  <c r="C21" i="12"/>
  <c r="C28" i="11"/>
  <c r="C27" i="11" s="1"/>
  <c r="C46" i="11"/>
  <c r="C45" i="11" s="1"/>
  <c r="R23" i="6"/>
  <c r="A7" i="51"/>
  <c r="B7" i="72" s="1"/>
  <c r="C4" i="52"/>
  <c r="B45" i="72" s="1"/>
  <c r="A10" i="51"/>
  <c r="B9" i="72" s="1"/>
  <c r="H27" i="6"/>
  <c r="C10" i="15"/>
  <c r="C5" i="15" s="1"/>
  <c r="C26" i="11"/>
  <c r="D22" i="11" s="1"/>
  <c r="C20" i="43"/>
  <c r="L52" i="15"/>
  <c r="C10" i="67"/>
  <c r="C5" i="67" s="1"/>
  <c r="C53" i="67"/>
  <c r="C48" i="67" s="1"/>
  <c r="C66" i="15"/>
  <c r="C60" i="15"/>
  <c r="C10" i="69"/>
  <c r="C8" i="69" s="1"/>
  <c r="C5" i="69" s="1"/>
  <c r="D19" i="69"/>
  <c r="C25" i="11"/>
  <c r="J34" i="40"/>
  <c r="H34" i="40"/>
  <c r="F34" i="40"/>
  <c r="D16" i="6"/>
  <c r="R26" i="6"/>
  <c r="R19" i="6"/>
  <c r="L19" i="9"/>
  <c r="M19" i="9"/>
  <c r="C118" i="9" s="1"/>
  <c r="C14" i="74" s="1"/>
  <c r="B2" i="74" s="1"/>
  <c r="D27" i="6"/>
  <c r="D31" i="6" s="1"/>
  <c r="C42" i="11" l="1"/>
  <c r="C24" i="11"/>
  <c r="C44" i="11"/>
  <c r="D41" i="11" s="1"/>
  <c r="C43" i="11"/>
  <c r="C23" i="67"/>
  <c r="C29" i="67" s="1"/>
  <c r="C24" i="68"/>
  <c r="C44" i="68"/>
  <c r="D41" i="68" s="1"/>
  <c r="C43" i="68"/>
  <c r="C44" i="69"/>
  <c r="D41" i="69" s="1"/>
  <c r="C42" i="68"/>
  <c r="C41" i="68" s="1"/>
  <c r="C26" i="15"/>
  <c r="C23" i="15"/>
  <c r="C46" i="68"/>
  <c r="C45" i="68" s="1"/>
  <c r="C32" i="15"/>
  <c r="C38" i="15"/>
  <c r="D6" i="74"/>
  <c r="D8" i="74"/>
  <c r="R6" i="1"/>
  <c r="R27" i="6"/>
  <c r="AB34" i="40"/>
  <c r="U34" i="40"/>
  <c r="C23" i="69"/>
  <c r="C32" i="67"/>
  <c r="C38" i="67"/>
  <c r="C35" i="43"/>
  <c r="C36" i="43"/>
  <c r="C29" i="43"/>
  <c r="C39" i="43"/>
  <c r="E39" i="43" s="1"/>
  <c r="T11" i="43"/>
  <c r="V11" i="43" s="1"/>
  <c r="T16" i="43"/>
  <c r="V16" i="43" s="1"/>
  <c r="T12" i="43"/>
  <c r="V12" i="43" s="1"/>
  <c r="T3" i="43"/>
  <c r="V3" i="43" s="1"/>
  <c r="T8" i="43"/>
  <c r="V8" i="43" s="1"/>
  <c r="T13" i="43"/>
  <c r="V13" i="43" s="1"/>
  <c r="T5" i="43"/>
  <c r="V5" i="43" s="1"/>
  <c r="T4" i="43"/>
  <c r="V4" i="43" s="1"/>
  <c r="C33" i="43"/>
  <c r="C34" i="43"/>
  <c r="C37" i="43"/>
  <c r="C38" i="43"/>
  <c r="T7" i="43"/>
  <c r="V7" i="43" s="1"/>
  <c r="T14" i="43"/>
  <c r="V14" i="43" s="1"/>
  <c r="T9" i="43"/>
  <c r="V9" i="43" s="1"/>
  <c r="T2" i="43"/>
  <c r="V2" i="43" s="1"/>
  <c r="T15" i="43"/>
  <c r="V15" i="43" s="1"/>
  <c r="T10" i="43"/>
  <c r="V10" i="43" s="1"/>
  <c r="T6" i="43"/>
  <c r="V6" i="43" s="1"/>
  <c r="C22" i="11"/>
  <c r="C31" i="11" s="1"/>
  <c r="M68" i="39"/>
  <c r="L70" i="39"/>
  <c r="I6" i="6"/>
  <c r="I5" i="6"/>
  <c r="AA34" i="40"/>
  <c r="S34" i="40"/>
  <c r="AC34" i="40"/>
  <c r="W34" i="40"/>
  <c r="C19" i="69"/>
  <c r="C24" i="69" s="1"/>
  <c r="D37" i="69"/>
  <c r="C37" i="69" s="1"/>
  <c r="C33" i="69" s="1"/>
  <c r="C66" i="67"/>
  <c r="C60" i="67"/>
  <c r="Q59" i="15"/>
  <c r="Q72" i="15"/>
  <c r="M59" i="15"/>
  <c r="L59" i="15"/>
  <c r="L58" i="15"/>
  <c r="N59" i="15"/>
  <c r="C22" i="12"/>
  <c r="C30" i="12" s="1"/>
  <c r="C28" i="12" s="1"/>
  <c r="K65" i="40"/>
  <c r="L63" i="40"/>
  <c r="M21" i="15"/>
  <c r="F35" i="15"/>
  <c r="C41" i="11" l="1"/>
  <c r="C49" i="11" s="1"/>
  <c r="C51" i="11" s="1"/>
  <c r="C52" i="11" s="1"/>
  <c r="B2" i="11" s="1"/>
  <c r="B3" i="11" s="1"/>
  <c r="C29" i="15"/>
  <c r="C33" i="15" s="1"/>
  <c r="C49" i="68"/>
  <c r="C51" i="68" s="1"/>
  <c r="C27" i="12"/>
  <c r="C25" i="12" s="1"/>
  <c r="C32" i="12" s="1"/>
  <c r="B2" i="12" s="1"/>
  <c r="B3" i="12" s="1"/>
  <c r="J20" i="15"/>
  <c r="F63" i="15"/>
  <c r="C62" i="15" s="1"/>
  <c r="C34" i="15"/>
  <c r="L65" i="40"/>
  <c r="M63" i="40"/>
  <c r="C13" i="67"/>
  <c r="J19" i="67"/>
  <c r="J17" i="67" s="1"/>
  <c r="C36" i="67"/>
  <c r="C33" i="67"/>
  <c r="C31" i="67" s="1"/>
  <c r="C57" i="67"/>
  <c r="Q49" i="67"/>
  <c r="J14" i="67"/>
  <c r="J59" i="67"/>
  <c r="J60" i="67" s="1"/>
  <c r="Q73" i="15"/>
  <c r="Q60" i="15"/>
  <c r="C39" i="69"/>
  <c r="C43" i="69" s="1"/>
  <c r="C42" i="69"/>
  <c r="E38" i="43"/>
  <c r="G38" i="43"/>
  <c r="I38" i="43" s="1"/>
  <c r="E34" i="43"/>
  <c r="G34" i="43"/>
  <c r="I34" i="43" s="1"/>
  <c r="E36" i="43"/>
  <c r="G36" i="43"/>
  <c r="I36" i="43" s="1"/>
  <c r="C20" i="69"/>
  <c r="C25" i="69" s="1"/>
  <c r="C22" i="69" s="1"/>
  <c r="R16" i="1"/>
  <c r="Q74" i="15"/>
  <c r="Q61" i="15"/>
  <c r="N68" i="39"/>
  <c r="M70" i="39"/>
  <c r="E37" i="43"/>
  <c r="G37" i="43"/>
  <c r="I37" i="43" s="1"/>
  <c r="E33" i="43"/>
  <c r="G33" i="43"/>
  <c r="I33" i="43" s="1"/>
  <c r="E29" i="43"/>
  <c r="C30" i="43"/>
  <c r="E30" i="43" s="1"/>
  <c r="E35" i="43"/>
  <c r="G35" i="43"/>
  <c r="I35" i="43" s="1"/>
  <c r="J59" i="15" l="1"/>
  <c r="J60" i="15" s="1"/>
  <c r="L46" i="15" s="1"/>
  <c r="J19" i="15"/>
  <c r="J17" i="15" s="1"/>
  <c r="C56" i="11"/>
  <c r="C57" i="11" s="1"/>
  <c r="C46" i="69"/>
  <c r="C45" i="69" s="1"/>
  <c r="C57" i="15"/>
  <c r="C64" i="15" s="1"/>
  <c r="C36" i="15"/>
  <c r="Q49" i="15"/>
  <c r="J14" i="15"/>
  <c r="J22" i="15" s="1"/>
  <c r="C13" i="15"/>
  <c r="C37" i="15" s="1"/>
  <c r="C31" i="15"/>
  <c r="C41" i="69"/>
  <c r="C28" i="69"/>
  <c r="C27" i="69" s="1"/>
  <c r="C31" i="69" s="1"/>
  <c r="Q48" i="15"/>
  <c r="C26" i="43"/>
  <c r="O68" i="39"/>
  <c r="O70" i="39" s="1"/>
  <c r="F7" i="39" s="1"/>
  <c r="N70" i="39"/>
  <c r="J7" i="39"/>
  <c r="J13" i="67"/>
  <c r="J23" i="67" s="1"/>
  <c r="J22" i="67"/>
  <c r="C61" i="67"/>
  <c r="C59" i="67" s="1"/>
  <c r="C64" i="67"/>
  <c r="C75" i="67"/>
  <c r="Q70" i="67"/>
  <c r="C56" i="67"/>
  <c r="C65" i="67" s="1"/>
  <c r="C37" i="67"/>
  <c r="C30" i="67" s="1"/>
  <c r="C39" i="67" s="1"/>
  <c r="J13" i="15"/>
  <c r="J23" i="15" s="1"/>
  <c r="C27" i="43"/>
  <c r="Q48" i="67"/>
  <c r="L46" i="67"/>
  <c r="M65" i="40"/>
  <c r="N63" i="40"/>
  <c r="E6" i="76"/>
  <c r="C56" i="15" l="1"/>
  <c r="C65" i="15" s="1"/>
  <c r="C61" i="15"/>
  <c r="C59" i="15" s="1"/>
  <c r="C49" i="69"/>
  <c r="C51" i="69" s="1"/>
  <c r="Q70" i="15"/>
  <c r="C75" i="15"/>
  <c r="J16" i="15"/>
  <c r="J25" i="15" s="1"/>
  <c r="J26" i="15" s="1"/>
  <c r="J29" i="15" s="1"/>
  <c r="C30" i="15"/>
  <c r="C39" i="15" s="1"/>
  <c r="Q69" i="15" s="1"/>
  <c r="J16" i="67"/>
  <c r="J25" i="67" s="1"/>
  <c r="C52" i="69"/>
  <c r="B2" i="69" s="1"/>
  <c r="B3" i="69" s="1"/>
  <c r="E2" i="76"/>
  <c r="AA7" i="39"/>
  <c r="R47" i="39" s="1"/>
  <c r="S7" i="39"/>
  <c r="C40" i="15"/>
  <c r="O63" i="40"/>
  <c r="O65" i="40" s="1"/>
  <c r="N65" i="40"/>
  <c r="Q69" i="67"/>
  <c r="Q68" i="67" s="1"/>
  <c r="C40" i="67"/>
  <c r="C80" i="67"/>
  <c r="C79" i="67" s="1"/>
  <c r="C58" i="67"/>
  <c r="C67" i="67" s="1"/>
  <c r="C68" i="67" s="1"/>
  <c r="H7" i="39"/>
  <c r="B2" i="43"/>
  <c r="W7" i="39"/>
  <c r="AC7" i="39"/>
  <c r="V47" i="39" s="1"/>
  <c r="I47" i="39" s="1"/>
  <c r="L51" i="67"/>
  <c r="L51" i="15"/>
  <c r="B6" i="76"/>
  <c r="C58" i="15" l="1"/>
  <c r="C67" i="15" s="1"/>
  <c r="C68" i="15" s="1"/>
  <c r="C71" i="15" s="1"/>
  <c r="C80" i="15"/>
  <c r="C79" i="15" s="1"/>
  <c r="Q68" i="15"/>
  <c r="C57" i="69"/>
  <c r="C56" i="69" s="1"/>
  <c r="B2" i="76"/>
  <c r="B3" i="76" s="1"/>
  <c r="Q67" i="15"/>
  <c r="Q67" i="67"/>
  <c r="L57" i="67"/>
  <c r="L60" i="67" s="1"/>
  <c r="I51" i="39"/>
  <c r="J51" i="39" s="1"/>
  <c r="C6" i="68"/>
  <c r="L50" i="15"/>
  <c r="Q58" i="15" s="1"/>
  <c r="B3" i="43"/>
  <c r="C71" i="67"/>
  <c r="C45" i="67"/>
  <c r="C46" i="67" s="1"/>
  <c r="Q56" i="67"/>
  <c r="D2" i="67"/>
  <c r="C43" i="67"/>
  <c r="Q65" i="67"/>
  <c r="Q47" i="67"/>
  <c r="Q53" i="67" s="1"/>
  <c r="C83" i="67"/>
  <c r="C82" i="67" s="1"/>
  <c r="B2" i="15"/>
  <c r="Q47" i="15"/>
  <c r="Q53" i="15" s="1"/>
  <c r="C43" i="15"/>
  <c r="Q65" i="15"/>
  <c r="Q75" i="15" s="1"/>
  <c r="Q56" i="15"/>
  <c r="Q62" i="15" s="1"/>
  <c r="C83" i="15"/>
  <c r="C82" i="15" s="1"/>
  <c r="R48" i="39"/>
  <c r="E47" i="39"/>
  <c r="I52" i="39" s="1"/>
  <c r="J52" i="39" s="1"/>
  <c r="AB7" i="39"/>
  <c r="T47" i="39" s="1"/>
  <c r="G47" i="39" s="1"/>
  <c r="U7" i="39"/>
  <c r="F7" i="40"/>
  <c r="H7" i="40"/>
  <c r="J7" i="40"/>
  <c r="D19" i="9"/>
  <c r="AO6" i="1"/>
  <c r="C46" i="15" l="1"/>
  <c r="D102" i="9"/>
  <c r="D21" i="9"/>
  <c r="B6" i="70"/>
  <c r="B2" i="70" s="1"/>
  <c r="B3" i="70" s="1"/>
  <c r="AC7" i="40"/>
  <c r="V42" i="40" s="1"/>
  <c r="I42" i="40" s="1"/>
  <c r="W7" i="40"/>
  <c r="AA7" i="40"/>
  <c r="R42" i="40" s="1"/>
  <c r="S7" i="40"/>
  <c r="G52" i="39"/>
  <c r="H52" i="39" s="1"/>
  <c r="G51" i="39"/>
  <c r="H51" i="39" s="1"/>
  <c r="C48" i="39"/>
  <c r="C47" i="39"/>
  <c r="B3" i="15"/>
  <c r="Q57" i="67"/>
  <c r="Q62" i="67" s="1"/>
  <c r="Q66" i="67"/>
  <c r="Q75" i="67" s="1"/>
  <c r="U7" i="40"/>
  <c r="AB7" i="40"/>
  <c r="T42" i="40" s="1"/>
  <c r="G42" i="40" s="1"/>
  <c r="E51" i="39"/>
  <c r="F51" i="39" s="1"/>
  <c r="E52" i="39"/>
  <c r="F52" i="39" s="1"/>
  <c r="B2" i="67"/>
  <c r="B3" i="67"/>
  <c r="C7" i="68"/>
  <c r="C5" i="68" s="1"/>
  <c r="E2" i="68"/>
  <c r="D34" i="9"/>
  <c r="D35" i="9"/>
  <c r="D20" i="9"/>
  <c r="D103" i="9" l="1"/>
  <c r="C20" i="68"/>
  <c r="C25" i="68" s="1"/>
  <c r="C23" i="68"/>
  <c r="G47" i="40"/>
  <c r="H47" i="40" s="1"/>
  <c r="G46" i="40"/>
  <c r="H46"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R43" i="40"/>
  <c r="E42" i="40"/>
  <c r="I47" i="40"/>
  <c r="J47" i="40" s="1"/>
  <c r="I46" i="40"/>
  <c r="J46" i="40" s="1"/>
  <c r="C43" i="40" l="1"/>
  <c r="C42" i="40"/>
  <c r="E46" i="40"/>
  <c r="F46" i="40" s="1"/>
  <c r="E47" i="40"/>
  <c r="F47" i="40" s="1"/>
  <c r="C22" i="68"/>
  <c r="C28" i="68"/>
  <c r="C27" i="68" s="1"/>
  <c r="C31" i="68" l="1"/>
  <c r="C52" i="68"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B2" i="68" l="1"/>
  <c r="C57" i="68"/>
  <c r="C56" i="68" s="1"/>
  <c r="C19" i="9"/>
  <c r="G19" i="9" l="1"/>
  <c r="C102" i="9"/>
  <c r="D22" i="9"/>
  <c r="C21" i="9"/>
  <c r="B3" i="68"/>
  <c r="Z22" i="1" l="1"/>
  <c r="G21" i="9"/>
  <c r="C32" i="9"/>
  <c r="C20" i="9"/>
  <c r="C103" i="9" l="1"/>
  <c r="G20" i="9"/>
  <c r="H118" i="9"/>
  <c r="C35" i="9"/>
  <c r="F118" i="9" s="1"/>
  <c r="C34" i="9" l="1"/>
  <c r="D118" i="9" s="1"/>
  <c r="D4" i="52" s="1"/>
  <c r="B47" i="72" s="1"/>
  <c r="F4" i="52"/>
  <c r="B51" i="72" s="1"/>
  <c r="G118" i="9"/>
  <c r="G4" i="52" s="1"/>
  <c r="B52" i="72" s="1"/>
  <c r="F119" i="9"/>
  <c r="F5" i="52" s="1"/>
  <c r="B53" i="72" s="1"/>
  <c r="D119" i="9"/>
  <c r="D5" i="52" s="1"/>
  <c r="B49" i="72" s="1"/>
  <c r="I118" i="9"/>
  <c r="H101" i="9"/>
  <c r="D14" i="74"/>
  <c r="C104" i="9"/>
  <c r="H119" i="9"/>
  <c r="H5" i="52" s="1"/>
  <c r="H4" i="52"/>
  <c r="H102" i="9" l="1"/>
  <c r="D7" i="53" s="1"/>
  <c r="B21" i="72" s="1"/>
  <c r="C105" i="9"/>
  <c r="I4" i="52"/>
  <c r="E118" i="9"/>
  <c r="E4" i="52" s="1"/>
  <c r="B48" i="72" s="1"/>
  <c r="B5" i="74"/>
  <c r="E14" i="74"/>
  <c r="F14" i="74"/>
  <c r="H109" i="9"/>
  <c r="M48" i="9"/>
  <c r="D45" i="9"/>
  <c r="D5" i="53"/>
  <c r="M49" i="9" l="1"/>
  <c r="H110" i="9"/>
  <c r="D18" i="53" s="1"/>
  <c r="B35" i="72" s="1"/>
  <c r="D16" i="53"/>
  <c r="D124" i="9"/>
  <c r="C93" i="9"/>
  <c r="C86" i="9" s="1"/>
  <c r="C78" i="9"/>
  <c r="C73" i="9" s="1"/>
  <c r="C85" i="9"/>
  <c r="D55" i="9"/>
  <c r="M53" i="9" s="1"/>
  <c r="C64" i="9"/>
  <c r="C63" i="9" s="1"/>
  <c r="C67" i="9" s="1"/>
  <c r="C68" i="9" s="1"/>
  <c r="D54" i="9" s="1"/>
  <c r="D53" i="9"/>
  <c r="D52" i="9"/>
  <c r="C72" i="9"/>
  <c r="C79" i="9" s="1"/>
  <c r="B20" i="72"/>
  <c r="D6" i="53"/>
  <c r="B22" i="72" s="1"/>
  <c r="D5" i="74"/>
  <c r="C5" i="74"/>
  <c r="C95" i="9" l="1"/>
  <c r="C96" i="9" s="1"/>
  <c r="E96" i="9" s="1"/>
  <c r="E97" i="9" s="1"/>
  <c r="C80" i="9"/>
  <c r="E80" i="9" s="1"/>
  <c r="E81" i="9" s="1"/>
  <c r="H14" i="74"/>
  <c r="B7" i="74" s="1"/>
  <c r="D10" i="52"/>
  <c r="D125" i="9"/>
  <c r="D11" i="52" s="1"/>
  <c r="D17" i="53"/>
  <c r="B36" i="72" s="1"/>
  <c r="B34" i="72"/>
  <c r="L68" i="9"/>
  <c r="M68" i="9" s="1"/>
  <c r="L66" i="9"/>
  <c r="M66" i="9" s="1"/>
  <c r="L65" i="9"/>
  <c r="M65" i="9" s="1"/>
  <c r="L64" i="9"/>
  <c r="M64" i="9" s="1"/>
  <c r="L67" i="9"/>
  <c r="M67" i="9" s="1"/>
  <c r="L63" i="9"/>
  <c r="M63" i="9" s="1"/>
  <c r="C81" i="9" l="1"/>
  <c r="M69" i="9"/>
  <c r="N69" i="9" s="1"/>
  <c r="D7" i="74"/>
  <c r="C7" i="74"/>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<sst xmlns="http://schemas.openxmlformats.org/spreadsheetml/2006/main" count="7872" uniqueCount="3306">
  <si>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</si>
  <si>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</si>
  <si>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</si>
  <si>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</si>
  <si>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</si>
  <si>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</si>
  <si>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</si>
  <si>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</si>
  <si>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</si>
  <si>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</si>
  <si>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</si>
  <si>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</si>
  <si>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</si>
  <si>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</si>
  <si>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</si>
  <si>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</si>
  <si>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</si>
  <si>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</si>
  <si>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</si>
  <si>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</si>
  <si>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</si>
  <si>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</si>
  <si>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</si>
  <si>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</si>
  <si>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</si>
  <si>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</si>
  <si>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</si>
  <si>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</si>
  <si>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</si>
  <si>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</si>
  <si>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</si>
  <si>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</si>
  <si>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</si>
  <si>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</si>
  <si>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</si>
  <si>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</si>
  <si>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</si>
  <si>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</si>
  <si>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</si>
  <si>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</si>
  <si>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</si>
  <si>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</si>
  <si>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</si>
  <si>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</si>
  <si>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</si>
  <si>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</si>
  <si>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</si>
  <si>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</si>
  <si>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</si>
  <si>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</si>
  <si>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</si>
  <si>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</si>
  <si>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</si>
  <si>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</si>
  <si>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</si>
  <si>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</si>
  <si>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</si>
  <si>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</si>
  <si>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</si>
  <si>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</si>
  <si>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</si>
  <si>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</si>
  <si>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</si>
  <si>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</si>
  <si>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</si>
  <si>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</si>
  <si>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</si>
  <si>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</si>
  <si>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</si>
  <si>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</si>
  <si>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</si>
  <si>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</si>
  <si>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</si>
  <si>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</si>
  <si>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</si>
  <si>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</si>
  <si>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</si>
  <si>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</si>
  <si>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</si>
  <si>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</si>
  <si>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</si>
  <si>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</si>
  <si>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</si>
  <si>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</si>
  <si>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</si>
  <si>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</si>
  <si>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</si>
  <si>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</si>
  <si>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</si>
  <si>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</si>
  <si>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</si>
  <si>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</si>
  <si>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</si>
  <si>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</si>
  <si>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</si>
  <si>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</si>
  <si>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</si>
  <si>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</si>
  <si>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</si>
  <si>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</si>
  <si>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</si>
  <si>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</si>
  <si>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</si>
  <si>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</si>
  <si>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</si>
  <si>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</si>
  <si>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</si>
  <si>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</si>
  <si>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</si>
  <si>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</si>
  <si>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</si>
  <si>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</si>
  <si>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</si>
  <si>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</si>
  <si>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</si>
  <si>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</si>
  <si>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</si>
  <si>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</si>
  <si>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</si>
  <si>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</si>
  <si>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</si>
  <si>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</si>
  <si>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</si>
  <si>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</si>
  <si>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</si>
  <si>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</si>
  <si>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</si>
  <si>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</si>
  <si>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</si>
  <si>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</si>
  <si>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</si>
  <si>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</si>
  <si>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</si>
  <si>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</si>
  <si>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</si>
  <si>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</si>
  <si>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</si>
  <si>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</si>
  <si>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</si>
  <si>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</si>
  <si>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</si>
  <si>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</si>
  <si>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</si>
  <si>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</si>
  <si>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</si>
  <si>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</si>
  <si>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</si>
  <si>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</si>
  <si>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</si>
  <si>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</si>
  <si>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</si>
  <si>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</si>
  <si>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</si>
  <si>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</si>
  <si>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</si>
  <si>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</si>
  <si>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</si>
  <si>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</si>
  <si>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</si>
  <si>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</si>
  <si>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</si>
  <si>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</si>
  <si>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</si>
  <si>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</si>
  <si>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</si>
  <si>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</si>
  <si>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</si>
  <si>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</si>
  <si>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</si>
  <si>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</si>
  <si>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</si>
  <si>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</si>
  <si>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</si>
  <si>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</si>
  <si>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</si>
  <si>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</si>
  <si>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</si>
  <si>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</si>
  <si>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</si>
  <si>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</si>
  <si>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</si>
  <si>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</si>
  <si>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</si>
  <si>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</si>
  <si>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</si>
  <si>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</si>
  <si>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</si>
  <si>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</si>
  <si>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</si>
  <si>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</si>
  <si>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</si>
  <si>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</si>
  <si>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</si>
  <si>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</si>
  <si>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</si>
  <si>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</si>
  <si>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</si>
  <si>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</si>
  <si>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</si>
  <si>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</si>
  <si>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</si>
  <si>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</si>
  <si>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</si>
  <si>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</si>
  <si>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</si>
  <si>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</si>
  <si>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</si>
  <si>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</si>
  <si>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</si>
  <si>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</si>
  <si>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</si>
  <si>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</si>
  <si>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</si>
  <si>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</si>
  <si>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</si>
  <si>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</si>
  <si>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</si>
  <si>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</si>
  <si>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</si>
  <si>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</si>
  <si>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</si>
  <si>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</si>
  <si>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</si>
  <si>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</si>
  <si>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</si>
  <si>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</si>
  <si>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</si>
  <si>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</si>
  <si>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</si>
  <si>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</si>
  <si>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</si>
  <si>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</si>
  <si>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</si>
  <si>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</si>
  <si>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</si>
  <si>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</si>
  <si>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</si>
  <si>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</si>
  <si>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</si>
  <si>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</si>
  <si>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</si>
  <si>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</si>
  <si>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</si>
  <si>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</si>
  <si>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</si>
  <si>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</si>
  <si>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</si>
  <si>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</si>
  <si>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</si>
  <si>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</si>
  <si>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</si>
  <si>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</si>
  <si>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</si>
  <si>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</si>
  <si>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</si>
  <si>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</si>
  <si>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</si>
  <si>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</si>
  <si>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</si>
  <si>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</si>
  <si>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</si>
  <si>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</si>
  <si>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</si>
  <si>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</si>
  <si>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</si>
  <si>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</si>
  <si>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</si>
  <si>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</si>
  <si>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</si>
  <si>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</si>
  <si>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</si>
  <si>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</si>
  <si>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</si>
  <si>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</si>
  <si>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</si>
  <si>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</si>
  <si>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</si>
  <si>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</si>
  <si>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</si>
  <si>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</si>
  <si>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</si>
  <si>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</si>
  <si>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</si>
  <si>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</si>
  <si>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</si>
  <si>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</si>
  <si>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</si>
  <si>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</si>
  <si>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</si>
  <si>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</si>
  <si>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</si>
  <si>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</si>
  <si>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</si>
  <si>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</si>
  <si>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</si>
  <si>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</si>
  <si>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</si>
  <si>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</si>
  <si>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</si>
  <si>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</si>
  <si>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</si>
  <si>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</si>
  <si>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</si>
  <si>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</si>
  <si>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</si>
  <si>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</si>
  <si>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</si>
  <si>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</si>
  <si>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</si>
  <si>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</si>
  <si>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</si>
  <si>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</si>
  <si>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</si>
  <si>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</si>
  <si>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</si>
  <si>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</si>
  <si>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</si>
  <si>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</si>
  <si>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</si>
  <si>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</si>
  <si>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</si>
  <si>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</si>
  <si>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</si>
  <si>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</si>
  <si>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</si>
  <si>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</si>
  <si>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</si>
  <si>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</si>
  <si>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</si>
  <si>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</si>
  <si>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</si>
  <si>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</si>
  <si>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</si>
  <si>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</si>
  <si>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</si>
  <si>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</si>
  <si>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</si>
  <si>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</si>
  <si>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</si>
  <si>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</si>
  <si>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</si>
  <si>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</si>
  <si>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</si>
  <si>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</si>
  <si>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</si>
  <si>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</si>
  <si>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</si>
  <si>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</si>
  <si>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</si>
  <si>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</si>
  <si>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</si>
  <si>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</si>
  <si>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</si>
  <si>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</si>
  <si>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</si>
  <si>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</si>
  <si>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</si>
  <si>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</si>
  <si>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</si>
  <si>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</si>
  <si>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</si>
  <si>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</si>
  <si>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</si>
  <si>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</si>
  <si>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</si>
  <si>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</si>
  <si>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</si>
  <si>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</si>
  <si>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</si>
  <si>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</si>
  <si>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</si>
  <si>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</si>
  <si>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</si>
  <si>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</si>
  <si>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</si>
  <si>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</si>
  <si>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</si>
  <si>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</si>
  <si>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</si>
  <si>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</si>
  <si>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</si>
  <si>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</si>
  <si>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</si>
  <si>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</si>
  <si>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</si>
  <si>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</si>
  <si>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</si>
  <si>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</si>
  <si>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</si>
  <si>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</si>
  <si>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</si>
  <si>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</si>
  <si>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</si>
  <si>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</si>
  <si>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</si>
  <si>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</si>
  <si>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</si>
  <si>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</si>
  <si>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</si>
  <si>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</si>
  <si>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</si>
  <si>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</si>
  <si>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</si>
  <si>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</si>
  <si>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</si>
  <si>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</si>
  <si>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</si>
  <si>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</si>
  <si>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</si>
  <si>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</si>
  <si>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</si>
  <si>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</si>
  <si>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</si>
  <si>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</si>
  <si>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</si>
  <si>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</si>
  <si>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</si>
  <si>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</si>
  <si>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</si>
  <si>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</si>
  <si>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</si>
  <si>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</si>
  <si>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</si>
  <si>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</si>
  <si>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</si>
  <si>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</si>
  <si>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</si>
  <si>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</si>
  <si>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</si>
  <si>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</si>
  <si>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</si>
  <si>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</si>
  <si>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</si>
  <si>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</si>
  <si>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</si>
  <si>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</si>
  <si>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</si>
  <si>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</si>
  <si>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</si>
  <si>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</si>
  <si>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</si>
  <si>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</si>
  <si>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</si>
  <si>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</si>
  <si>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</si>
  <si>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</si>
  <si>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</si>
  <si>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</si>
  <si>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</si>
  <si>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</si>
  <si>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</si>
  <si>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</si>
  <si>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</si>
  <si>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</si>
  <si>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</si>
  <si>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</si>
  <si>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</si>
  <si>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</si>
  <si>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</si>
  <si>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</si>
  <si>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</si>
  <si>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</si>
  <si>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</si>
  <si>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</si>
  <si>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</si>
  <si>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</si>
  <si>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</si>
  <si>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</si>
  <si>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</si>
  <si>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</si>
  <si>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</si>
  <si>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</si>
  <si>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</si>
  <si>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</si>
  <si>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</si>
  <si>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</si>
  <si>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</si>
  <si>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</si>
  <si>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</si>
  <si>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</si>
  <si>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</si>
  <si>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</si>
  <si>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</si>
  <si>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</si>
  <si>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</si>
  <si>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</si>
  <si>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</si>
  <si>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</si>
  <si>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</si>
  <si>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</si>
  <si>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</si>
  <si>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</si>
  <si>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</si>
  <si>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</si>
  <si>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</si>
  <si>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</si>
  <si>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</si>
  <si>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</si>
  <si>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</si>
  <si>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</si>
  <si>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</si>
  <si>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</si>
  <si>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</si>
  <si>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</si>
  <si>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</si>
  <si>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</si>
  <si>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</si>
  <si>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</si>
  <si>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</si>
  <si>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</si>
  <si>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</si>
  <si>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</si>
  <si>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</si>
  <si>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</si>
  <si>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</si>
  <si>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</si>
  <si>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</si>
  <si>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</si>
  <si>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</si>
  <si>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</si>
  <si>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</si>
  <si>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</si>
  <si>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</si>
  <si>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</si>
  <si>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</si>
  <si>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</si>
  <si>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</si>
  <si>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</si>
  <si>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</si>
  <si>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</si>
  <si>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</si>
  <si>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</si>
  <si>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</si>
  <si>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</si>
  <si>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</si>
  <si>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</si>
  <si>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</si>
  <si>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</si>
  <si>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</si>
  <si>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</si>
  <si>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</si>
  <si>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</si>
  <si>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</si>
  <si>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</si>
  <si>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</si>
  <si>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</si>
  <si>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</si>
  <si>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</si>
  <si>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</si>
  <si>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</si>
  <si>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</si>
  <si>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</si>
  <si>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</si>
  <si>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</si>
  <si>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</si>
  <si>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</si>
  <si>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</si>
  <si>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</si>
  <si>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</si>
  <si>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</si>
  <si>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</si>
  <si>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</si>
  <si>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</si>
  <si>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</si>
  <si>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</si>
  <si>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</si>
  <si>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</si>
  <si>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</si>
  <si>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</si>
  <si>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</si>
  <si>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</si>
  <si>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</si>
  <si>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</si>
  <si>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</si>
  <si>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</si>
  <si>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</si>
  <si>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</si>
  <si>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</si>
  <si>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</si>
  <si>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</si>
  <si>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</si>
  <si>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</si>
  <si>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</si>
  <si>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</si>
  <si>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</si>
  <si>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</si>
  <si>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</si>
  <si>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</si>
  <si>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</si>
  <si>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</si>
  <si>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</si>
  <si>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</si>
  <si>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</si>
  <si>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</si>
  <si>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</si>
  <si>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</si>
  <si>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</si>
  <si>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</si>
  <si>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</si>
  <si>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</si>
  <si>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</si>
  <si>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</si>
  <si>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</si>
  <si>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</si>
  <si>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</si>
  <si>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</si>
  <si>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</si>
  <si>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</si>
  <si>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</si>
  <si>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</si>
  <si>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</si>
  <si>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</si>
  <si>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</si>
  <si>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</si>
  <si>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</si>
  <si>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</si>
  <si>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</si>
  <si>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</si>
  <si>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</si>
  <si>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</si>
  <si>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</si>
  <si>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</si>
  <si>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</si>
  <si>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</si>
  <si>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</si>
  <si>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</si>
  <si>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</si>
  <si>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</si>
  <si>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</si>
  <si>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</si>
  <si>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</si>
  <si>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</si>
  <si>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</si>
  <si>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</si>
  <si>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</si>
  <si>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</si>
  <si>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</si>
  <si>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</si>
  <si>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</si>
  <si>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</si>
  <si>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</si>
  <si>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</si>
  <si>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</si>
  <si>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</si>
  <si>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</si>
  <si>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</si>
  <si>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</si>
  <si>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</si>
  <si>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</si>
  <si>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</si>
  <si>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</si>
  <si>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</si>
  <si>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</si>
  <si>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</si>
  <si>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</si>
  <si>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</si>
  <si>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</si>
  <si>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</si>
  <si>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</si>
  <si>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</si>
  <si>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</si>
  <si>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</si>
  <si>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</si>
  <si>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</si>
  <si>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</si>
  <si>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</si>
  <si>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</si>
  <si>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</si>
  <si>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</si>
  <si>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</si>
  <si>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</si>
  <si>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</si>
  <si>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</si>
  <si>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</si>
  <si>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</si>
  <si>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</si>
  <si>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</si>
  <si>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</si>
  <si>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</si>
  <si>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</si>
  <si>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</si>
  <si>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</si>
  <si>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</si>
  <si>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</si>
  <si>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</si>
  <si>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</si>
  <si>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</si>
  <si>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</si>
  <si>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</si>
  <si>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</si>
  <si>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</si>
  <si>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</si>
  <si>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</si>
  <si>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</si>
  <si>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</si>
  <si>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</si>
  <si>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</si>
  <si>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</si>
  <si>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</si>
  <si>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</si>
  <si>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</si>
  <si>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</si>
  <si>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</si>
  <si>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</si>
  <si>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</si>
  <si>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</si>
  <si>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</si>
  <si>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</si>
  <si>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</si>
  <si>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</si>
  <si>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</si>
  <si>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</si>
  <si>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</si>
  <si>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</si>
  <si>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</si>
  <si>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</si>
  <si>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</si>
  <si>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</si>
  <si>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</si>
  <si>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</si>
  <si>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</si>
  <si>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</si>
  <si>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</si>
  <si>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</si>
  <si>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</si>
  <si>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</si>
  <si>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</si>
  <si>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</si>
  <si>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</si>
  <si>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</si>
  <si>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</si>
  <si>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</si>
  <si>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</si>
  <si>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</si>
  <si>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</si>
  <si>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</si>
  <si>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</si>
  <si>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</si>
  <si>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</si>
  <si>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</si>
  <si>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</si>
  <si>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</si>
  <si>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</si>
  <si>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</si>
  <si>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</si>
  <si>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</si>
  <si>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</si>
  <si>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</si>
  <si>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</si>
  <si>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</si>
  <si>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</si>
  <si>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</si>
  <si>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</si>
  <si>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</si>
  <si>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</si>
  <si>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</si>
  <si>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</si>
  <si>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</si>
  <si>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</si>
  <si>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</si>
  <si>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</si>
  <si>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</si>
  <si>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</si>
  <si>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</si>
  <si>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</si>
  <si>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</si>
  <si>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</si>
  <si>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</si>
  <si>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</si>
  <si>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</si>
  <si>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</si>
  <si>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</si>
  <si>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</si>
  <si>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</si>
  <si>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</si>
  <si>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</si>
  <si>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</si>
  <si>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</si>
  <si>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</si>
  <si>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</si>
  <si>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</si>
  <si>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</si>
  <si>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</si>
  <si>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</si>
  <si>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</si>
  <si>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</si>
  <si>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</si>
  <si>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</si>
  <si>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</si>
  <si>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</si>
  <si>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</si>
  <si>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</si>
  <si>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</si>
  <si>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</si>
  <si>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</si>
  <si>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</si>
  <si>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</si>
  <si>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</si>
  <si>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</si>
  <si>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</si>
  <si>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</si>
  <si>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</si>
  <si>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</si>
  <si>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</si>
  <si>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</si>
  <si>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</si>
  <si>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</si>
  <si>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</si>
  <si>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</si>
  <si>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</si>
  <si>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</si>
  <si>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</si>
  <si>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</si>
  <si>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</si>
  <si>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</si>
  <si>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</si>
  <si>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</si>
  <si>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</si>
  <si>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</si>
  <si>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</si>
  <si>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</si>
  <si>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</si>
  <si>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</si>
  <si>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</si>
  <si>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</si>
  <si>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</si>
  <si>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</si>
  <si>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</si>
  <si>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</si>
  <si>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</si>
  <si>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</si>
  <si>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</si>
  <si>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</si>
  <si>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</si>
  <si>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</si>
  <si>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</si>
  <si>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</si>
  <si>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</si>
  <si>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</si>
  <si>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</si>
  <si>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</si>
  <si>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</si>
  <si>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</si>
  <si>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</si>
  <si>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</si>
  <si>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</si>
  <si>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</si>
  <si>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</si>
  <si>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</si>
  <si>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</si>
  <si>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</si>
  <si>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</si>
  <si>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</si>
  <si>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</si>
  <si>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</si>
  <si>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</si>
  <si>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</si>
  <si>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</si>
  <si>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</si>
  <si>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</si>
  <si>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</si>
  <si>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</si>
  <si>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</si>
  <si>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</si>
  <si>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</si>
  <si>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</si>
  <si>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</si>
  <si>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</si>
  <si>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</si>
  <si>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</si>
  <si>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</si>
  <si>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</si>
  <si>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</si>
  <si>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</si>
  <si>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</si>
  <si>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</si>
  <si>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</si>
  <si>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</si>
  <si>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</si>
  <si>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</si>
  <si>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</si>
  <si>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</si>
  <si>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</si>
  <si>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</si>
  <si>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</si>
  <si>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</si>
  <si>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</si>
  <si>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</si>
  <si>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</si>
  <si>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</si>
  <si>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</si>
  <si>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</si>
  <si>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</si>
  <si>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</si>
  <si>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</si>
  <si>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</si>
  <si>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</si>
  <si>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</si>
  <si>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</si>
  <si>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</si>
  <si>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</si>
  <si>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</si>
  <si>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</si>
  <si>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</si>
  <si>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</si>
  <si>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</si>
  <si>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</si>
  <si>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</si>
  <si>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</si>
  <si>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</si>
  <si>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</si>
  <si>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</si>
  <si>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</si>
  <si>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</si>
  <si>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</si>
  <si>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</si>
  <si>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</si>
  <si>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</si>
  <si>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</si>
  <si>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</si>
  <si>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</si>
  <si>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</si>
  <si>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</si>
  <si>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</si>
  <si>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</si>
  <si>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</si>
  <si>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</si>
  <si>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</si>
  <si>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</si>
  <si>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</si>
  <si>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</si>
  <si>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</si>
  <si>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</si>
  <si>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</si>
  <si>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</si>
  <si>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</si>
  <si>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</si>
  <si>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</si>
  <si>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</si>
  <si>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</si>
  <si>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</si>
  <si>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</si>
  <si>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</si>
  <si>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</si>
  <si>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</si>
  <si>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</si>
  <si>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</si>
  <si>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</si>
  <si>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</si>
  <si>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</si>
  <si>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</si>
  <si>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</si>
  <si>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</si>
  <si>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</si>
  <si>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</si>
  <si>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</si>
  <si>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</si>
  <si>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</si>
  <si>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</si>
  <si>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</si>
  <si>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</si>
  <si>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</si>
  <si>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</si>
  <si>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</si>
  <si>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</si>
  <si>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</si>
  <si>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</si>
  <si>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</si>
  <si>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</si>
  <si>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</si>
  <si>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</si>
  <si>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</si>
  <si>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</si>
  <si>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</si>
  <si>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</si>
  <si>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</si>
  <si>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</si>
  <si>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</si>
  <si>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</si>
  <si>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</si>
  <si>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</si>
  <si>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</si>
  <si>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</si>
  <si>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</si>
  <si>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</si>
  <si>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</si>
  <si>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</si>
  <si>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</si>
  <si>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</si>
  <si>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</si>
  <si>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</si>
  <si>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</si>
  <si>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</si>
  <si>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</si>
  <si>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</si>
  <si>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</si>
  <si>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</si>
  <si>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</si>
  <si>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</si>
  <si>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</si>
  <si>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</si>
  <si>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</si>
  <si>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</si>
  <si>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</si>
  <si>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</si>
  <si>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</si>
  <si>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</si>
  <si>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</si>
  <si>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</si>
  <si>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</si>
  <si>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</si>
  <si>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</si>
  <si>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</si>
  <si>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</si>
  <si>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</si>
  <si>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</si>
  <si>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</si>
  <si>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</si>
  <si>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</si>
  <si>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</si>
  <si>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</si>
  <si>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</si>
  <si>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</si>
  <si>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</si>
  <si>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</si>
  <si>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</si>
  <si>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</si>
  <si>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</si>
  <si>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</si>
  <si>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</si>
  <si>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</si>
  <si>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</si>
  <si>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</si>
  <si>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</si>
  <si>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</si>
  <si>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</si>
  <si>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</si>
  <si>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</si>
  <si>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</si>
  <si>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</si>
  <si>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</si>
  <si>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</si>
  <si>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</si>
  <si>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</si>
  <si>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</si>
  <si>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</si>
  <si>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</si>
  <si>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</si>
  <si>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</si>
  <si>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</si>
  <si>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</si>
  <si>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</si>
  <si>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</si>
  <si>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</si>
  <si>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</si>
  <si>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</si>
  <si>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</si>
  <si>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</si>
  <si>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</si>
  <si>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</si>
  <si>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</si>
  <si>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</si>
  <si>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</si>
  <si>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</si>
  <si>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</si>
  <si>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</si>
  <si>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</si>
  <si>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</si>
  <si>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</si>
  <si>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</si>
  <si>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</si>
  <si>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</si>
  <si>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</si>
  <si>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</si>
  <si>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</si>
  <si>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</si>
  <si>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</si>
  <si>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</si>
  <si>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</si>
  <si>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</si>
  <si>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</si>
  <si>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</si>
  <si>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</si>
  <si>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</si>
  <si>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</si>
  <si>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</si>
  <si>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</si>
  <si>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</si>
  <si>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</si>
  <si>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</si>
  <si>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</si>
  <si>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</si>
  <si>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</si>
  <si>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</si>
  <si>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</si>
  <si>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</si>
  <si>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</si>
  <si>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</si>
  <si>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</si>
  <si>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</si>
  <si>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</si>
  <si>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</si>
  <si>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</si>
  <si>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</si>
  <si>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</si>
  <si>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</si>
  <si>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</si>
  <si>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</si>
  <si>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</si>
  <si>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</si>
  <si>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</si>
  <si>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</si>
  <si>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</si>
  <si>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</si>
  <si>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</si>
  <si>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</si>
  <si>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</si>
  <si>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</si>
  <si>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</si>
  <si>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</si>
  <si>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</si>
  <si>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</si>
  <si>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</si>
  <si>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</si>
  <si>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</si>
  <si>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</si>
  <si>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</si>
  <si>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</si>
  <si>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</si>
  <si>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</si>
  <si>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</si>
  <si>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</si>
  <si>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</si>
  <si>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</si>
  <si>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</si>
  <si>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</si>
  <si>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</si>
  <si>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</si>
  <si>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</si>
  <si>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</si>
  <si>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</si>
  <si>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</si>
  <si>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</si>
  <si>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</si>
  <si>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</si>
  <si>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</si>
  <si>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</si>
  <si>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</si>
  <si>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</si>
  <si>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</si>
  <si>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</si>
  <si>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</si>
  <si>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</si>
  <si>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</si>
  <si>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</si>
  <si>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</si>
  <si>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</si>
  <si>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</si>
  <si>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</si>
  <si>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</si>
  <si>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</si>
  <si>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</si>
  <si>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</si>
  <si>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</si>
  <si>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</si>
  <si>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</si>
  <si>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</si>
  <si>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</si>
  <si>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</si>
  <si>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</si>
  <si>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</si>
  <si>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</si>
  <si>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</si>
  <si>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</si>
  <si>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</si>
  <si>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</si>
  <si>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</si>
  <si>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</si>
  <si>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</si>
  <si>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</si>
  <si>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</si>
  <si>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</si>
  <si>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</si>
  <si>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</si>
  <si>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</si>
  <si>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</si>
  <si>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</si>
  <si>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</si>
  <si>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</si>
  <si>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</si>
  <si>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</si>
  <si>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</si>
  <si>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</si>
  <si>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</si>
  <si>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</si>
  <si>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</si>
  <si>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</si>
  <si>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</si>
  <si>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</si>
  <si>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</si>
  <si>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</si>
  <si>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</si>
  <si>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</si>
  <si>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</si>
  <si>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</si>
  <si>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</si>
  <si>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</si>
  <si>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</si>
  <si>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</si>
  <si>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</si>
  <si>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</si>
  <si>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</si>
  <si>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</si>
  <si>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</si>
  <si>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</si>
  <si>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</si>
  <si>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</si>
  <si>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</si>
  <si>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</si>
  <si>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</si>
  <si>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</si>
  <si>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</si>
  <si>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</si>
  <si>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</si>
  <si>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</si>
  <si>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</si>
  <si>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</si>
  <si>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</si>
  <si>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</si>
  <si>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</si>
  <si>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</si>
  <si>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</si>
  <si>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</si>
  <si>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</si>
  <si>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</si>
  <si>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</si>
  <si>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</si>
  <si>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</si>
  <si>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</si>
  <si>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</si>
  <si>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</si>
  <si>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</si>
  <si>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</si>
  <si>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</si>
  <si>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</si>
  <si>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</si>
  <si>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</si>
  <si>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</si>
  <si>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</si>
  <si>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</si>
  <si>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</si>
  <si>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</si>
  <si>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</si>
  <si>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</si>
  <si>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</si>
  <si>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</si>
  <si>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</si>
  <si>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</si>
  <si>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</si>
  <si>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</si>
  <si>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</si>
  <si>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</si>
  <si>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</si>
  <si>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</si>
  <si>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</si>
  <si>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</si>
  <si>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</si>
  <si>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</si>
  <si>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</si>
  <si>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</si>
  <si>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</si>
  <si>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</si>
  <si>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</si>
  <si>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</si>
  <si>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</si>
  <si>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</si>
  <si>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</si>
  <si>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</si>
  <si>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</si>
  <si>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</si>
  <si>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</si>
  <si>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</si>
  <si>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</si>
  <si>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</si>
  <si>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</si>
  <si>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</si>
  <si>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</si>
  <si>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</si>
  <si>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</si>
  <si>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</si>
  <si>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</si>
  <si>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</si>
  <si>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</si>
  <si>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</si>
  <si>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</si>
  <si>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</si>
  <si>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</si>
  <si>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</si>
  <si>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</si>
  <si>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</si>
  <si>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</si>
  <si>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</si>
  <si>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</si>
  <si>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</si>
  <si>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</si>
  <si>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</si>
  <si>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</si>
  <si>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</si>
  <si>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</si>
  <si>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</si>
  <si>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</si>
  <si>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</si>
  <si>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</si>
  <si>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</si>
  <si>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</si>
  <si>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</si>
  <si>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</si>
  <si>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</si>
  <si>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</si>
  <si>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</si>
  <si>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</si>
  <si>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</si>
  <si>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</si>
  <si>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</si>
  <si>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</si>
  <si>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</si>
  <si>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</si>
  <si>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</si>
  <si>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</si>
  <si>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</si>
  <si>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</si>
  <si>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</si>
  <si>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</si>
  <si>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</si>
  <si>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</si>
  <si>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</si>
  <si>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</si>
  <si>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</si>
  <si>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</si>
  <si>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</si>
  <si>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</si>
  <si>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</si>
  <si>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</si>
  <si>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</si>
  <si>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</si>
  <si>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</si>
  <si>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</si>
  <si>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</si>
  <si>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</si>
  <si>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</si>
  <si>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</si>
  <si>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</si>
  <si>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</si>
  <si>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</si>
  <si>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</si>
  <si>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</si>
  <si>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</si>
  <si>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</si>
  <si>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</si>
  <si>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</si>
  <si>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</si>
  <si>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</si>
  <si>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</si>
  <si>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</si>
  <si>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</si>
  <si>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</si>
  <si>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</si>
  <si>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</si>
  <si>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</si>
  <si>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</si>
  <si>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</si>
  <si>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</si>
  <si>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</si>
  <si>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</si>
  <si>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</si>
  <si>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</si>
  <si>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</si>
  <si>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</si>
  <si>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</si>
  <si>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</si>
  <si>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</si>
  <si>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</si>
  <si>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</si>
  <si>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</si>
  <si>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</si>
  <si>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</si>
  <si>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</si>
  <si>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</si>
  <si>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</si>
  <si>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</si>
  <si>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</si>
  <si>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</si>
  <si>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</si>
  <si>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</si>
  <si>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</si>
  <si>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</si>
  <si>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</si>
  <si>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</si>
  <si>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</si>
  <si>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</si>
  <si>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</si>
  <si>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</si>
  <si>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</si>
  <si>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</si>
  <si>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</si>
  <si>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</si>
  <si>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</si>
  <si>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</si>
  <si>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</si>
  <si>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</si>
  <si>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</si>
  <si>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</si>
  <si>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</si>
  <si>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</si>
  <si>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</si>
  <si>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</si>
  <si>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</si>
  <si>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</si>
  <si>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</si>
  <si>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</si>
  <si>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</si>
  <si>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</si>
  <si>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</si>
  <si>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</si>
  <si>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</si>
  <si>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</si>
  <si>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</si>
  <si>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</si>
  <si>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</si>
  <si>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</si>
  <si>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</si>
  <si>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</si>
  <si>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</si>
  <si>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</si>
  <si>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</si>
  <si>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</si>
  <si>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</si>
  <si>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</si>
  <si>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</si>
  <si>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</si>
  <si>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</si>
  <si>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</si>
  <si>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</si>
  <si>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</si>
  <si>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</si>
  <si>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</si>
  <si>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</si>
  <si>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</si>
  <si>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</si>
  <si>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</si>
  <si>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</si>
  <si>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</si>
  <si>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</si>
  <si>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</si>
  <si>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</si>
  <si>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</si>
  <si>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</si>
  <si>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</si>
  <si>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</si>
  <si>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</si>
  <si>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</si>
  <si>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</si>
  <si>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</si>
  <si>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</si>
  <si>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</si>
  <si>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</si>
  <si>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</si>
  <si>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</si>
  <si>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</si>
  <si>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</si>
  <si>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</si>
  <si>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</si>
  <si>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</si>
  <si>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</si>
  <si>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</si>
  <si>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</si>
  <si>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</si>
  <si>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</si>
  <si>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</si>
  <si>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</si>
  <si>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</si>
  <si>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</si>
  <si>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</si>
  <si>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</si>
  <si>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</si>
  <si>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</si>
  <si>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</si>
  <si>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</si>
  <si>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</si>
  <si>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</si>
  <si>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</si>
  <si>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</si>
  <si>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</si>
  <si>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</si>
  <si>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</si>
  <si>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</si>
  <si>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</si>
  <si>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</si>
  <si>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</si>
  <si>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</si>
  <si>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</si>
  <si>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</si>
  <si>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</si>
  <si>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</si>
  <si>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</si>
  <si>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</si>
  <si>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</si>
  <si>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</si>
  <si>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</si>
  <si>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</si>
  <si>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</si>
  <si>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</si>
  <si>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</si>
  <si>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</si>
  <si>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</si>
  <si>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</si>
  <si>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</si>
  <si>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</si>
  <si>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</si>
  <si>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</si>
  <si>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</si>
  <si>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</si>
  <si>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</si>
  <si>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</si>
  <si>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</si>
  <si>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</si>
  <si>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</si>
  <si>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</si>
  <si>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</si>
  <si>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</si>
  <si>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</si>
  <si>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</si>
  <si>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</si>
  <si>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</si>
  <si>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</si>
  <si>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</si>
  <si>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</si>
  <si>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</si>
  <si>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</si>
  <si>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</si>
  <si>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</si>
  <si>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</si>
  <si>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</si>
  <si>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</si>
  <si>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</si>
  <si>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</si>
  <si>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</si>
  <si>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</si>
  <si>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</si>
  <si>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</si>
  <si>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</si>
  <si>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</si>
  <si>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</si>
  <si>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</si>
  <si>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</si>
  <si>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</si>
  <si>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</si>
  <si>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</si>
  <si>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</si>
  <si>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</si>
  <si>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</si>
  <si>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</si>
  <si>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</si>
  <si>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</si>
  <si>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</si>
  <si>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</si>
  <si>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</si>
  <si>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</si>
  <si>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</si>
  <si>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</si>
  <si>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</si>
  <si>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</si>
  <si>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</si>
  <si>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</si>
  <si>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</si>
  <si>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</si>
  <si>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</si>
  <si>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</si>
  <si>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</si>
  <si>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</si>
  <si>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</si>
  <si>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</si>
  <si>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</si>
  <si>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</si>
  <si>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</si>
  <si>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</si>
  <si>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</si>
  <si>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</si>
  <si>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</si>
  <si>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</si>
  <si>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</si>
  <si>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</si>
  <si>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</si>
  <si>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</si>
  <si>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</si>
  <si>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</si>
  <si>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</si>
  <si>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</si>
  <si>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</si>
  <si>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</si>
  <si>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</si>
  <si>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</si>
  <si>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</si>
  <si>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</si>
  <si>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</si>
  <si>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</si>
  <si>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</si>
  <si>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</si>
  <si>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</si>
  <si>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</si>
  <si>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</si>
  <si>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</si>
  <si>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</si>
  <si>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</si>
  <si>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</si>
  <si>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</si>
  <si>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</si>
  <si>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</si>
  <si>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</si>
  <si>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</si>
  <si>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</si>
  <si>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</si>
  <si>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</si>
  <si>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</si>
  <si>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</si>
  <si>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</si>
  <si>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</si>
  <si>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</si>
  <si>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</si>
  <si>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</si>
  <si>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</si>
  <si>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</si>
  <si>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</si>
  <si>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</si>
  <si>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</si>
  <si>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</si>
  <si>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</si>
  <si>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</si>
  <si>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</si>
  <si>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</si>
  <si>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</si>
  <si>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</si>
  <si>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</si>
  <si>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</si>
  <si>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</si>
  <si>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</si>
  <si>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</si>
  <si>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</si>
  <si>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</si>
  <si>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</si>
  <si>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</si>
  <si>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</si>
  <si>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</si>
  <si>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</si>
  <si>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</si>
  <si>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</si>
  <si>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</si>
  <si>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</si>
  <si>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</si>
  <si>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</si>
  <si>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</si>
  <si>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</si>
  <si>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</si>
  <si>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</si>
  <si>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</si>
  <si>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</si>
  <si>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</si>
  <si>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</si>
  <si>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</si>
  <si>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</si>
  <si>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</si>
  <si>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</si>
  <si>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</si>
  <si>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</si>
  <si>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</si>
  <si>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</si>
  <si>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</si>
  <si>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</si>
  <si>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</si>
  <si>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</si>
  <si>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</si>
  <si>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</si>
  <si>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</si>
  <si>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</si>
  <si>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</si>
  <si>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</si>
  <si>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</si>
  <si>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</si>
  <si>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</si>
  <si>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</si>
  <si>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</si>
  <si>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</si>
  <si>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</si>
  <si>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</si>
  <si>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</si>
  <si>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</si>
  <si>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</si>
  <si>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</si>
  <si>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</si>
  <si>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</si>
  <si>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</si>
  <si>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</si>
  <si>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</si>
  <si>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</si>
  <si>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</si>
  <si>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</si>
  <si>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</si>
  <si>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</si>
  <si>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</si>
  <si>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</si>
  <si>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</si>
  <si>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</si>
  <si>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</si>
  <si>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</si>
  <si>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</si>
  <si>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</si>
  <si>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</si>
  <si>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</si>
  <si>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</si>
  <si>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</si>
  <si>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</si>
  <si>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</si>
  <si>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</si>
  <si>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</si>
  <si>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</si>
  <si>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</si>
  <si>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</si>
  <si>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</si>
  <si>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</si>
  <si>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</si>
  <si>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</si>
  <si>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</si>
  <si>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</si>
  <si>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</si>
  <si>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</si>
  <si>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</si>
  <si>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</si>
  <si>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</si>
  <si>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</si>
  <si>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</si>
  <si>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</si>
  <si>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</si>
  <si>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</si>
  <si>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</si>
  <si>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</si>
  <si>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</si>
  <si>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</si>
  <si>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</si>
  <si>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</si>
  <si>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</si>
  <si>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</si>
  <si>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</si>
  <si>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</si>
  <si>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</si>
  <si>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</si>
  <si>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</si>
  <si>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</si>
  <si>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</si>
  <si>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</si>
  <si>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</si>
  <si>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</si>
  <si>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</si>
  <si>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</si>
  <si>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</si>
  <si>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</si>
  <si>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</si>
  <si>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</si>
  <si>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</si>
  <si>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</si>
  <si>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</si>
  <si>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</si>
  <si>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</si>
  <si>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</si>
  <si>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</si>
  <si>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</si>
  <si>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</si>
  <si>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</si>
  <si>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</si>
  <si>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</si>
  <si>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</si>
  <si>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</si>
  <si>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</si>
  <si>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</si>
  <si>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</si>
  <si>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</si>
  <si>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</si>
  <si>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</si>
  <si>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</si>
  <si>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</si>
  <si>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</si>
  <si>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</si>
  <si>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</si>
  <si>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</si>
  <si>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</si>
  <si>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</si>
  <si>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</si>
  <si>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</si>
  <si>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</si>
  <si>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</si>
  <si>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</si>
  <si>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</si>
  <si>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</si>
  <si>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</si>
  <si>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</si>
  <si>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</si>
  <si>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</si>
  <si>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</si>
  <si>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</si>
  <si>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</si>
  <si>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</si>
  <si>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</si>
  <si>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</si>
  <si>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</si>
  <si>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</si>
  <si>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</si>
  <si>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</si>
  <si>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</si>
  <si>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</si>
  <si>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</si>
  <si>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</si>
  <si>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</si>
  <si>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</si>
  <si>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</si>
  <si>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</si>
  <si>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</si>
  <si>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</si>
  <si>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</si>
  <si>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</si>
  <si>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</si>
  <si>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</si>
  <si>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</si>
  <si>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</si>
  <si>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</si>
  <si>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</si>
  <si>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</si>
  <si>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</si>
  <si>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</si>
  <si>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</si>
  <si>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</si>
  <si>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</si>
  <si>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</si>
  <si>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</si>
  <si>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</si>
  <si>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</si>
  <si>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</si>
  <si>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</si>
  <si>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</si>
  <si>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</si>
  <si>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</si>
  <si>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</si>
  <si>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</si>
  <si>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</si>
  <si>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</si>
  <si>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</si>
  <si>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</si>
  <si>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</si>
  <si>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</si>
  <si>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</si>
  <si>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</si>
  <si>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</si>
  <si>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</si>
  <si>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</si>
  <si>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</si>
  <si>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</si>
  <si>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</si>
  <si>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</si>
  <si>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</si>
  <si>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</si>
  <si>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</si>
  <si>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</si>
  <si>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</si>
  <si>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</si>
  <si>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</si>
  <si>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</si>
  <si>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</si>
  <si>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</si>
  <si>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</si>
  <si>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</si>
  <si>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</si>
  <si>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</si>
  <si>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</si>
  <si>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</si>
  <si>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</si>
  <si>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</si>
  <si>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</si>
  <si>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</si>
  <si>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</si>
  <si>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</si>
  <si>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</si>
  <si>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</si>
  <si>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</si>
  <si>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</si>
  <si>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</si>
  <si>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</si>
  <si>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</si>
  <si>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</si>
  <si>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</si>
  <si>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</si>
  <si>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</si>
  <si>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</si>
  <si>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</si>
  <si>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</si>
  <si>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</si>
  <si>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</si>
  <si>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</si>
  <si>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</si>
  <si>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</si>
  <si>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</si>
  <si>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</si>
  <si>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</si>
  <si>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</si>
  <si>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</si>
  <si>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</si>
  <si>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</si>
  <si>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</si>
  <si>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</si>
  <si>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</si>
  <si>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</si>
  <si>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</si>
  <si>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</si>
  <si>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</si>
  <si>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</si>
  <si>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</si>
  <si>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</si>
  <si>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</si>
  <si>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</si>
  <si>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</si>
  <si>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</si>
  <si>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</si>
  <si>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</si>
  <si>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</si>
  <si>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</si>
  <si>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</si>
  <si>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</si>
  <si>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</si>
  <si>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</si>
  <si>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</si>
  <si>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</si>
  <si>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</si>
  <si>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</si>
  <si>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</si>
  <si>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</si>
  <si>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</si>
  <si>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</si>
  <si>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</si>
  <si>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</si>
  <si>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</si>
  <si>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</si>
  <si>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</si>
  <si>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</si>
  <si>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</si>
  <si>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</si>
  <si>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</si>
  <si>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</si>
  <si>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</si>
  <si>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</si>
  <si>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</si>
  <si>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</si>
  <si>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</si>
  <si>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</si>
  <si>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</si>
  <si>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</si>
  <si>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</si>
  <si>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</si>
  <si>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</si>
  <si>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</si>
  <si>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</si>
  <si>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</si>
  <si>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</si>
  <si>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</si>
  <si>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</si>
  <si>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</si>
  <si>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</si>
  <si>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</si>
  <si>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</si>
  <si>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</si>
  <si>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</si>
  <si>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</si>
  <si>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</si>
  <si>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</si>
  <si>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</si>
  <si>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</si>
  <si>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</si>
  <si>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</si>
  <si>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</si>
  <si>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</si>
  <si>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</si>
  <si>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</si>
  <si>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</si>
  <si>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</si>
  <si>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</si>
  <si>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</si>
  <si>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</si>
  <si>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</si>
  <si>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</si>
  <si>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</si>
  <si>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</si>
  <si>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</si>
  <si>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</si>
  <si>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</si>
  <si>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</si>
  <si>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</si>
  <si>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</si>
  <si>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</si>
  <si>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</si>
  <si>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</si>
  <si>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</si>
  <si>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</si>
  <si>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</si>
  <si>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</si>
  <si>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</si>
  <si>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</si>
  <si>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</si>
  <si>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</si>
  <si>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</si>
  <si>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</si>
  <si>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</si>
  <si>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</si>
  <si>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</si>
  <si>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</si>
  <si>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</si>
  <si>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</si>
  <si>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</si>
  <si>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</si>
  <si>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</si>
  <si>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</si>
  <si>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</si>
  <si>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</si>
  <si>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</si>
  <si>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</si>
  <si>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</si>
  <si>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</si>
  <si>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</si>
  <si>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</si>
  <si>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</si>
  <si>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</si>
  <si>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</si>
  <si>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</si>
  <si>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</si>
  <si>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</si>
  <si>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</si>
  <si>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</si>
  <si>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</si>
  <si>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</si>
  <si>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</si>
  <si>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</si>
  <si>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</si>
  <si>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</si>
  <si>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</si>
  <si>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</si>
  <si>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</si>
  <si>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</si>
  <si>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</si>
  <si>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</si>
  <si>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</si>
  <si>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</si>
  <si>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</si>
  <si>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</si>
  <si>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</si>
  <si>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</si>
  <si>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</si>
  <si>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</si>
  <si>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</si>
  <si>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</si>
  <si>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</si>
  <si>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</si>
  <si>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</si>
  <si>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</si>
  <si>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</si>
  <si>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</si>
  <si>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</si>
  <si>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</si>
  <si>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</si>
  <si>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</si>
  <si>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</si>
  <si>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</si>
  <si>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</si>
  <si>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</si>
  <si>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</si>
  <si>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</si>
  <si>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</si>
  <si>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</si>
  <si>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</si>
  <si>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</si>
  <si>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</si>
  <si>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</si>
  <si>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</si>
  <si>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</si>
  <si>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</si>
  <si>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</si>
  <si>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</si>
  <si>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</si>
  <si>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</si>
  <si>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</si>
  <si>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</si>
  <si>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</si>
  <si>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</si>
  <si>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</si>
  <si>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</si>
  <si>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</si>
  <si>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</si>
  <si>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</si>
  <si>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</si>
  <si>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</si>
  <si>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</si>
  <si>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</si>
  <si>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</si>
  <si>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</si>
  <si>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</si>
  <si>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</si>
  <si>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</si>
  <si>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</si>
  <si>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</si>
  <si>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</si>
  <si>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</si>
  <si>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</si>
  <si>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</si>
  <si>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</si>
  <si>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</si>
  <si>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</si>
  <si>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</si>
  <si>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</si>
  <si>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</si>
  <si>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</si>
  <si>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</si>
  <si>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</si>
  <si>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</si>
  <si>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</si>
  <si>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</si>
  <si>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</si>
  <si>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</si>
  <si>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</si>
  <si>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</si>
  <si>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</si>
  <si>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</si>
  <si>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</si>
  <si>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</si>
  <si>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</si>
  <si>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</si>
  <si>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</si>
  <si>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</si>
  <si>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</si>
  <si>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</si>
  <si>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</si>
  <si>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</si>
  <si>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</si>
  <si>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</si>
  <si>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</si>
  <si>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</si>
  <si>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</si>
  <si>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</si>
  <si>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</si>
  <si>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</si>
  <si>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</si>
  <si>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</si>
  <si>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</si>
  <si>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</si>
  <si>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</si>
  <si>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</si>
  <si>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</si>
  <si>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</si>
  <si>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</si>
  <si>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</si>
  <si>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</si>
  <si>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</si>
  <si>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</si>
  <si>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</si>
  <si>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</si>
  <si>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</si>
  <si>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</si>
  <si>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</si>
  <si>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</si>
  <si>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</si>
  <si>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</si>
  <si>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</si>
  <si>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</si>
  <si>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</si>
  <si>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</si>
  <si>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</si>
  <si>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</si>
  <si>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</si>
  <si>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</si>
  <si>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</si>
  <si>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</si>
  <si>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</si>
  <si>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</si>
  <si>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</si>
  <si>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</si>
  <si>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</si>
  <si>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</si>
  <si>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</si>
  <si>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</si>
  <si>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</si>
  <si>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</si>
  <si>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</si>
  <si>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</si>
  <si>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</si>
  <si>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</si>
  <si>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</si>
  <si>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</si>
  <si>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</si>
  <si>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</si>
  <si>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</si>
  <si>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</si>
  <si>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</si>
  <si>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</si>
  <si>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</si>
  <si>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</si>
  <si>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</si>
  <si>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</si>
  <si>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</si>
  <si>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</si>
  <si>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</si>
  <si>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</si>
  <si>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</si>
  <si>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</si>
  <si>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</si>
  <si>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</si>
  <si>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</si>
  <si>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</si>
  <si>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</si>
  <si>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</si>
  <si>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</si>
  <si>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</si>
  <si>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</si>
  <si>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</si>
  <si>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</si>
  <si>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</si>
  <si>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</si>
  <si>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</si>
  <si>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</si>
  <si>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</si>
  <si>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</si>
  <si>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</si>
  <si>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</si>
  <si>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</si>
  <si>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</si>
  <si>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</si>
  <si>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</si>
  <si>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</si>
  <si>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</si>
  <si>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</si>
  <si>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</si>
  <si>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</si>
  <si>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</si>
  <si>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</si>
  <si>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</si>
  <si>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</si>
  <si>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</si>
  <si>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</si>
  <si>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</si>
  <si>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</si>
  <si>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</si>
  <si>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</si>
  <si>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</si>
  <si>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</si>
  <si>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</si>
  <si>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</si>
  <si>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</si>
  <si>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</si>
  <si>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</si>
  <si>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</si>
  <si>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</si>
  <si>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</si>
  <si>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</si>
  <si>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</si>
  <si>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</si>
  <si>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</si>
  <si>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</si>
  <si>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</si>
  <si>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</si>
  <si>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</si>
  <si>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</si>
  <si>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</si>
  <si>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</si>
  <si>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</si>
  <si>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</si>
  <si>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</si>
  <si>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</si>
  <si>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</si>
  <si>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</si>
  <si>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</si>
  <si>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</si>
  <si>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</si>
  <si>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</si>
  <si>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</si>
  <si>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</si>
  <si>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</si>
  <si>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</si>
  <si>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</si>
  <si>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</si>
  <si>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</si>
  <si>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</si>
  <si>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</si>
  <si>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</si>
  <si>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</si>
  <si>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</si>
  <si>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</si>
  <si>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</si>
  <si>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</si>
  <si>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</si>
  <si>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</si>
  <si>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</si>
  <si>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</si>
  <si>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</si>
  <si>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</si>
  <si>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</si>
  <si>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</si>
  <si>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</si>
  <si>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</si>
  <si>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</si>
  <si>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</si>
  <si>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</si>
  <si>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</si>
  <si>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</si>
  <si>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</si>
  <si>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</si>
  <si>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</si>
  <si>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</si>
  <si>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</si>
  <si>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</si>
  <si>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</si>
  <si>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</si>
  <si>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</si>
  <si>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</si>
  <si>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</si>
  <si>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</si>
  <si>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</si>
  <si>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</si>
  <si>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</si>
  <si>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</si>
  <si>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</si>
  <si>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</si>
  <si>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</si>
  <si>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</si>
  <si>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</si>
  <si>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</si>
  <si>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</si>
  <si>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</si>
  <si>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</si>
  <si>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</si>
  <si>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</si>
  <si>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</si>
  <si>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</si>
  <si>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</si>
  <si>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</si>
  <si>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</si>
  <si>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</si>
  <si>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</si>
  <si>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</si>
  <si>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</si>
  <si>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</si>
  <si>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</si>
  <si>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</si>
  <si>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</si>
  <si>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</si>
  <si>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</si>
  <si>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</si>
  <si>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</si>
  <si>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</si>
  <si>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</si>
  <si>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</si>
  <si>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</si>
  <si>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</si>
  <si>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</si>
  <si>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</si>
  <si>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</si>
  <si>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</si>
  <si>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</si>
  <si>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</si>
  <si>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</si>
  <si>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</si>
  <si>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</si>
  <si>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</si>
  <si>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</si>
  <si>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</si>
  <si>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</si>
  <si>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</si>
  <si>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</si>
  <si>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</si>
  <si>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</si>
  <si>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</si>
  <si>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</si>
  <si>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</si>
  <si>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</si>
  <si>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</si>
  <si>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</si>
  <si>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</si>
  <si>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</si>
  <si>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</si>
  <si>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</si>
  <si>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</si>
  <si>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</si>
  <si>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</si>
  <si>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</si>
  <si>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</si>
  <si>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</si>
  <si>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</si>
  <si>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</si>
  <si>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</si>
  <si>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</si>
  <si>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</si>
  <si>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</si>
  <si>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</si>
  <si>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</si>
  <si>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</si>
  <si>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</si>
  <si>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</si>
  <si>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</si>
  <si>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</si>
  <si>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</si>
  <si>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</si>
  <si>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</si>
  <si>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</si>
  <si>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</si>
  <si>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</si>
  <si>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</si>
  <si>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</si>
  <si>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</si>
  <si>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</si>
  <si>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</si>
  <si>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</si>
  <si>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</si>
  <si>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</si>
  <si>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</si>
  <si>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</si>
  <si>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</si>
  <si>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</si>
  <si>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</si>
  <si>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</si>
  <si>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</si>
  <si>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</si>
  <si>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</si>
  <si>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</si>
  <si>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</si>
  <si>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</si>
  <si>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</si>
  <si>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</si>
  <si>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</si>
  <si>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</si>
  <si>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</si>
  <si>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</si>
  <si>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</si>
  <si>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</si>
  <si>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</si>
  <si>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</si>
  <si>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</si>
  <si>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</si>
  <si>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</si>
  <si>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</si>
  <si>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</si>
  <si>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</si>
  <si>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</si>
  <si>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</si>
  <si>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</si>
  <si>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</si>
  <si>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</si>
  <si>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</si>
  <si>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</si>
  <si>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</si>
  <si>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</si>
  <si>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</si>
  <si>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</si>
  <si>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</si>
  <si>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</si>
  <si>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</si>
  <si>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</si>
  <si>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</si>
  <si>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</si>
  <si>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</si>
  <si>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</si>
  <si>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</si>
  <si>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</si>
  <si>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</si>
  <si>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</si>
  <si>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</si>
  <si>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</si>
  <si>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</si>
  <si>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</si>
  <si>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</si>
  <si>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</si>
  <si>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</si>
  <si>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</si>
  <si>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</si>
  <si>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</si>
  <si>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</si>
  <si>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</si>
  <si>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</si>
  <si>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</si>
  <si>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</si>
  <si>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</si>
  <si>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</si>
  <si>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</si>
  <si>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</si>
  <si>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</si>
  <si>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</si>
  <si>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</si>
  <si>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</si>
  <si>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</si>
  <si>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</si>
  <si>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</si>
  <si>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</si>
  <si>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</si>
  <si>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</si>
  <si>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</si>
  <si>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</si>
  <si>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</si>
  <si>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</si>
  <si>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</si>
  <si>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</si>
  <si>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</si>
  <si>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</si>
  <si>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</si>
  <si>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</si>
  <si>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</si>
  <si>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</si>
  <si>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</si>
  <si>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</si>
  <si>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</si>
  <si>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</si>
  <si>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</si>
  <si>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</si>
  <si>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</si>
  <si>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</si>
  <si>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</si>
  <si>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</si>
  <si>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</si>
  <si>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</si>
  <si>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</si>
  <si>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</si>
  <si>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</si>
  <si>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</si>
  <si>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</si>
  <si>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</si>
  <si>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</si>
  <si>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</si>
  <si>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</si>
  <si>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</si>
  <si>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</si>
  <si>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</si>
  <si>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</si>
  <si>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</si>
  <si>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</si>
  <si>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</si>
  <si>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</si>
  <si>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</si>
  <si>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</si>
  <si>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</si>
  <si>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</si>
  <si>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</si>
  <si>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</si>
  <si>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</si>
  <si>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</si>
  <si>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</si>
  <si>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</si>
  <si>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</si>
  <si>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</si>
  <si>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</si>
  <si>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</si>
  <si>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</si>
  <si>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</si>
  <si>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</si>
  <si>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</si>
  <si>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</si>
  <si>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</si>
  <si>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</si>
  <si>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</si>
  <si>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</si>
  <si>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</si>
  <si>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</si>
  <si>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</si>
  <si>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</si>
  <si>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</si>
  <si>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</si>
  <si>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</si>
  <si>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</si>
  <si>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</si>
  <si>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</si>
  <si>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</si>
  <si>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</si>
  <si>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</si>
  <si>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</si>
  <si>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</si>
  <si>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</si>
  <si>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</si>
  <si>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</si>
  <si>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</si>
  <si>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</si>
  <si>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</si>
  <si>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</si>
  <si>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</si>
  <si>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</si>
  <si>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</si>
  <si>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</si>
  <si>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</si>
  <si>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</si>
  <si>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</si>
  <si>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</si>
  <si>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</si>
  <si>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</si>
  <si>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</si>
  <si>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</si>
  <si>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</si>
  <si>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</si>
  <si>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</si>
  <si>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</si>
  <si>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</si>
  <si>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</si>
  <si>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</si>
  <si>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</si>
  <si>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</si>
  <si>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</si>
  <si>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</si>
  <si>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</si>
  <si>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</si>
  <si>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</si>
  <si>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</si>
  <si>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</si>
  <si>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</si>
  <si>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</si>
  <si>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</si>
  <si>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</si>
  <si>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</si>
  <si>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</si>
  <si>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</si>
  <si>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</si>
  <si>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</si>
  <si>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</si>
  <si>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</si>
  <si>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</si>
  <si>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</si>
  <si>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</si>
  <si>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</si>
  <si>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</si>
  <si>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</si>
  <si>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</si>
  <si>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</si>
  <si>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</si>
  <si>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</si>
  <si>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</si>
  <si>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</si>
  <si>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</si>
  <si>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</si>
  <si>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</si>
  <si>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</si>
  <si>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</si>
  <si>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</si>
  <si>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</si>
  <si>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</si>
  <si>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</si>
  <si>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</si>
  <si>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</si>
  <si>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</si>
  <si>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</si>
  <si>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</si>
  <si>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</si>
  <si>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</si>
  <si>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</si>
  <si>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</si>
  <si>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</si>
  <si>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</si>
  <si>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</si>
  <si>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</si>
  <si>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</si>
  <si>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</si>
  <si>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</si>
  <si>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</si>
  <si>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</si>
  <si>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</si>
  <si>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</si>
  <si>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</si>
  <si>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</si>
  <si>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</si>
  <si>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</si>
  <si>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</si>
  <si>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</si>
  <si>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</si>
  <si>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</si>
  <si>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</si>
  <si>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</si>
  <si>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</si>
  <si>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</si>
  <si>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</si>
  <si>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</si>
  <si>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</si>
  <si>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</si>
  <si>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</si>
  <si>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</si>
  <si>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</si>
  <si>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</si>
  <si>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</si>
  <si>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</si>
  <si>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</si>
  <si>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</si>
  <si>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</si>
  <si>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</si>
  <si>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</si>
  <si>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</si>
  <si>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</si>
  <si>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</si>
  <si>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</si>
  <si>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</si>
  <si>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</si>
  <si>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</si>
  <si>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</si>
  <si>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</si>
  <si>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</si>
  <si>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</si>
  <si>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</si>
  <si>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</si>
  <si>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</si>
  <si>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</si>
  <si>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</si>
  <si>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</si>
  <si>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</si>
  <si>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</si>
  <si>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</si>
  <si>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</si>
  <si>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</si>
  <si>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</si>
  <si>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</si>
  <si>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</si>
  <si>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</si>
  <si>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</si>
  <si>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</si>
  <si>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</si>
  <si>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</si>
  <si>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</si>
  <si>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</si>
  <si>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</si>
  <si>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</si>
  <si>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</si>
  <si>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</si>
  <si>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</si>
  <si>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</si>
  <si>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</si>
  <si>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</si>
  <si>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</si>
  <si>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</si>
  <si>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</si>
  <si>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</si>
  <si>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</si>
  <si>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</si>
  <si>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</si>
  <si>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</si>
  <si>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</si>
  <si>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</si>
  <si>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</si>
  <si>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</si>
  <si>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</si>
  <si>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</si>
  <si>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</si>
  <si>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</si>
  <si>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</si>
  <si>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</si>
  <si>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</si>
  <si>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</si>
  <si>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</si>
  <si>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</si>
  <si>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</si>
  <si>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</si>
  <si>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</si>
  <si>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</si>
  <si>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</si>
  <si>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</si>
  <si>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</si>
  <si>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</si>
  <si>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</si>
  <si>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</si>
  <si>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</si>
  <si>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</si>
  <si>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</si>
  <si>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</si>
  <si>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</si>
  <si>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</si>
  <si>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</si>
  <si>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</si>
  <si>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</si>
  <si>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</si>
  <si>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</si>
  <si>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</si>
  <si>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</si>
  <si>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</si>
  <si>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</si>
  <si>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</si>
  <si>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</si>
  <si>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</si>
  <si>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</si>
  <si>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</si>
  <si>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</si>
  <si>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</si>
  <si>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</si>
  <si>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</si>
  <si>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</si>
  <si>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</si>
  <si>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</si>
  <si>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</si>
  <si>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</si>
  <si>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</si>
  <si>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</si>
  <si>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</si>
  <si>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</si>
  <si>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</si>
  <si>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</si>
  <si>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</si>
  <si>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</si>
  <si>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</si>
  <si>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</si>
  <si>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</si>
  <si>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</si>
  <si>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</si>
  <si>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</si>
  <si>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</si>
  <si>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</si>
  <si>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</si>
  <si>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</si>
  <si>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</si>
  <si>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</si>
  <si>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</si>
  <si>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</si>
  <si>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</si>
  <si>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</si>
  <si>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</si>
  <si>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</si>
  <si>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</si>
  <si>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</si>
  <si>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</si>
  <si>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</si>
  <si>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</si>
  <si>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</si>
  <si>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</si>
  <si>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</si>
  <si>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</si>
  <si>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</si>
  <si>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</si>
  <si>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</si>
  <si>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</si>
  <si>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</si>
  <si>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</si>
  <si>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</si>
  <si>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</si>
  <si>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</si>
  <si>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</si>
  <si>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</si>
  <si>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</si>
  <si>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</si>
  <si>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</si>
  <si>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</si>
  <si>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</si>
  <si>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</si>
  <si>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</si>
  <si>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</si>
  <si>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</si>
  <si>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</si>
  <si>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</si>
  <si>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</si>
  <si>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</si>
  <si>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</si>
  <si>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</si>
  <si>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</si>
  <si>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</si>
  <si>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</si>
  <si>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</si>
  <si>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</si>
  <si>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</si>
  <si>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</si>
  <si>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</si>
  <si>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</si>
  <si>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</si>
  <si>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</si>
  <si>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</si>
  <si>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</si>
  <si>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</si>
  <si>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</si>
  <si>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</si>
  <si>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</si>
  <si>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</si>
  <si>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</si>
  <si>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</si>
  <si>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</si>
  <si>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</si>
  <si>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</si>
  <si>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</si>
  <si>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</si>
  <si>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</si>
  <si>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</si>
  <si>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</si>
  <si>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</si>
  <si>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</si>
  <si>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</si>
  <si>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</si>
  <si>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</si>
  <si>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</si>
  <si>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</si>
  <si>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</si>
  <si>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</si>
  <si>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</si>
  <si>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</si>
  <si>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</si>
  <si>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</si>
  <si>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</si>
  <si>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</si>
  <si>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</si>
  <si>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</si>
  <si>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</si>
  <si>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</si>
  <si>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</si>
  <si>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</si>
  <si>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</si>
  <si>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</si>
  <si>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</si>
  <si>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</si>
  <si>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</si>
  <si>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</si>
  <si>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</si>
  <si>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</si>
  <si>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</si>
  <si>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</si>
  <si>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</si>
  <si>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</si>
  <si>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</si>
  <si>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</si>
  <si>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</si>
  <si>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</si>
  <si>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</si>
  <si>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</si>
  <si>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</si>
  <si>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</si>
  <si>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</si>
  <si>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</si>
  <si>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</si>
  <si>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</si>
  <si>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</si>
  <si>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</si>
  <si>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</si>
  <si>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</si>
  <si>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</si>
  <si>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</si>
  <si>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</si>
  <si>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</si>
  <si>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</si>
  <si>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</si>
  <si>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</si>
  <si>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</si>
  <si>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</si>
  <si>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</si>
  <si>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</si>
  <si>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</si>
  <si>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</si>
  <si>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</si>
  <si>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</si>
  <si>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</si>
  <si>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</si>
  <si>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</si>
  <si>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</si>
  <si>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</si>
  <si>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</si>
  <si>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</si>
  <si>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</si>
  <si>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</si>
  <si>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</si>
  <si>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</si>
  <si>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</si>
  <si>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</si>
  <si>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</si>
  <si>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</si>
  <si>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</si>
  <si>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</si>
  <si>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</si>
  <si>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</si>
  <si>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</si>
  <si>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</si>
  <si>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</si>
  <si>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</si>
  <si>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</si>
  <si>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</si>
  <si>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</si>
  <si>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</si>
  <si>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</si>
  <si>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</si>
  <si>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</si>
  <si>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</si>
  <si>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</si>
  <si>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</si>
  <si>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</si>
  <si>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</si>
  <si>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</si>
  <si>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</si>
  <si>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</si>
  <si>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</si>
  <si>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</si>
  <si>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</si>
  <si>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</si>
  <si>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</si>
  <si>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</si>
  <si>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</si>
  <si>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</si>
  <si>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</si>
  <si>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</si>
  <si>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</si>
  <si>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</si>
  <si>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</si>
  <si>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</si>
  <si>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</si>
  <si>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</si>
  <si>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</si>
  <si>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</si>
  <si>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</si>
  <si>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</si>
  <si>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</si>
  <si>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</si>
  <si>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</si>
  <si>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</si>
  <si>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</si>
  <si>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</si>
  <si>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</si>
  <si>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</si>
  <si>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</si>
  <si>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</si>
  <si>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</si>
  <si>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</si>
  <si>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</si>
  <si>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</si>
  <si>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</si>
  <si>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</si>
  <si>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</si>
  <si>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</si>
  <si>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</si>
  <si>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</si>
  <si>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北京宏远天竺仓储有限公司</t>
    <phoneticPr fontId="6" type="noConversion"/>
  </si>
  <si>
    <t>抵押</t>
  </si>
  <si>
    <t>房地产抵押价值</t>
  </si>
  <si>
    <t>北京市</t>
  </si>
  <si>
    <t>企业</t>
  </si>
  <si>
    <t>出让</t>
  </si>
  <si>
    <t>工业</t>
    <phoneticPr fontId="6" type="noConversion"/>
  </si>
  <si>
    <t>否</t>
  </si>
  <si>
    <t>复印件</t>
  </si>
  <si>
    <t>工业项目</t>
  </si>
  <si>
    <t>无</t>
  </si>
  <si>
    <t>现房</t>
  </si>
  <si>
    <t>正常</t>
    <phoneticPr fontId="6" type="noConversion"/>
  </si>
  <si>
    <t>通路</t>
  </si>
  <si>
    <t>通电</t>
  </si>
  <si>
    <t>通讯</t>
  </si>
  <si>
    <t>通上水</t>
  </si>
  <si>
    <t>通下水</t>
  </si>
  <si>
    <r>
      <t>4</t>
    </r>
    <r>
      <rPr>
        <sz val="10"/>
        <color indexed="8"/>
        <rFont val="宋体"/>
        <family val="3"/>
        <charset val="134"/>
      </rPr>
      <t>幢</t>
    </r>
    <phoneticPr fontId="3" type="noConversion"/>
  </si>
  <si>
    <t>地上</t>
  </si>
  <si>
    <t>办公楼</t>
  </si>
  <si>
    <r>
      <t>9</t>
    </r>
    <r>
      <rPr>
        <sz val="10"/>
        <color indexed="8"/>
        <rFont val="宋体"/>
        <family val="3"/>
        <charset val="134"/>
      </rPr>
      <t>幢</t>
    </r>
    <phoneticPr fontId="3" type="noConversion"/>
  </si>
  <si>
    <t>是</t>
  </si>
  <si>
    <r>
      <t>11</t>
    </r>
    <r>
      <rPr>
        <sz val="10"/>
        <color indexed="8"/>
        <rFont val="宋体"/>
        <family val="3"/>
        <charset val="134"/>
      </rPr>
      <t>幢</t>
    </r>
    <phoneticPr fontId="3" type="noConversion"/>
  </si>
  <si>
    <r>
      <t>10</t>
    </r>
    <r>
      <rPr>
        <sz val="11"/>
        <color indexed="8"/>
        <rFont val="宋体"/>
        <family val="3"/>
        <charset val="134"/>
      </rPr>
      <t>幢</t>
    </r>
    <phoneticPr fontId="3" type="noConversion"/>
  </si>
  <si>
    <r>
      <t>13</t>
    </r>
    <r>
      <rPr>
        <sz val="11"/>
        <color indexed="8"/>
        <rFont val="宋体"/>
        <family val="3"/>
        <charset val="134"/>
      </rPr>
      <t>幢</t>
    </r>
    <phoneticPr fontId="3" type="noConversion"/>
  </si>
  <si>
    <r>
      <t>12</t>
    </r>
    <r>
      <rPr>
        <sz val="11"/>
        <color indexed="8"/>
        <rFont val="宋体"/>
        <family val="3"/>
        <charset val="134"/>
      </rPr>
      <t>幢</t>
    </r>
    <phoneticPr fontId="3" type="noConversion"/>
  </si>
  <si>
    <r>
      <t>14</t>
    </r>
    <r>
      <rPr>
        <sz val="11"/>
        <color indexed="8"/>
        <rFont val="宋体"/>
        <family val="3"/>
        <charset val="134"/>
      </rPr>
      <t>幢</t>
    </r>
    <phoneticPr fontId="3" type="noConversion"/>
  </si>
  <si>
    <t>办公楼</t>
    <phoneticPr fontId="7" type="noConversion"/>
  </si>
  <si>
    <t>成新度</t>
  </si>
  <si>
    <t>房屋所有权证证号</t>
  </si>
  <si>
    <t>证号</t>
  </si>
  <si>
    <t>幢号</t>
  </si>
  <si>
    <t>规划用途</t>
  </si>
  <si>
    <t>现状用途</t>
  </si>
  <si>
    <t>地上建面</t>
  </si>
  <si>
    <t>地下建面</t>
  </si>
  <si>
    <t>结构</t>
  </si>
  <si>
    <t>建成年代</t>
  </si>
  <si>
    <t>综合成新度</t>
  </si>
  <si>
    <r>
      <rPr>
        <sz val="11"/>
        <color theme="1"/>
        <rFont val="宋体"/>
        <family val="3"/>
        <charset val="134"/>
      </rPr>
      <t>X京房权证顺字第</t>
    </r>
    <r>
      <rPr>
        <sz val="11"/>
        <color theme="1"/>
        <rFont val="宋体"/>
        <family val="3"/>
        <charset val="134"/>
      </rPr>
      <t>223419号</t>
    </r>
  </si>
  <si>
    <t>钢混</t>
  </si>
  <si>
    <t>闲置</t>
  </si>
  <si>
    <t>砖混</t>
  </si>
  <si>
    <t>X京房权证顺字第223233号</t>
  </si>
  <si>
    <t>管理用房、库房</t>
  </si>
  <si>
    <t>豪雅酒店</t>
  </si>
  <si>
    <t>X京房权证顺字第273971号</t>
  </si>
  <si>
    <t>库房</t>
  </si>
  <si>
    <t>7天</t>
  </si>
  <si>
    <t>公寓</t>
  </si>
  <si>
    <t>汉庭、远航国际酒店</t>
  </si>
  <si>
    <t>锦江</t>
  </si>
  <si>
    <t>总计</t>
  </si>
  <si>
    <t>结构类型</t>
  </si>
  <si>
    <t>生产用房</t>
  </si>
  <si>
    <t>受腐蚀的生产用房</t>
  </si>
  <si>
    <t>非生产用房</t>
  </si>
  <si>
    <t>残值率</t>
  </si>
  <si>
    <t>钢结构</t>
  </si>
  <si>
    <t>钢筋混凝土结构</t>
  </si>
  <si>
    <t>砖混结构</t>
  </si>
  <si>
    <t>一等</t>
  </si>
  <si>
    <t>二等</t>
  </si>
  <si>
    <t>砖木结构</t>
  </si>
  <si>
    <t>三等</t>
  </si>
  <si>
    <t>简易结构</t>
  </si>
  <si>
    <t>宏远天竺仓储商铺租赁明细</t>
  </si>
  <si>
    <t>物业类型</t>
  </si>
  <si>
    <t>名称</t>
  </si>
  <si>
    <t>面积（㎡）</t>
  </si>
  <si>
    <t>房产证号</t>
  </si>
  <si>
    <t>证载面积</t>
  </si>
  <si>
    <t>楼栋号</t>
  </si>
  <si>
    <t>租期</t>
  </si>
  <si>
    <t>租赁期限</t>
  </si>
  <si>
    <t>免租</t>
  </si>
  <si>
    <t>租金</t>
  </si>
  <si>
    <t>14年租金</t>
  </si>
  <si>
    <t>租金收付时间</t>
  </si>
  <si>
    <t>定金</t>
  </si>
  <si>
    <t>备注</t>
  </si>
  <si>
    <t>酒店</t>
  </si>
  <si>
    <t>汉庭{天津）投资有限公司</t>
  </si>
  <si>
    <t>12幢</t>
  </si>
  <si>
    <t>15年</t>
  </si>
  <si>
    <t>12.7.1-27.6.30</t>
  </si>
  <si>
    <t>4个月</t>
  </si>
  <si>
    <t xml:space="preserve">2.02元（第1-3年）
2.121元（第4-6年）
2.228元（第7-9年）2.339元（第10-12年）2.456元（第13-15年） </t>
  </si>
  <si>
    <t>每年7.1日
第1-3年3000000元
第4-6年3150000元
第7-9年3307500元                    第10-12年3472875元                  第13-15年3646519元</t>
  </si>
  <si>
    <t>50万元</t>
  </si>
  <si>
    <t>租金每三年以5%递增</t>
  </si>
  <si>
    <t>王燕萍</t>
  </si>
  <si>
    <t>11年</t>
  </si>
  <si>
    <t>12.7.1-23.6.30</t>
  </si>
  <si>
    <t>2.78元</t>
  </si>
  <si>
    <t>每年7.1日前                         11年租金总计4895万元，合同生效后预付1000万元，剩余组件按季支付。</t>
  </si>
  <si>
    <t>1000万元</t>
  </si>
  <si>
    <t>平均每年445万元</t>
  </si>
  <si>
    <t>13.1.1—22.12.31</t>
  </si>
  <si>
    <t>5个月</t>
  </si>
  <si>
    <r>
      <t>1</t>
    </r>
    <r>
      <rPr>
        <sz val="9"/>
        <rFont val="宋体"/>
        <family val="3"/>
        <charset val="134"/>
      </rPr>
      <t>.94元</t>
    </r>
  </si>
  <si>
    <t>半年付</t>
  </si>
  <si>
    <t>5万</t>
  </si>
  <si>
    <t>上海锦江国际旅馆投资有限公司</t>
  </si>
  <si>
    <t>14幢</t>
  </si>
  <si>
    <t>12.9.1-27.9.1</t>
  </si>
  <si>
    <t>2个月</t>
  </si>
  <si>
    <t>2.44元（第1-3年）  2.52元（4-6年）    2.59元（7-9年）    2.67元（10-12年）  2.75元（13-15年）</t>
  </si>
  <si>
    <t xml:space="preserve">每年9.1日前                         第1-3年4,100,000.00元               第4-6年4,223,000.00元               第7-9年4,349,700.00元               第10-12年4,480,200.00元              第13-15年4,614,600.00元 </t>
  </si>
  <si>
    <t>68万元</t>
  </si>
  <si>
    <t>租金每三年以3%递增</t>
  </si>
  <si>
    <t>七天快捷酒店管理（北京）有限公司</t>
  </si>
  <si>
    <t>10幢</t>
  </si>
  <si>
    <t>12年</t>
  </si>
  <si>
    <t>12.6.1-24.5.30或24.8.31</t>
  </si>
  <si>
    <t>6个月</t>
  </si>
  <si>
    <t>中国航空工程技术分公司</t>
  </si>
  <si>
    <t>11幢</t>
  </si>
  <si>
    <t>20年</t>
  </si>
  <si>
    <t>12.7.31-32.7.31</t>
  </si>
  <si>
    <t>3元</t>
  </si>
  <si>
    <t>7.31前</t>
  </si>
  <si>
    <t>D座3单元2-6层</t>
  </si>
  <si>
    <t>北京昊运联合国际运代理有限公司</t>
  </si>
  <si>
    <t>12.7.1-32.7.1</t>
  </si>
  <si>
    <t>2.60元</t>
  </si>
  <si>
    <t>每年6.30日前</t>
  </si>
  <si>
    <t>D座1、2单元2-5层</t>
  </si>
  <si>
    <t>北京百利润懋投资咨询有限公司</t>
  </si>
  <si>
    <t>13幢</t>
  </si>
  <si>
    <t>3.28元</t>
  </si>
  <si>
    <t>E座1单元2-5层</t>
  </si>
  <si>
    <t>北京五贰灵国际宠物医院有限公司</t>
  </si>
  <si>
    <t>2.45元</t>
  </si>
  <si>
    <t>12.7.31</t>
  </si>
  <si>
    <t>E座2单元2-4层</t>
  </si>
  <si>
    <t>北京高强宾馆（北京豪雅商务酒店）</t>
  </si>
  <si>
    <t>4、9幢</t>
  </si>
  <si>
    <t>10年</t>
  </si>
  <si>
    <t>09.6.1-19.5.31</t>
  </si>
  <si>
    <t>1个月</t>
  </si>
  <si>
    <t>0.26元</t>
  </si>
  <si>
    <t>每月10日前</t>
  </si>
  <si>
    <t>租金每年递增10%</t>
  </si>
  <si>
    <t>办公楼A座</t>
  </si>
  <si>
    <t>宏远供应链管理有限公司</t>
  </si>
  <si>
    <t>X京房权证顺字第223419号</t>
  </si>
  <si>
    <t>1幢</t>
  </si>
  <si>
    <t>15.12.2-25.12.2</t>
  </si>
  <si>
    <t>A座三楼</t>
  </si>
  <si>
    <t>宏远跨境贸易服务有限公司</t>
  </si>
  <si>
    <t>16.1.1-26.1.1</t>
  </si>
  <si>
    <t>桉楹物流有限责任公司</t>
  </si>
  <si>
    <t>15.10.12-25.10.12</t>
  </si>
  <si>
    <t>A座二楼</t>
  </si>
  <si>
    <t>海航（北京）物流有限公司</t>
  </si>
  <si>
    <t>15.3.5-25.3.5</t>
  </si>
  <si>
    <t>北京五矿财富投资有限公司</t>
  </si>
  <si>
    <t>15.6.8-25.6.8</t>
  </si>
  <si>
    <t>A座一楼</t>
  </si>
  <si>
    <t>北京空港宏远物流有限责任公司</t>
  </si>
  <si>
    <t>16.5.19-26.5.19</t>
  </si>
  <si>
    <t>北京宏远航城房地产开发有限公司</t>
  </si>
  <si>
    <t>北京睿达众远商贸有限责任公司</t>
  </si>
  <si>
    <t>桉楹典当</t>
  </si>
  <si>
    <t>16.6.12-26.6.12</t>
  </si>
  <si>
    <t>办公楼B座</t>
  </si>
  <si>
    <t>中信通用航空有限责任公司</t>
  </si>
  <si>
    <t>6幢</t>
  </si>
  <si>
    <t>3年</t>
  </si>
  <si>
    <t>13.12.1-16.11.30</t>
  </si>
  <si>
    <t>90天</t>
  </si>
  <si>
    <r>
      <t xml:space="preserve">3.5元地上          </t>
    </r>
    <r>
      <rPr>
        <sz val="9"/>
        <rFont val="宋体"/>
        <family val="3"/>
        <charset val="134"/>
      </rPr>
      <t xml:space="preserve">       </t>
    </r>
    <r>
      <rPr>
        <sz val="9"/>
        <rFont val="宋体"/>
        <family val="3"/>
        <charset val="134"/>
      </rPr>
      <t xml:space="preserve"> 2.5元地下
</t>
    </r>
  </si>
  <si>
    <t>12.1前</t>
  </si>
  <si>
    <t>B座写字楼</t>
  </si>
  <si>
    <t>北京空港宏远能源发展有限公司</t>
  </si>
  <si>
    <t>15.3.16-25.3.16</t>
  </si>
  <si>
    <t>年付</t>
  </si>
  <si>
    <t>场地租用费</t>
  </si>
  <si>
    <t>物业收入</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</si>
  <si>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</si>
  <si>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</si>
  <si>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</si>
  <si>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</si>
  <si>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</si>
  <si>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</si>
  <si>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</si>
  <si>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</si>
  <si>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</si>
  <si>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</si>
  <si>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</si>
  <si>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</si>
  <si>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</si>
  <si>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</si>
  <si>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</si>
  <si>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</si>
  <si>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</si>
  <si>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</si>
  <si>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</si>
  <si>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</si>
  <si>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收益法</t>
  </si>
  <si>
    <t>押一</t>
  </si>
  <si>
    <t>工业用地</t>
  </si>
  <si>
    <t>宗地容积率</t>
  </si>
  <si>
    <t>不临58条商业街</t>
  </si>
  <si>
    <t>缺少</t>
  </si>
  <si>
    <t>通热</t>
  </si>
  <si>
    <t>燃气</t>
  </si>
  <si>
    <t>容积率修正</t>
  </si>
  <si>
    <t>较好</t>
  </si>
  <si>
    <t>一般</t>
  </si>
  <si>
    <t>全部缴纳</t>
  </si>
  <si>
    <t>已包含在土地取得成本中</t>
  </si>
  <si>
    <t>18年租金</t>
    <phoneticPr fontId="143" type="noConversion"/>
  </si>
  <si>
    <t>建筑面积</t>
    <phoneticPr fontId="143" type="noConversion"/>
  </si>
  <si>
    <t xml:space="preserve"> </t>
    <phoneticPr fontId="143" type="noConversion"/>
  </si>
  <si>
    <t>年租金</t>
    <phoneticPr fontId="143" type="noConversion"/>
  </si>
  <si>
    <t>总建面</t>
    <phoneticPr fontId="143" type="noConversion"/>
  </si>
  <si>
    <t>日租金</t>
    <phoneticPr fontId="143" type="noConversion"/>
  </si>
  <si>
    <t>成本法</t>
  </si>
  <si>
    <t>项目全部</t>
  </si>
  <si>
    <t>顺义新城第14街区SY00-0014-6001M1一类工业用地项目</t>
    <phoneticPr fontId="3" type="noConversion"/>
  </si>
  <si>
    <t>顺义区金马工业区D1-01-1地块</t>
    <phoneticPr fontId="3" type="noConversion"/>
  </si>
  <si>
    <t>顺义区赵全营B5-02地块工业项目</t>
    <phoneticPr fontId="3" type="noConversion"/>
  </si>
  <si>
    <t>工业</t>
    <phoneticPr fontId="33" type="noConversion"/>
  </si>
  <si>
    <t>七通</t>
  </si>
  <si>
    <t>较规则</t>
    <phoneticPr fontId="33" type="noConversion"/>
  </si>
  <si>
    <t>五通</t>
    <phoneticPr fontId="33" type="noConversion"/>
  </si>
  <si>
    <t>较好</t>
    <phoneticPr fontId="33" type="noConversion"/>
  </si>
  <si>
    <t>单位面积地价</t>
  </si>
  <si>
    <t>高速公路</t>
  </si>
  <si>
    <t>高速公路</t>
    <phoneticPr fontId="33" type="noConversion"/>
  </si>
  <si>
    <t>城市快速路</t>
    <phoneticPr fontId="33" type="noConversion"/>
  </si>
  <si>
    <t>城市主干道</t>
    <phoneticPr fontId="33" type="noConversion"/>
  </si>
  <si>
    <t>城市次干道</t>
    <phoneticPr fontId="33" type="noConversion"/>
  </si>
  <si>
    <t>城市支路</t>
  </si>
  <si>
    <t>城市支路</t>
    <phoneticPr fontId="33" type="noConversion"/>
  </si>
  <si>
    <t>规则</t>
    <phoneticPr fontId="33" type="noConversion"/>
  </si>
  <si>
    <t>一般</t>
    <phoneticPr fontId="33" type="noConversion"/>
  </si>
  <si>
    <t>较不规则</t>
    <phoneticPr fontId="33" type="noConversion"/>
  </si>
  <si>
    <t>不规则</t>
  </si>
  <si>
    <t>不规则</t>
    <phoneticPr fontId="33" type="noConversion"/>
  </si>
  <si>
    <t>多面临街</t>
  </si>
  <si>
    <t>单面临街</t>
  </si>
  <si>
    <t>双面临街</t>
  </si>
  <si>
    <t>较好</t>
    <phoneticPr fontId="41" type="noConversion"/>
  </si>
  <si>
    <t>较好</t>
    <phoneticPr fontId="41" type="noConversion"/>
  </si>
  <si>
    <t>七通</t>
    <phoneticPr fontId="25" type="noConversion"/>
  </si>
  <si>
    <t>一般</t>
    <phoneticPr fontId="41" type="noConversion"/>
  </si>
  <si>
    <t>好</t>
  </si>
  <si>
    <t xml:space="preserve"> </t>
    <phoneticPr fontId="143" type="noConversion"/>
  </si>
  <si>
    <t>年增长率</t>
    <phoneticPr fontId="143" type="noConversion"/>
  </si>
  <si>
    <t>-</t>
    <phoneticPr fontId="143" type="noConversion"/>
  </si>
  <si>
    <t>-</t>
    <phoneticPr fontId="143" type="noConversion"/>
  </si>
  <si>
    <t>-</t>
    <phoneticPr fontId="143" type="noConversion"/>
  </si>
  <si>
    <r>
      <rPr>
        <sz val="12"/>
        <color theme="9" tint="-0.249977111117893"/>
        <rFont val="宋体"/>
        <family val="3"/>
        <charset val="134"/>
      </rPr>
      <t>顺义区天竺镇府前二街</t>
    </r>
    <r>
      <rPr>
        <sz val="12"/>
        <color theme="9" tint="-0.249977111117893"/>
        <rFont val="Arial"/>
        <family val="2"/>
      </rPr>
      <t>1</t>
    </r>
    <r>
      <rPr>
        <sz val="12"/>
        <color theme="9" tint="-0.249977111117893"/>
        <rFont val="宋体"/>
        <family val="3"/>
        <charset val="134"/>
      </rPr>
      <t>号</t>
    </r>
    <r>
      <rPr>
        <sz val="12"/>
        <color theme="9" tint="-0.249977111117893"/>
        <rFont val="Arial"/>
        <family val="2"/>
      </rPr>
      <t>4</t>
    </r>
    <r>
      <rPr>
        <sz val="12"/>
        <color theme="9" tint="-0.249977111117893"/>
        <rFont val="宋体"/>
        <family val="3"/>
        <charset val="134"/>
      </rPr>
      <t>幢等</t>
    </r>
    <r>
      <rPr>
        <sz val="12"/>
        <color theme="9" tint="-0.249977111117893"/>
        <rFont val="Arial"/>
        <family val="2"/>
      </rPr>
      <t>8</t>
    </r>
    <r>
      <rPr>
        <sz val="12"/>
        <color theme="9" tint="-0.249977111117893"/>
        <rFont val="宋体"/>
        <family val="3"/>
        <charset val="134"/>
      </rPr>
      <t>幢</t>
    </r>
    <phoneticPr fontId="6" type="noConversion"/>
  </si>
  <si>
    <r>
      <t>35.69</t>
    </r>
    <r>
      <rPr>
        <sz val="12"/>
        <color theme="9" tint="-0.249977111117893"/>
        <rFont val="宋体"/>
        <family val="3"/>
        <charset val="134"/>
      </rPr>
      <t>年</t>
    </r>
    <phoneticPr fontId="6" type="noConversion"/>
  </si>
  <si>
    <t>《房屋所有权证》[X京房权证顺字第273971、223233、223419号]</t>
    <phoneticPr fontId="6" type="noConversion"/>
  </si>
  <si>
    <t>《国有土地使用证》[京顺国用（2003出）字第0276号]</t>
    <phoneticPr fontId="6" type="noConversion"/>
  </si>
  <si>
    <t>北京银行股份有限公司怀柔支行</t>
    <phoneticPr fontId="6" type="noConversion"/>
  </si>
  <si>
    <r>
      <t>1</t>
    </r>
    <r>
      <rPr>
        <sz val="10"/>
        <color indexed="8"/>
        <rFont val="宋体"/>
        <family val="3"/>
        <charset val="134"/>
      </rPr>
      <t>、</t>
    </r>
    <r>
      <rPr>
        <sz val="10"/>
        <color indexed="8"/>
        <rFont val="Arial"/>
        <family val="2"/>
      </rPr>
      <t>2</t>
    </r>
    <r>
      <rPr>
        <sz val="10"/>
        <color indexed="8"/>
        <rFont val="宋体"/>
        <family val="3"/>
        <charset val="134"/>
      </rPr>
      <t>幢</t>
    </r>
    <phoneticPr fontId="3" type="noConversion"/>
  </si>
  <si>
    <t>地下</t>
  </si>
  <si>
    <r>
      <t>6</t>
    </r>
    <r>
      <rPr>
        <sz val="10"/>
        <color indexed="8"/>
        <rFont val="宋体"/>
        <family val="3"/>
        <charset val="134"/>
      </rPr>
      <t>幢</t>
    </r>
    <phoneticPr fontId="3" type="noConversion"/>
  </si>
  <si>
    <t>六通一平</t>
  </si>
  <si>
    <t>按公示增长率计算</t>
  </si>
  <si>
    <t>基准地价</t>
  </si>
  <si>
    <t>2018-1-0027-P01DYGJ1</t>
    <phoneticPr fontId="6" type="noConversion"/>
  </si>
  <si>
    <t>已注销</t>
  </si>
  <si>
    <t>2.估价师知悉的除抵押担保权以外的法定优先受偿款</t>
  </si>
  <si>
    <t>注销后放款</t>
  </si>
  <si>
    <t>收益比率</t>
  </si>
  <si>
    <t>建筑面积</t>
  </si>
  <si>
    <t>分摊土地面积</t>
  </si>
  <si>
    <t>建筑物价值</t>
  </si>
  <si>
    <t>宏远天竺仓储商铺租赁明细</t>
    <phoneticPr fontId="143" type="noConversion"/>
  </si>
  <si>
    <t>砖混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</si>
</sst>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Red]\(#,##0\)"/>
    <numFmt numFmtId="198" formatCode="#,##0.0_);[Red]\(#,##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宋体"/>
      <family val="3"/>
      <charset val="134"/>
      <scheme val="minor"/>
    </font>
    <font>
      <sz val="14"/>
      <name val="宋体"/>
      <family val="3"/>
      <charset val="134"/>
    </font>
    <font>
      <sz val="9"/>
      <color theme="1"/>
      <name val="宋体"/>
      <family val="3"/>
      <charset val="134"/>
    </font>
    <font>
      <sz val="9"/>
      <color theme="1"/>
      <name val="SimSun"/>
      <family val="1"/>
    </font>
    <font>
      <b/>
      <sz val="9"/>
      <name val="宋体"/>
      <family val="3"/>
      <charset val="134"/>
    </font>
    <font>
      <b/>
      <sz val="9"/>
      <color theme="1"/>
      <name val="宋体"/>
      <family val="3"/>
      <charset val="134"/>
    </font>
    <font>
      <b/>
      <sz val="9"/>
      <color theme="1"/>
      <name val="SimSun"/>
    </font>
    <font>
      <b/>
      <sz val="14"/>
      <name val="宋体"/>
      <family val="3"/>
      <charset val="134"/>
    </font>
    <font>
      <b/>
      <sz val="9"/>
      <color indexed="8"/>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
      <sz val="9"/>
      <color theme="1"/>
      <name val="SimSun"/>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79995117038483843"/>
        <bgColor indexed="64"/>
      </patternFill>
    </fill>
    <fill>
      <patternFill patternType="solid">
        <fgColor indexed="29"/>
        <bgColor indexed="64"/>
      </patternFill>
    </fill>
    <fill>
      <patternFill patternType="solid">
        <fgColor indexed="1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9" fontId="254" fillId="0" borderId="0" applyFont="0" applyFill="0" applyBorder="0" applyAlignment="0" applyProtection="0">
      <alignment vertical="center"/>
    </xf>
    <xf numFmtId="0" fontId="37" fillId="0" borderId="0">
      <alignment vertical="center"/>
    </xf>
  </cellStyleXfs>
  <cellXfs count="34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151" xfId="0" applyFont="1" applyFill="1" applyBorder="1" applyAlignment="1" applyProtection="1">
      <alignment vertical="center" wrapText="1"/>
      <protection locked="0"/>
    </xf>
    <xf numFmtId="0" fontId="190" fillId="0" borderId="1" xfId="0" applyFont="1" applyBorder="1" applyAlignment="1" applyProtection="1">
      <alignment horizontal="left" vertical="center"/>
      <protection locked="0"/>
    </xf>
    <xf numFmtId="0" fontId="50" fillId="11" borderId="1"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0" borderId="0" xfId="0" applyAlignment="1">
      <alignment horizontal="center" vertical="center"/>
    </xf>
    <xf numFmtId="0" fontId="99" fillId="17" borderId="1" xfId="0" applyFont="1" applyFill="1" applyBorder="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9" fontId="0" fillId="0" borderId="1" xfId="13" applyFont="1" applyBorder="1" applyAlignment="1">
      <alignment horizontal="center" vertical="center"/>
    </xf>
    <xf numFmtId="0" fontId="100" fillId="17" borderId="1" xfId="0" applyFont="1" applyFill="1" applyBorder="1" applyAlignment="1">
      <alignment horizontal="center" vertical="center"/>
    </xf>
    <xf numFmtId="179" fontId="100" fillId="17" borderId="1" xfId="0" applyNumberFormat="1" applyFont="1" applyFill="1" applyBorder="1" applyAlignment="1">
      <alignment horizontal="center" vertical="center"/>
    </xf>
    <xf numFmtId="0" fontId="255" fillId="17" borderId="1" xfId="0" applyFont="1" applyFill="1" applyBorder="1" applyAlignment="1">
      <alignment horizontal="center" vertical="center"/>
    </xf>
    <xf numFmtId="9" fontId="99" fillId="17" borderId="1" xfId="13" applyFont="1" applyFill="1" applyBorder="1" applyAlignment="1">
      <alignment horizontal="center" vertical="center"/>
    </xf>
    <xf numFmtId="0" fontId="0" fillId="17" borderId="1" xfId="0" applyFill="1" applyBorder="1" applyAlignment="1">
      <alignment horizontal="center" vertical="center"/>
    </xf>
    <xf numFmtId="179" fontId="0" fillId="17" borderId="1" xfId="0" applyNumberFormat="1" applyFill="1" applyBorder="1" applyAlignment="1">
      <alignment horizontal="center" vertical="center"/>
    </xf>
    <xf numFmtId="0" fontId="37" fillId="19" borderId="1" xfId="0" applyFont="1" applyFill="1" applyBorder="1" applyAlignment="1">
      <alignment horizontal="center" vertical="center"/>
    </xf>
    <xf numFmtId="0" fontId="37" fillId="0" borderId="1" xfId="0" applyFont="1" applyBorder="1" applyAlignment="1">
      <alignment horizontal="center" vertical="center"/>
    </xf>
    <xf numFmtId="9" fontId="37" fillId="0" borderId="1" xfId="0" applyNumberFormat="1" applyFont="1" applyBorder="1" applyAlignment="1">
      <alignment horizontal="center" vertical="center"/>
    </xf>
    <xf numFmtId="0" fontId="37" fillId="2" borderId="1" xfId="0" applyFont="1" applyFill="1" applyBorder="1" applyAlignment="1">
      <alignment horizontal="center" vertical="center"/>
    </xf>
    <xf numFmtId="0" fontId="256" fillId="3" borderId="1" xfId="14" applyFont="1" applyFill="1" applyBorder="1" applyAlignment="1">
      <alignment vertical="center" wrapText="1"/>
    </xf>
    <xf numFmtId="0" fontId="256" fillId="3" borderId="0" xfId="14" applyFont="1" applyFill="1" applyBorder="1" applyAlignment="1">
      <alignment vertical="center" wrapText="1"/>
    </xf>
    <xf numFmtId="0" fontId="256" fillId="3" borderId="0" xfId="14" applyFont="1" applyFill="1" applyAlignment="1">
      <alignment vertical="center" wrapText="1"/>
    </xf>
    <xf numFmtId="0" fontId="3" fillId="3" borderId="1" xfId="14" applyFont="1" applyFill="1" applyBorder="1" applyAlignment="1">
      <alignment vertical="center" wrapText="1"/>
    </xf>
    <xf numFmtId="0" fontId="3" fillId="3" borderId="1" xfId="14" applyFont="1" applyFill="1" applyBorder="1" applyAlignment="1">
      <alignment horizontal="center" vertical="center" wrapText="1"/>
    </xf>
    <xf numFmtId="197" fontId="3" fillId="3" borderId="1" xfId="14" applyNumberFormat="1" applyFont="1" applyFill="1" applyBorder="1" applyAlignment="1">
      <alignment horizontal="center" vertical="center" wrapText="1"/>
    </xf>
    <xf numFmtId="0" fontId="3" fillId="0" borderId="1" xfId="14" applyFont="1" applyFill="1" applyBorder="1" applyAlignment="1">
      <alignment horizontal="center" vertical="center" wrapText="1"/>
    </xf>
    <xf numFmtId="0" fontId="3" fillId="3" borderId="1" xfId="14" applyNumberFormat="1" applyFont="1" applyFill="1" applyBorder="1" applyAlignment="1">
      <alignment horizontal="center" vertical="center" wrapText="1"/>
    </xf>
    <xf numFmtId="0" fontId="257" fillId="0" borderId="1" xfId="14" applyFont="1" applyFill="1" applyBorder="1" applyAlignment="1">
      <alignment horizontal="center" vertical="center" wrapText="1"/>
    </xf>
    <xf numFmtId="0" fontId="258" fillId="0" borderId="1" xfId="14" applyFont="1" applyFill="1" applyBorder="1" applyAlignment="1">
      <alignment horizontal="center" vertical="center" wrapText="1"/>
    </xf>
    <xf numFmtId="0" fontId="257" fillId="3" borderId="1" xfId="14" applyFont="1" applyFill="1" applyBorder="1" applyAlignment="1">
      <alignment horizontal="center" vertical="center" wrapText="1"/>
    </xf>
    <xf numFmtId="197" fontId="257" fillId="3" borderId="1" xfId="14" applyNumberFormat="1" applyFont="1" applyFill="1" applyBorder="1" applyAlignment="1">
      <alignment horizontal="center" vertical="center" wrapText="1"/>
    </xf>
    <xf numFmtId="0" fontId="195" fillId="3" borderId="0" xfId="14" applyFont="1" applyFill="1" applyAlignment="1">
      <alignment vertical="center" wrapText="1"/>
    </xf>
    <xf numFmtId="0" fontId="259" fillId="0" borderId="1" xfId="14" applyFont="1" applyFill="1" applyBorder="1" applyAlignment="1">
      <alignment vertical="center" wrapText="1"/>
    </xf>
    <xf numFmtId="0" fontId="260" fillId="0" borderId="1" xfId="14" applyFont="1" applyFill="1" applyBorder="1" applyAlignment="1">
      <alignment horizontal="center" vertical="center" wrapText="1"/>
    </xf>
    <xf numFmtId="0" fontId="261" fillId="0" borderId="1" xfId="14" applyFont="1" applyFill="1" applyBorder="1" applyAlignment="1">
      <alignment horizontal="center" vertical="center" wrapText="1"/>
    </xf>
    <xf numFmtId="0" fontId="260" fillId="3" borderId="1" xfId="14" applyFont="1" applyFill="1" applyBorder="1" applyAlignment="1">
      <alignment horizontal="center" vertical="center" wrapText="1"/>
    </xf>
    <xf numFmtId="197" fontId="260" fillId="3" borderId="1" xfId="14" applyNumberFormat="1" applyFont="1" applyFill="1" applyBorder="1" applyAlignment="1">
      <alignment horizontal="center" vertical="center" wrapText="1"/>
    </xf>
    <xf numFmtId="0" fontId="205" fillId="3" borderId="0" xfId="14" applyFont="1" applyFill="1" applyAlignment="1">
      <alignment vertical="center" wrapText="1"/>
    </xf>
    <xf numFmtId="0" fontId="3" fillId="0" borderId="1" xfId="14" applyFont="1" applyFill="1" applyBorder="1" applyAlignment="1">
      <alignment vertical="center" wrapText="1"/>
    </xf>
    <xf numFmtId="0" fontId="259" fillId="3" borderId="1" xfId="14" applyFont="1" applyFill="1" applyBorder="1" applyAlignment="1">
      <alignment vertical="center" wrapText="1"/>
    </xf>
    <xf numFmtId="0" fontId="259" fillId="3" borderId="1" xfId="14" applyFont="1" applyFill="1" applyBorder="1" applyAlignment="1">
      <alignment horizontal="center" vertical="center" wrapText="1"/>
    </xf>
    <xf numFmtId="197" fontId="259" fillId="3" borderId="1" xfId="14" applyNumberFormat="1" applyFont="1" applyFill="1" applyBorder="1" applyAlignment="1">
      <alignment horizontal="center" vertical="center" wrapText="1"/>
    </xf>
    <xf numFmtId="0" fontId="262" fillId="3" borderId="0" xfId="14" applyFont="1" applyFill="1" applyAlignment="1">
      <alignment vertical="center" wrapText="1"/>
    </xf>
    <xf numFmtId="0" fontId="240" fillId="5" borderId="1" xfId="14" applyFont="1" applyFill="1" applyBorder="1" applyAlignment="1">
      <alignment horizontal="center" vertical="center" wrapText="1"/>
    </xf>
    <xf numFmtId="197" fontId="240" fillId="5" borderId="1" xfId="14" applyNumberFormat="1" applyFont="1" applyFill="1" applyBorder="1" applyAlignment="1">
      <alignment horizontal="center" vertical="center" wrapText="1"/>
    </xf>
    <xf numFmtId="0" fontId="3" fillId="5" borderId="1" xfId="14" applyFont="1" applyFill="1" applyBorder="1" applyAlignment="1">
      <alignment horizontal="center" vertical="center" wrapText="1"/>
    </xf>
    <xf numFmtId="0" fontId="256" fillId="5" borderId="0" xfId="14" applyFont="1" applyFill="1" applyAlignment="1">
      <alignment vertical="center" wrapText="1"/>
    </xf>
    <xf numFmtId="0" fontId="263" fillId="3" borderId="1" xfId="14" applyFont="1" applyFill="1" applyBorder="1" applyAlignment="1">
      <alignment horizontal="center" vertical="center" wrapText="1"/>
    </xf>
    <xf numFmtId="0" fontId="3" fillId="7" borderId="1" xfId="14" applyFont="1" applyFill="1" applyBorder="1" applyAlignment="1">
      <alignment horizontal="center" vertical="center" wrapText="1"/>
    </xf>
    <xf numFmtId="0" fontId="240" fillId="0" borderId="1" xfId="14" applyFont="1" applyFill="1" applyBorder="1" applyAlignment="1">
      <alignment horizontal="center" vertical="center" wrapText="1"/>
    </xf>
    <xf numFmtId="0" fontId="240" fillId="3" borderId="1" xfId="14" applyFont="1" applyFill="1" applyBorder="1" applyAlignment="1">
      <alignment horizontal="center" vertical="center" wrapText="1"/>
    </xf>
    <xf numFmtId="197" fontId="3" fillId="7" borderId="1" xfId="14" applyNumberFormat="1" applyFont="1" applyFill="1" applyBorder="1" applyAlignment="1">
      <alignment horizontal="center" vertical="center" wrapText="1"/>
    </xf>
    <xf numFmtId="0" fontId="3" fillId="7" borderId="1" xfId="14" applyFont="1" applyFill="1" applyBorder="1" applyAlignment="1">
      <alignment vertical="center" wrapText="1"/>
    </xf>
    <xf numFmtId="197" fontId="256" fillId="5" borderId="0" xfId="14" applyNumberFormat="1" applyFont="1" applyFill="1" applyAlignment="1">
      <alignment vertical="center" wrapText="1"/>
    </xf>
    <xf numFmtId="197" fontId="256" fillId="3" borderId="0" xfId="14" applyNumberFormat="1" applyFont="1" applyFill="1" applyAlignment="1">
      <alignment vertical="center" wrapText="1"/>
    </xf>
    <xf numFmtId="0" fontId="3" fillId="11" borderId="1" xfId="14" applyFont="1" applyFill="1" applyBorder="1" applyAlignment="1">
      <alignment horizontal="center" vertical="center" wrapText="1"/>
    </xf>
    <xf numFmtId="0" fontId="118" fillId="6" borderId="26" xfId="0" applyFont="1" applyFill="1" applyBorder="1" applyAlignment="1"/>
    <xf numFmtId="184" fontId="264" fillId="0" borderId="67" xfId="0" applyNumberFormat="1" applyFont="1" applyFill="1" applyBorder="1" applyAlignment="1" applyProtection="1">
      <alignment horizontal="center" vertical="center"/>
      <protection locked="0"/>
    </xf>
    <xf numFmtId="0" fontId="118" fillId="0" borderId="0" xfId="0" applyFont="1" applyAlignment="1"/>
    <xf numFmtId="180" fontId="265" fillId="6" borderId="6" xfId="1" applyNumberFormat="1" applyFont="1" applyFill="1" applyBorder="1" applyAlignment="1" applyProtection="1">
      <alignment horizontal="center" vertical="center" wrapText="1"/>
    </xf>
    <xf numFmtId="0" fontId="266" fillId="6" borderId="9" xfId="0" applyFont="1" applyFill="1" applyBorder="1" applyAlignment="1" applyProtection="1">
      <alignment horizontal="center" vertical="center" wrapText="1"/>
    </xf>
    <xf numFmtId="179" fontId="266" fillId="6" borderId="9" xfId="0" applyNumberFormat="1" applyFont="1" applyFill="1" applyBorder="1" applyAlignment="1" applyProtection="1">
      <alignment horizontal="center" vertical="center" wrapText="1"/>
    </xf>
    <xf numFmtId="0" fontId="266" fillId="6" borderId="10" xfId="0" applyFont="1" applyFill="1" applyBorder="1" applyAlignment="1" applyProtection="1">
      <alignment horizontal="center" vertical="center" wrapText="1"/>
    </xf>
    <xf numFmtId="177" fontId="264" fillId="5" borderId="23" xfId="1" applyNumberFormat="1" applyFont="1" applyFill="1" applyBorder="1" applyAlignment="1" applyProtection="1">
      <alignment horizontal="center" vertical="center"/>
      <protection locked="0"/>
    </xf>
    <xf numFmtId="184" fontId="264" fillId="0" borderId="1" xfId="0" applyNumberFormat="1" applyFont="1" applyFill="1" applyBorder="1" applyAlignment="1" applyProtection="1">
      <alignment horizontal="center" vertical="center"/>
      <protection locked="0"/>
    </xf>
    <xf numFmtId="179" fontId="267" fillId="6" borderId="1" xfId="1" applyNumberFormat="1" applyFont="1" applyFill="1" applyBorder="1" applyAlignment="1" applyProtection="1">
      <alignment horizontal="center" vertical="center"/>
    </xf>
    <xf numFmtId="180" fontId="267" fillId="6" borderId="1" xfId="1" applyNumberFormat="1" applyFont="1" applyFill="1" applyBorder="1" applyAlignment="1" applyProtection="1">
      <alignment horizontal="center" vertical="center"/>
    </xf>
    <xf numFmtId="181" fontId="104" fillId="0" borderId="24" xfId="0" applyNumberFormat="1" applyFont="1" applyFill="1" applyBorder="1" applyAlignment="1" applyProtection="1">
      <alignment horizontal="center" vertical="center"/>
      <protection locked="0"/>
    </xf>
    <xf numFmtId="177" fontId="264" fillId="5" borderId="25" xfId="1" applyNumberFormat="1" applyFont="1" applyFill="1" applyBorder="1" applyAlignment="1" applyProtection="1">
      <alignment horizontal="center" vertical="center"/>
      <protection locked="0"/>
    </xf>
    <xf numFmtId="184" fontId="264" fillId="0" borderId="32" xfId="0" applyNumberFormat="1" applyFont="1" applyFill="1" applyBorder="1" applyAlignment="1" applyProtection="1">
      <alignment horizontal="center" vertical="center"/>
      <protection locked="0"/>
    </xf>
    <xf numFmtId="179" fontId="267" fillId="6" borderId="32" xfId="1" applyNumberFormat="1" applyFont="1" applyFill="1" applyBorder="1" applyAlignment="1" applyProtection="1">
      <alignment horizontal="center" vertical="center"/>
    </xf>
    <xf numFmtId="180" fontId="267" fillId="6" borderId="32" xfId="1" applyNumberFormat="1" applyFont="1" applyFill="1" applyBorder="1" applyAlignment="1" applyProtection="1">
      <alignment horizontal="center" vertical="center"/>
    </xf>
    <xf numFmtId="181" fontId="104" fillId="0" borderId="49" xfId="0" applyNumberFormat="1" applyFont="1" applyFill="1" applyBorder="1" applyAlignment="1" applyProtection="1">
      <alignment horizontal="center" vertical="center"/>
      <protection locked="0"/>
    </xf>
    <xf numFmtId="0" fontId="268" fillId="6" borderId="16" xfId="0" applyFont="1" applyFill="1" applyBorder="1" applyAlignment="1">
      <alignment vertical="center"/>
    </xf>
    <xf numFmtId="0" fontId="118" fillId="6" borderId="31" xfId="0" applyFont="1" applyFill="1" applyBorder="1" applyAlignment="1">
      <alignment vertical="center"/>
    </xf>
    <xf numFmtId="0" fontId="118" fillId="0" borderId="0" xfId="0" applyFont="1" applyAlignment="1">
      <alignment vertical="center"/>
    </xf>
    <xf numFmtId="0" fontId="118" fillId="6" borderId="63" xfId="0" applyFont="1" applyFill="1" applyBorder="1" applyAlignment="1"/>
    <xf numFmtId="0" fontId="265" fillId="6" borderId="64" xfId="0" applyFont="1" applyFill="1" applyBorder="1" applyAlignment="1">
      <alignment horizontal="right" vertical="center"/>
    </xf>
    <xf numFmtId="0" fontId="265" fillId="6" borderId="65" xfId="0" applyFont="1" applyFill="1" applyBorder="1" applyAlignment="1">
      <alignment horizontal="right" vertical="center"/>
    </xf>
    <xf numFmtId="0" fontId="267" fillId="6" borderId="6" xfId="0" applyFont="1" applyFill="1" applyBorder="1" applyAlignment="1">
      <alignment horizontal="center"/>
    </xf>
    <xf numFmtId="0" fontId="104" fillId="0" borderId="9" xfId="0" applyFont="1" applyBorder="1" applyAlignment="1" applyProtection="1">
      <alignment horizontal="center"/>
      <protection locked="0"/>
    </xf>
    <xf numFmtId="0" fontId="267" fillId="6" borderId="9" xfId="0" applyFont="1" applyFill="1" applyBorder="1" applyAlignment="1">
      <alignment horizontal="center"/>
    </xf>
    <xf numFmtId="9" fontId="104" fillId="0" borderId="9" xfId="0" applyNumberFormat="1" applyFont="1" applyBorder="1" applyAlignment="1" applyProtection="1">
      <alignment horizontal="center"/>
      <protection locked="0"/>
    </xf>
    <xf numFmtId="0" fontId="267" fillId="6" borderId="10" xfId="0" applyFont="1" applyFill="1" applyBorder="1" applyAlignment="1"/>
    <xf numFmtId="0" fontId="267" fillId="6" borderId="25" xfId="0" applyFont="1" applyFill="1" applyBorder="1" applyAlignment="1">
      <alignment horizontal="center"/>
    </xf>
    <xf numFmtId="0" fontId="104" fillId="0" borderId="32" xfId="0" applyFont="1" applyBorder="1" applyAlignment="1" applyProtection="1">
      <alignment horizontal="center"/>
      <protection locked="0"/>
    </xf>
    <xf numFmtId="0" fontId="267" fillId="6" borderId="32" xfId="0" applyFont="1" applyFill="1" applyBorder="1" applyAlignment="1">
      <alignment horizontal="center"/>
    </xf>
    <xf numFmtId="9" fontId="104" fillId="0" borderId="32" xfId="0" applyNumberFormat="1" applyFont="1" applyBorder="1" applyAlignment="1" applyProtection="1">
      <alignment horizontal="center"/>
      <protection locked="0"/>
    </xf>
    <xf numFmtId="0" fontId="267" fillId="6" borderId="49" xfId="0" applyFont="1" applyFill="1" applyBorder="1" applyAlignment="1"/>
    <xf numFmtId="0" fontId="98" fillId="6" borderId="0" xfId="0" applyFont="1" applyFill="1" applyBorder="1" applyAlignment="1">
      <alignment horizontal="left"/>
    </xf>
    <xf numFmtId="0" fontId="267" fillId="6" borderId="0" xfId="0" applyFont="1" applyFill="1" applyBorder="1" applyAlignment="1">
      <alignment horizontal="center"/>
    </xf>
    <xf numFmtId="0" fontId="104" fillId="0" borderId="9" xfId="0" applyFont="1" applyFill="1" applyBorder="1" applyAlignment="1" applyProtection="1">
      <alignment horizontal="center"/>
      <protection locked="0"/>
    </xf>
    <xf numFmtId="0" fontId="104" fillId="0" borderId="0" xfId="0" applyFont="1" applyAlignment="1"/>
    <xf numFmtId="0" fontId="104" fillId="6" borderId="32" xfId="0" applyFont="1" applyFill="1" applyBorder="1" applyAlignment="1">
      <alignment horizontal="center"/>
    </xf>
    <xf numFmtId="0" fontId="104" fillId="6" borderId="0" xfId="0" applyFont="1" applyFill="1" applyAlignment="1"/>
    <xf numFmtId="0" fontId="118" fillId="6" borderId="0" xfId="0" applyFont="1" applyFill="1" applyAlignment="1"/>
    <xf numFmtId="0" fontId="104" fillId="0" borderId="10" xfId="0" applyFont="1" applyFill="1" applyBorder="1" applyAlignment="1" applyProtection="1">
      <alignment horizontal="center"/>
      <protection locked="0"/>
    </xf>
    <xf numFmtId="0" fontId="104" fillId="6" borderId="49" xfId="0" applyFont="1" applyFill="1" applyBorder="1" applyAlignment="1">
      <alignment horizontal="center"/>
    </xf>
    <xf numFmtId="179" fontId="47" fillId="0" borderId="1" xfId="0" applyNumberFormat="1" applyFont="1" applyBorder="1" applyAlignment="1" applyProtection="1">
      <alignment horizontal="center" vertical="center"/>
      <protection locked="0"/>
    </xf>
    <xf numFmtId="0" fontId="47" fillId="11" borderId="24" xfId="0" applyFont="1" applyFill="1" applyBorder="1" applyAlignment="1" applyProtection="1">
      <alignment horizontal="center" vertical="center"/>
      <protection locked="0"/>
    </xf>
    <xf numFmtId="10" fontId="47" fillId="11" borderId="61" xfId="0" applyNumberFormat="1" applyFont="1" applyFill="1" applyBorder="1" applyAlignment="1" applyProtection="1">
      <alignment horizontal="center" vertical="center"/>
      <protection locked="0"/>
    </xf>
    <xf numFmtId="0" fontId="56" fillId="11" borderId="17" xfId="0" applyFont="1" applyFill="1" applyBorder="1" applyAlignment="1" applyProtection="1">
      <alignment horizontal="center" vertical="center" wrapText="1"/>
      <protection locked="0"/>
    </xf>
    <xf numFmtId="197" fontId="3" fillId="11" borderId="1" xfId="14" applyNumberFormat="1" applyFont="1" applyFill="1" applyBorder="1" applyAlignment="1">
      <alignment horizontal="center" vertical="center" wrapText="1"/>
    </xf>
    <xf numFmtId="197" fontId="260" fillId="11" borderId="1" xfId="14" applyNumberFormat="1" applyFont="1" applyFill="1" applyBorder="1" applyAlignment="1">
      <alignment horizontal="center" vertical="center" wrapText="1"/>
    </xf>
    <xf numFmtId="197" fontId="259" fillId="11" borderId="1" xfId="14" applyNumberFormat="1" applyFont="1" applyFill="1" applyBorder="1" applyAlignment="1">
      <alignment horizontal="center" vertical="center" wrapText="1"/>
    </xf>
    <xf numFmtId="197" fontId="240" fillId="11" borderId="1" xfId="14" applyNumberFormat="1" applyFont="1" applyFill="1" applyBorder="1" applyAlignment="1">
      <alignment horizontal="center" vertical="center" wrapText="1"/>
    </xf>
    <xf numFmtId="197" fontId="256" fillId="11" borderId="0" xfId="14" applyNumberFormat="1" applyFont="1" applyFill="1" applyAlignment="1">
      <alignment vertical="center" wrapText="1"/>
    </xf>
    <xf numFmtId="198" fontId="256" fillId="11" borderId="0" xfId="14" applyNumberFormat="1" applyFont="1" applyFill="1" applyAlignment="1">
      <alignment vertical="center" wrapText="1"/>
    </xf>
    <xf numFmtId="0" fontId="137" fillId="2" borderId="5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0" fillId="5" borderId="1" xfId="14" applyFont="1" applyFill="1" applyBorder="1" applyAlignment="1">
      <alignment horizontal="center" vertical="center" wrapText="1"/>
    </xf>
    <xf numFmtId="0" fontId="56" fillId="0" borderId="1" xfId="0" applyFont="1" applyBorder="1" applyAlignment="1" applyProtection="1">
      <alignment horizontal="center" vertical="center" wrapText="1"/>
      <protection locked="0"/>
    </xf>
    <xf numFmtId="0" fontId="240" fillId="3" borderId="1" xfId="14" applyFont="1" applyFill="1" applyBorder="1" applyAlignment="1">
      <alignment horizontal="center" vertical="center" wrapText="1"/>
    </xf>
    <xf numFmtId="0" fontId="3" fillId="0" borderId="1" xfId="14" applyFont="1" applyFill="1" applyBorder="1" applyAlignment="1">
      <alignment horizontal="center" vertical="center" wrapText="1"/>
    </xf>
    <xf numFmtId="9" fontId="99" fillId="0" borderId="1" xfId="13" applyFont="1" applyBorder="1" applyAlignment="1">
      <alignment horizontal="center" vertical="center"/>
    </xf>
    <xf numFmtId="0" fontId="241" fillId="0" borderId="24" xfId="0" applyFont="1" applyFill="1" applyBorder="1" applyAlignment="1" applyProtection="1">
      <alignment horizontal="left" vertical="center" wrapText="1"/>
      <protection locked="0"/>
    </xf>
    <xf numFmtId="176" fontId="50" fillId="0" borderId="1" xfId="0" applyNumberFormat="1" applyFont="1" applyFill="1" applyBorder="1" applyAlignment="1" applyProtection="1">
      <alignment vertical="center" wrapText="1"/>
      <protection locked="0"/>
    </xf>
    <xf numFmtId="176" fontId="47" fillId="0" borderId="1" xfId="0" applyNumberFormat="1" applyFont="1" applyFill="1" applyBorder="1" applyAlignment="1" applyProtection="1">
      <alignment vertical="center" wrapText="1"/>
      <protection locked="0"/>
    </xf>
    <xf numFmtId="0" fontId="269" fillId="0" borderId="1" xfId="14" applyFont="1" applyFill="1" applyBorder="1" applyAlignment="1">
      <alignment horizontal="center" vertical="center" wrapText="1"/>
    </xf>
    <xf numFmtId="197" fontId="240" fillId="3" borderId="1" xfId="14" applyNumberFormat="1" applyFont="1" applyFill="1" applyBorder="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9" fontId="0" fillId="0" borderId="13" xfId="13" applyFont="1" applyBorder="1" applyAlignment="1">
      <alignment horizontal="center" vertical="center"/>
    </xf>
    <xf numFmtId="9" fontId="0" fillId="0" borderId="15" xfId="13" applyFont="1" applyBorder="1" applyAlignment="1">
      <alignment horizontal="center" vertical="center"/>
    </xf>
    <xf numFmtId="9" fontId="0" fillId="0" borderId="2" xfId="13" applyFont="1" applyBorder="1" applyAlignment="1">
      <alignment horizontal="center" vertical="center"/>
    </xf>
    <xf numFmtId="9" fontId="0" fillId="0" borderId="13" xfId="0" applyNumberFormat="1" applyBorder="1" applyAlignment="1">
      <alignment horizontal="center" vertical="center"/>
    </xf>
    <xf numFmtId="0" fontId="0" fillId="0" borderId="2" xfId="0" applyBorder="1" applyAlignment="1">
      <alignment horizontal="center" vertical="center"/>
    </xf>
    <xf numFmtId="0" fontId="0" fillId="0" borderId="15" xfId="0" applyBorder="1" applyAlignment="1">
      <alignment horizontal="center" vertical="center"/>
    </xf>
    <xf numFmtId="0" fontId="37" fillId="0" borderId="1" xfId="0" applyFont="1" applyBorder="1" applyAlignment="1">
      <alignment horizontal="center" vertical="center"/>
    </xf>
    <xf numFmtId="0" fontId="37" fillId="19" borderId="1" xfId="0" applyFont="1" applyFill="1" applyBorder="1" applyAlignment="1">
      <alignment horizontal="center" vertical="center"/>
    </xf>
    <xf numFmtId="0" fontId="99" fillId="17" borderId="1" xfId="0" applyFont="1" applyFill="1" applyBorder="1" applyAlignment="1">
      <alignment horizontal="center" vertical="center" wrapText="1"/>
    </xf>
    <xf numFmtId="0" fontId="255" fillId="0" borderId="1" xfId="0" applyFont="1" applyBorder="1" applyAlignment="1">
      <alignment horizontal="center" vertical="center"/>
    </xf>
    <xf numFmtId="0" fontId="99" fillId="17" borderId="1" xfId="0" applyFont="1" applyFill="1" applyBorder="1" applyAlignment="1">
      <alignment horizontal="center" vertical="center"/>
    </xf>
    <xf numFmtId="0" fontId="0" fillId="17" borderId="1" xfId="0" applyFill="1" applyBorder="1" applyAlignment="1">
      <alignment horizontal="center" vertical="center"/>
    </xf>
    <xf numFmtId="0" fontId="37" fillId="18" borderId="1" xfId="0" applyFont="1" applyFill="1" applyBorder="1" applyAlignment="1">
      <alignment horizontal="center" vertical="center"/>
    </xf>
    <xf numFmtId="0" fontId="37" fillId="2" borderId="1" xfId="0" applyFont="1" applyFill="1" applyBorder="1" applyAlignment="1">
      <alignment horizontal="center" vertical="center"/>
    </xf>
    <xf numFmtId="0" fontId="3" fillId="5" borderId="1" xfId="14" applyFont="1" applyFill="1" applyBorder="1" applyAlignment="1">
      <alignment horizontal="center" vertical="center" wrapText="1"/>
    </xf>
    <xf numFmtId="0" fontId="240" fillId="3" borderId="1" xfId="14" applyFont="1" applyFill="1" applyBorder="1" applyAlignment="1">
      <alignment horizontal="center" vertical="center" wrapText="1"/>
    </xf>
    <xf numFmtId="0" fontId="240" fillId="5" borderId="1" xfId="14" applyFont="1" applyFill="1" applyBorder="1" applyAlignment="1">
      <alignment horizontal="center" vertical="center" wrapText="1"/>
    </xf>
    <xf numFmtId="0" fontId="256" fillId="3" borderId="5" xfId="14" applyFont="1" applyFill="1" applyBorder="1" applyAlignment="1">
      <alignment horizontal="center" vertical="center" wrapText="1"/>
    </xf>
    <xf numFmtId="0" fontId="256" fillId="3" borderId="54" xfId="14" applyFont="1" applyFill="1" applyBorder="1" applyAlignment="1">
      <alignment horizontal="center" vertical="center" wrapText="1"/>
    </xf>
    <xf numFmtId="0" fontId="3" fillId="0" borderId="1" xfId="14" applyFont="1" applyFill="1" applyBorder="1" applyAlignment="1">
      <alignment horizontal="center" vertical="center" wrapText="1"/>
    </xf>
    <xf numFmtId="0" fontId="265" fillId="6" borderId="63" xfId="0" applyFont="1" applyFill="1" applyBorder="1" applyAlignment="1">
      <alignment horizontal="center"/>
    </xf>
    <xf numFmtId="0" fontId="265" fillId="6" borderId="64" xfId="0" applyFont="1" applyFill="1" applyBorder="1" applyAlignment="1">
      <alignment horizontal="center"/>
    </xf>
    <xf numFmtId="0" fontId="3" fillId="7" borderId="1" xfId="14" applyFont="1" applyFill="1" applyBorder="1" applyAlignment="1">
      <alignment horizontal="center" vertical="center" wrapText="1"/>
    </xf>
  </cellXfs>
  <cellStyles count="15">
    <cellStyle name="百分比" xfId="13" builtinId="5"/>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7</xdr:col>
      <xdr:colOff>294724</xdr:colOff>
      <xdr:row>49</xdr:row>
      <xdr:rowOff>123360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4886325"/>
          <a:ext cx="4409524" cy="3723810"/>
        </a:xfrm>
        <a:prstGeom prst="rect">
          <a:avLst/>
        </a:prstGeom>
      </xdr:spPr>
    </xdr:pic>
    <xdr:clientData/>
  </xdr:twoCellAnchor>
  <xdr:twoCellAnchor>
    <xdr:from>
      <xdr:col>4</xdr:col>
      <xdr:colOff>38100</xdr:colOff>
      <xdr:row>36</xdr:row>
      <xdr:rowOff>85725</xdr:rowOff>
    </xdr:from>
    <xdr:to>
      <xdr:col>4</xdr:col>
      <xdr:colOff>266700</xdr:colOff>
      <xdr:row>37</xdr:row>
      <xdr:rowOff>104775</xdr:rowOff>
    </xdr:to>
    <xdr:sp macro="" textlink="">
      <xdr:nvSpPr>
        <xdr:cNvPr id="3" name="五角星 2"/>
        <xdr:cNvSpPr/>
      </xdr:nvSpPr>
      <xdr:spPr>
        <a:xfrm>
          <a:off x="2781300" y="6343650"/>
          <a:ext cx="228600" cy="190500"/>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10</xdr:col>
      <xdr:colOff>1256188</xdr:colOff>
      <xdr:row>61</xdr:row>
      <xdr:rowOff>18215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639550"/>
          <a:ext cx="8904763" cy="6685715"/>
        </a:xfrm>
        <a:prstGeom prst="rect">
          <a:avLst/>
        </a:prstGeom>
      </xdr:spPr>
    </xdr:pic>
    <xdr:clientData/>
  </xdr:twoCellAnchor>
  <xdr:twoCellAnchor editAs="oneCell">
    <xdr:from>
      <xdr:col>0</xdr:col>
      <xdr:colOff>0</xdr:colOff>
      <xdr:row>62</xdr:row>
      <xdr:rowOff>0</xdr:rowOff>
    </xdr:from>
    <xdr:to>
      <xdr:col>12</xdr:col>
      <xdr:colOff>436934</xdr:colOff>
      <xdr:row>72</xdr:row>
      <xdr:rowOff>94941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8545175"/>
          <a:ext cx="9733334" cy="2476191"/>
        </a:xfrm>
        <a:prstGeom prst="rect">
          <a:avLst/>
        </a:prstGeom>
      </xdr:spPr>
    </xdr:pic>
    <xdr:clientData/>
  </xdr:twoCellAnchor>
  <xdr:twoCellAnchor editAs="oneCell">
    <xdr:from>
      <xdr:col>0</xdr:col>
      <xdr:colOff>0</xdr:colOff>
      <xdr:row>73</xdr:row>
      <xdr:rowOff>0</xdr:rowOff>
    </xdr:from>
    <xdr:to>
      <xdr:col>12</xdr:col>
      <xdr:colOff>236934</xdr:colOff>
      <xdr:row>78</xdr:row>
      <xdr:rowOff>104613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1164550"/>
          <a:ext cx="9533334" cy="1295238"/>
        </a:xfrm>
        <a:prstGeom prst="rect">
          <a:avLst/>
        </a:prstGeom>
      </xdr:spPr>
    </xdr:pic>
    <xdr:clientData/>
  </xdr:twoCellAnchor>
  <xdr:twoCellAnchor editAs="oneCell">
    <xdr:from>
      <xdr:col>0</xdr:col>
      <xdr:colOff>0</xdr:colOff>
      <xdr:row>79</xdr:row>
      <xdr:rowOff>0</xdr:rowOff>
    </xdr:from>
    <xdr:to>
      <xdr:col>12</xdr:col>
      <xdr:colOff>560744</xdr:colOff>
      <xdr:row>84</xdr:row>
      <xdr:rowOff>9375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2593300"/>
          <a:ext cx="9857144" cy="12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D40" sqref="D40"/>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北京市顺义区天竺镇府前二街1号4幢等8幢房地产抵押价值预评估</v>
      </c>
    </row>
    <row r="3" spans="1:2" s="1595" customFormat="1">
      <c r="A3" s="1593" t="s">
        <v>1221</v>
      </c>
      <c r="B3" s="1594" t="str">
        <f>'预评函-封皮'!B40</f>
        <v>北京宏远天竺仓储有限公司</v>
      </c>
    </row>
    <row r="4" spans="1:2" s="1595" customFormat="1">
      <c r="A4" s="1593" t="s">
        <v>1222</v>
      </c>
      <c r="B4" s="1594" t="str">
        <f ca="1">'预评函-封皮'!B46</f>
        <v>欧红伟（注册号：1120000080)、崔锴（注册号：1120100036)</v>
      </c>
    </row>
    <row r="5" spans="1:2" s="1589" customFormat="1" ht="15" thickBot="1">
      <c r="A5" s="1596" t="s">
        <v>1223</v>
      </c>
      <c r="B5" s="1597" t="str">
        <f>'预评函-封皮'!B49</f>
        <v>康正预评字2018-1-0027-P01DYGJ1号</v>
      </c>
    </row>
    <row r="6" spans="1:2" s="1592" customFormat="1" ht="15" thickTop="1">
      <c r="A6" s="1590" t="s">
        <v>1224</v>
      </c>
      <c r="B6" s="1591" t="str">
        <f>'预评函-1'!A4</f>
        <v>受贵公司委托，我公司对北京市顺义区天竺镇府前二街1号4幢等8幢房地产抵押价值进行了预评估。</v>
      </c>
    </row>
    <row r="7" spans="1:2" s="1595" customFormat="1">
      <c r="A7" s="1593" t="s">
        <v>1264</v>
      </c>
      <c r="B7" s="1594" t="str">
        <f>'预评函-1'!A7</f>
        <v>估价对象为北京市顺义区天竺镇府前二街1号4幢等8幢房地产，为北京宏远天竺仓储有限公司所有。根据《国有土地使用证》[京顺国用（2003出）字第0276号]，估价对象（分摊）出让国有建设用地使用权面积为34445.57平方米。根据《房屋所有权证》[X京房权证顺字第273971、223233、223419号]，估价对象建筑面积为47850.3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顺义区天竺镇府前二街1号4幢等8幢房地产,为北京宏远天竺仓储有限公司开发建设的工业项目，该项目尚在开发建设中。根据《国有土地使用证》[京顺国用（2003出）字第0276号]，估价对象（分摊）出让国有建设用地使用权面积为34445.57平方米。根据《房屋所有权证》[X京房权证顺字第273971、223233、223419号]，估价对象规划建筑面积为47850.3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为估价委托人在向办理贷款手续过程中，确定房地产抵押贷款额度提供参考依据而评估房地产抵押价值。</v>
      </c>
    </row>
    <row r="12" spans="1:2" s="1595" customFormat="1">
      <c r="A12" s="1593" t="s">
        <v>1226</v>
      </c>
      <c r="B12" s="1594" t="str">
        <f>'预评函-1'!A15</f>
        <v>2018年1月16日（评估专业人员实地查勘之日）</v>
      </c>
    </row>
    <row r="13" spans="1:2" s="1595" customFormat="1">
      <c r="A13" s="1593" t="s">
        <v>1227</v>
      </c>
      <c r="B13" s="1594" t="str">
        <f>'预评函-1'!A18</f>
        <v>本次估价的“房地产价值”是指在正常市场情况下，在价值时点2018年1月16日，估价对象规划用途为工业，土地取得方式为出让，出让国有建设用地使用权剩余土地使用年限为35.69年，假定未设立法定优先受偿款下的房地产市场价值。</v>
      </c>
    </row>
    <row r="14" spans="1:2" s="1595" customFormat="1">
      <c r="A14" s="1593" t="s">
        <v>1228</v>
      </c>
      <c r="B14" s="1594" t="str">
        <f>'预评函-1'!A19</f>
        <v>其中，“出让国有建设用地使用权价值”是指估价对象用途为工业，实际开发程度为宗地红线外“七通”（即通路、通电、通讯、通上水、通下水、燃气、）、红线内场地平整条件下，剩余土地使用年限为35.69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81054</v>
      </c>
    </row>
    <row r="21" spans="1:2" s="1595" customFormat="1">
      <c r="A21" s="1593" t="s">
        <v>1235</v>
      </c>
      <c r="B21" s="1594">
        <f ca="1">'预评函-2'!D7</f>
        <v>16939</v>
      </c>
    </row>
    <row r="22" spans="1:2" s="1595" customFormat="1">
      <c r="A22" s="1593" t="s">
        <v>1236</v>
      </c>
      <c r="B22" s="1594" t="str">
        <f ca="1">'预评函-2'!D6</f>
        <v>捌亿壹仟零伍拾肆万元整</v>
      </c>
    </row>
    <row r="23" spans="1:2" s="1595" customFormat="1">
      <c r="A23" s="1593" t="s">
        <v>1287</v>
      </c>
      <c r="B23" s="1594" t="str">
        <f>'预评函-2'!B8</f>
        <v>2.估价师知悉的除抵押担保权以外的法定优先受偿款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55000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v>
      </c>
    </row>
    <row r="30" spans="1:2" s="1595" customFormat="1">
      <c r="A30" s="1593" t="s">
        <v>1292</v>
      </c>
      <c r="B30" s="1594" t="str">
        <f>'预评函-2'!D13</f>
        <v>——</v>
      </c>
    </row>
    <row r="31" spans="1:2" s="1595" customFormat="1">
      <c r="A31" s="1593" t="s">
        <v>1274</v>
      </c>
      <c r="B31" s="1594" t="e">
        <f>'预评函-2'!D15</f>
        <v>#VALUE!</v>
      </c>
    </row>
    <row r="32" spans="1:2" s="1595" customFormat="1">
      <c r="A32" s="1593" t="s">
        <v>1241</v>
      </c>
      <c r="B32" s="1594" t="e">
        <f>'预评函-2'!D14</f>
        <v>#VALUE!</v>
      </c>
    </row>
    <row r="33" spans="1:2" s="1595" customFormat="1">
      <c r="A33" s="1593" t="s">
        <v>1276</v>
      </c>
      <c r="B33" s="1594" t="str">
        <f>'预评函-2'!B16</f>
        <v>3.抵押担保权已注销时的房地产抵押价值</v>
      </c>
    </row>
    <row r="34" spans="1:2" s="1595" customFormat="1">
      <c r="A34" s="1593" t="s">
        <v>1294</v>
      </c>
      <c r="B34" s="1594">
        <f ca="1">'预评函-2'!D16</f>
        <v>81054</v>
      </c>
    </row>
    <row r="35" spans="1:2" s="1595" customFormat="1">
      <c r="A35" s="1593" t="s">
        <v>1275</v>
      </c>
      <c r="B35" s="1594">
        <f ca="1">'预评函-2'!D18</f>
        <v>16939</v>
      </c>
    </row>
    <row r="36" spans="1:2" s="1595" customFormat="1">
      <c r="A36" s="1593" t="s">
        <v>1242</v>
      </c>
      <c r="B36" s="1594" t="str">
        <f ca="1">'预评函-2'!D17</f>
        <v>捌亿壹仟零伍拾肆万元整</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北京市顺义区天竺镇府前二街1号4幢等8幢房地产</v>
      </c>
    </row>
    <row r="42" spans="1:2" s="1595" customFormat="1">
      <c r="A42" s="1593" t="s">
        <v>1288</v>
      </c>
      <c r="B42" s="1594" t="str">
        <f>'预评函-3'!B2</f>
        <v>建筑面积</v>
      </c>
    </row>
    <row r="43" spans="1:2" s="1595" customFormat="1">
      <c r="A43" s="1593" t="s">
        <v>1289</v>
      </c>
      <c r="B43" s="1594">
        <f>'预评函-3'!B4</f>
        <v>47850.3</v>
      </c>
    </row>
    <row r="44" spans="1:2" s="1595" customFormat="1">
      <c r="A44" s="1593" t="s">
        <v>1273</v>
      </c>
      <c r="B44" s="1594" t="str">
        <f>'预评函-3'!C2</f>
        <v>(分摊)土地面积</v>
      </c>
    </row>
    <row r="45" spans="1:2" s="1595" customFormat="1">
      <c r="A45" s="1593" t="s">
        <v>1245</v>
      </c>
      <c r="B45" s="1594">
        <f>'预评函-3'!C4</f>
        <v>34445.57</v>
      </c>
    </row>
    <row r="46" spans="1:2" s="1595" customFormat="1">
      <c r="A46" s="1593" t="s">
        <v>1271</v>
      </c>
      <c r="B46" s="1594" t="str">
        <f>'预评函-3'!D2</f>
        <v>出让国有建设用地使用权价值</v>
      </c>
    </row>
    <row r="47" spans="1:2" s="1595" customFormat="1">
      <c r="A47" s="1593" t="s">
        <v>1246</v>
      </c>
      <c r="B47" s="1594">
        <f ca="1">'预评函-3'!D4</f>
        <v>47984</v>
      </c>
    </row>
    <row r="48" spans="1:2" s="1595" customFormat="1">
      <c r="A48" s="1593" t="s">
        <v>1247</v>
      </c>
      <c r="B48" s="1594">
        <f ca="1">'预评函-3'!E4</f>
        <v>10028</v>
      </c>
    </row>
    <row r="49" spans="1:2" s="1595" customFormat="1">
      <c r="A49" s="1593" t="s">
        <v>1248</v>
      </c>
      <c r="B49" s="1594" t="str">
        <f ca="1">'预评函-3'!D5</f>
        <v>肆亿柒仟玖佰捌拾肆万元整</v>
      </c>
    </row>
    <row r="50" spans="1:2" s="1595" customFormat="1">
      <c r="A50" s="1593" t="s">
        <v>1272</v>
      </c>
      <c r="B50" s="1594" t="str">
        <f>'预评函-3'!F2</f>
        <v>建筑物价值</v>
      </c>
    </row>
    <row r="51" spans="1:2" s="1595" customFormat="1">
      <c r="A51" s="1593" t="s">
        <v>1249</v>
      </c>
      <c r="B51" s="1594">
        <f ca="1">'预评函-3'!F4</f>
        <v>33070</v>
      </c>
    </row>
    <row r="52" spans="1:2" s="1595" customFormat="1">
      <c r="A52" s="1593" t="s">
        <v>1250</v>
      </c>
      <c r="B52" s="1594">
        <f ca="1">'预评函-3'!G4</f>
        <v>6911</v>
      </c>
    </row>
    <row r="53" spans="1:2" s="1595" customFormat="1">
      <c r="A53" s="1593" t="s">
        <v>1278</v>
      </c>
      <c r="B53" s="1594" t="str">
        <f ca="1">'预评函-3'!F5</f>
        <v>叁亿叁仟零柒拾万元整</v>
      </c>
    </row>
    <row r="54" spans="1:2" s="1595" customFormat="1">
      <c r="A54" s="1593" t="s">
        <v>1296</v>
      </c>
      <c r="B54" s="1594" t="str">
        <f>'预评函-3'!A8</f>
        <v/>
      </c>
    </row>
    <row r="55" spans="1:2" s="1595" customFormat="1">
      <c r="A55" s="1593" t="s">
        <v>1279</v>
      </c>
      <c r="B55" s="1594" t="str">
        <f>'预评函-3'!A10</f>
        <v>抵押担保权已注销时的房地产抵押价值</v>
      </c>
    </row>
    <row r="56" spans="1:2" s="1595" customFormat="1">
      <c r="A56" s="1593" t="s">
        <v>1280</v>
      </c>
      <c r="B56" s="1594" t="str">
        <f>'预评函-3'!A12</f>
        <v/>
      </c>
    </row>
    <row r="57" spans="1:2" s="1589" customFormat="1" ht="15" thickBot="1">
      <c r="A57" s="1596" t="s">
        <v>1297</v>
      </c>
      <c r="B57" s="1597" t="str">
        <f>'预评函-3'!A6</f>
        <v>估价师知悉的除抵押担保权以外的法定优先受偿款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复印件、《国有土地使用权》复印件，截至价值时点，估价对象已设定抵押。上述抵押权设定日期为2017年8月21日，权利人为北京银行股份有限公司怀柔支行，权利范围为，权利价值为78000。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故，本次评估不存在估价师知悉的除抵押担保权以外的法定优先受偿款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欧红伟</v>
      </c>
    </row>
    <row r="71" spans="1:2">
      <c r="A71" s="1593" t="s">
        <v>1261</v>
      </c>
      <c r="B71" s="1594">
        <f ca="1">'预评函-4'!B4</f>
        <v>1120000080</v>
      </c>
    </row>
    <row r="72" spans="1:2">
      <c r="A72" s="1593" t="s">
        <v>1262</v>
      </c>
      <c r="B72" s="1602" t="str">
        <f>'预评函-4'!A5</f>
        <v>崔锴</v>
      </c>
    </row>
    <row r="73" spans="1:2" s="1589" customFormat="1" ht="15" thickBot="1">
      <c r="A73" s="1596" t="s">
        <v>1263</v>
      </c>
      <c r="B73" s="1597">
        <f ca="1">'预评函-4'!B5</f>
        <v>1120100036</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6" t="s">
        <v>1731</v>
      </c>
      <c r="C5" s="2017" t="s">
        <v>763</v>
      </c>
      <c r="F5" s="2018" t="s">
        <v>1732</v>
      </c>
      <c r="H5" s="2018" t="s">
        <v>1733</v>
      </c>
      <c r="I5" s="2018" t="s">
        <v>1734</v>
      </c>
      <c r="K5" s="2018" t="s">
        <v>1735</v>
      </c>
      <c r="L5" s="2018" t="s">
        <v>1735</v>
      </c>
      <c r="M5" s="2018" t="s">
        <v>1735</v>
      </c>
      <c r="N5" s="2018" t="s">
        <v>1735</v>
      </c>
      <c r="O5" s="2018" t="s">
        <v>1735</v>
      </c>
      <c r="P5" s="2018" t="s">
        <v>1735</v>
      </c>
      <c r="Q5" s="2018" t="s">
        <v>1735</v>
      </c>
      <c r="R5" s="2018" t="s">
        <v>1142</v>
      </c>
      <c r="S5" s="2018" t="s">
        <v>1735</v>
      </c>
      <c r="T5" s="2018" t="s">
        <v>1736</v>
      </c>
      <c r="U5" s="2018" t="s">
        <v>1735</v>
      </c>
      <c r="W5" s="2018" t="s">
        <v>1735</v>
      </c>
    </row>
    <row r="6" spans="1:23">
      <c r="A6" s="2016" t="s">
        <v>1737</v>
      </c>
      <c r="B6" s="2019" t="s">
        <v>1146</v>
      </c>
      <c r="C6" s="2022" t="s">
        <v>30</v>
      </c>
      <c r="F6" s="2018" t="s">
        <v>1733</v>
      </c>
      <c r="H6" s="2018" t="s">
        <v>1738</v>
      </c>
      <c r="I6" s="2018" t="s">
        <v>1739</v>
      </c>
      <c r="K6" s="2018" t="s">
        <v>1740</v>
      </c>
      <c r="L6" s="2018" t="s">
        <v>1740</v>
      </c>
      <c r="M6" s="2018" t="s">
        <v>1740</v>
      </c>
      <c r="N6" s="2018" t="s">
        <v>1740</v>
      </c>
      <c r="O6" s="2018" t="s">
        <v>1740</v>
      </c>
      <c r="P6" s="2018" t="s">
        <v>1740</v>
      </c>
      <c r="Q6" s="2018" t="s">
        <v>1740</v>
      </c>
      <c r="R6" s="2018" t="s">
        <v>1143</v>
      </c>
      <c r="S6" s="2018" t="s">
        <v>1740</v>
      </c>
      <c r="T6" s="2018"/>
      <c r="U6" s="2018" t="s">
        <v>1740</v>
      </c>
      <c r="W6" s="2018" t="s">
        <v>1740</v>
      </c>
    </row>
    <row r="7" spans="1:23">
      <c r="A7" s="2016" t="s">
        <v>1741</v>
      </c>
      <c r="B7" s="2019" t="s">
        <v>1147</v>
      </c>
      <c r="C7" s="2017" t="s">
        <v>31</v>
      </c>
      <c r="F7" s="2018" t="s">
        <v>1742</v>
      </c>
      <c r="H7" s="2018" t="s">
        <v>1743</v>
      </c>
      <c r="I7" s="2018" t="s">
        <v>1744</v>
      </c>
    </row>
    <row r="8" spans="1:23">
      <c r="A8" s="2016" t="s">
        <v>1745</v>
      </c>
      <c r="B8" s="2016" t="s">
        <v>1746</v>
      </c>
      <c r="C8" s="2017" t="s">
        <v>764</v>
      </c>
      <c r="F8" s="2018" t="s">
        <v>1747</v>
      </c>
      <c r="H8" s="2018"/>
      <c r="I8" s="2018" t="s">
        <v>1748</v>
      </c>
    </row>
    <row r="9" spans="1:23">
      <c r="A9" s="2016" t="s">
        <v>1749</v>
      </c>
      <c r="B9" s="2016" t="s">
        <v>1750</v>
      </c>
      <c r="C9" s="2017" t="s">
        <v>765</v>
      </c>
      <c r="F9" s="2018" t="s">
        <v>1751</v>
      </c>
      <c r="H9" s="2018"/>
    </row>
    <row r="10" spans="1:23">
      <c r="A10" s="2016" t="s">
        <v>1752</v>
      </c>
      <c r="B10" s="2016" t="s">
        <v>1753</v>
      </c>
      <c r="C10" s="2017" t="s">
        <v>766</v>
      </c>
      <c r="F10" s="2018" t="s">
        <v>16</v>
      </c>
    </row>
    <row r="11" spans="1:23">
      <c r="A11" s="2016" t="s">
        <v>1754</v>
      </c>
      <c r="B11" s="2016" t="s">
        <v>1755</v>
      </c>
      <c r="C11" s="2017" t="s">
        <v>767</v>
      </c>
    </row>
    <row r="12" spans="1:23">
      <c r="A12" s="2016" t="s">
        <v>1756</v>
      </c>
      <c r="B12" s="2016" t="s">
        <v>1757</v>
      </c>
      <c r="C12" s="2017" t="s">
        <v>768</v>
      </c>
    </row>
    <row r="13" spans="1:23">
      <c r="A13" s="2016" t="s">
        <v>1758</v>
      </c>
      <c r="B13" s="2016" t="s">
        <v>1759</v>
      </c>
      <c r="C13" s="2017" t="s">
        <v>769</v>
      </c>
    </row>
    <row r="14" spans="1:23">
      <c r="A14" s="2016" t="s">
        <v>1760</v>
      </c>
      <c r="B14" s="2016" t="s">
        <v>1761</v>
      </c>
      <c r="C14" s="2018" t="s">
        <v>16</v>
      </c>
    </row>
    <row r="15" spans="1:23">
      <c r="A15" s="2016" t="s">
        <v>1762</v>
      </c>
      <c r="B15" s="2016" t="s">
        <v>1763</v>
      </c>
      <c r="C15" s="2017"/>
    </row>
    <row r="16" spans="1:23">
      <c r="A16" s="2016" t="s">
        <v>1764</v>
      </c>
      <c r="B16" s="2016" t="s">
        <v>756</v>
      </c>
      <c r="C16" s="2017"/>
    </row>
    <row r="17" spans="1:3">
      <c r="A17" s="2016" t="s">
        <v>1765</v>
      </c>
      <c r="B17" s="2016" t="s">
        <v>757</v>
      </c>
      <c r="C17" s="2017"/>
    </row>
    <row r="18" spans="1:3">
      <c r="A18" s="2016" t="s">
        <v>1766</v>
      </c>
      <c r="B18" s="2016" t="s">
        <v>757</v>
      </c>
      <c r="C18" s="2017"/>
    </row>
    <row r="19" spans="1:3">
      <c r="A19" s="2016" t="s">
        <v>1767</v>
      </c>
      <c r="B19" s="2016" t="s">
        <v>757</v>
      </c>
      <c r="C19" s="2017"/>
    </row>
    <row r="20" spans="1:3">
      <c r="A20" s="2016" t="s">
        <v>1768</v>
      </c>
      <c r="B20" s="2016" t="s">
        <v>757</v>
      </c>
      <c r="C20" s="2017"/>
    </row>
    <row r="21" spans="1:3">
      <c r="A21" s="2016" t="s">
        <v>1769</v>
      </c>
      <c r="B21" s="2016" t="s">
        <v>757</v>
      </c>
      <c r="C21" s="2017"/>
    </row>
    <row r="22" spans="1:3">
      <c r="A22" s="2016" t="s">
        <v>1770</v>
      </c>
      <c r="B22" s="2016" t="s">
        <v>757</v>
      </c>
      <c r="C22" s="2017"/>
    </row>
    <row r="23" spans="1:3">
      <c r="A23" s="2016" t="s">
        <v>1771</v>
      </c>
      <c r="B23" s="2016" t="s">
        <v>757</v>
      </c>
      <c r="C23" s="2017"/>
    </row>
    <row r="24" spans="1:3">
      <c r="A24" s="2016" t="s">
        <v>1772</v>
      </c>
      <c r="B24" s="2016" t="s">
        <v>757</v>
      </c>
      <c r="C24" s="2017"/>
    </row>
    <row r="25" spans="1:3">
      <c r="A25" s="2016" t="s">
        <v>1773</v>
      </c>
      <c r="B25" s="2016" t="s">
        <v>757</v>
      </c>
      <c r="C25" s="2017"/>
    </row>
    <row r="26" spans="1:3">
      <c r="A26" s="2016" t="s">
        <v>1774</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宏远天竺仓储有限公司拟使用北京市顺义区天竺镇府前二街1号4幢等8幢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109"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16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09"/>
      <c r="B54" s="2024" t="s">
        <v>864</v>
      </c>
      <c r="C54" s="2021" t="s">
        <v>1281</v>
      </c>
    </row>
    <row r="55" spans="1:4">
      <c r="A55" s="3109"/>
      <c r="B55" s="2024" t="s">
        <v>865</v>
      </c>
      <c r="C55" s="2021" t="s">
        <v>1282</v>
      </c>
    </row>
    <row r="56" spans="1:4">
      <c r="A56" s="3109"/>
      <c r="B56" s="2024" t="s">
        <v>866</v>
      </c>
      <c r="C56" s="2021" t="s">
        <v>1286</v>
      </c>
    </row>
    <row r="57" spans="1:4">
      <c r="A57" s="3109"/>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J32" sqref="J3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1" customWidth="1"/>
    <col min="10" max="10" width="10" style="2034" customWidth="1"/>
    <col min="11" max="11" width="10" style="2162" customWidth="1"/>
    <col min="12" max="13" width="10" style="2163" customWidth="1"/>
    <col min="14" max="14" width="10" style="2034" customWidth="1"/>
    <col min="15" max="15" width="10" style="2161" customWidth="1"/>
    <col min="16" max="17" width="10" style="2034"/>
    <col min="18" max="18" width="10" style="2034" customWidth="1"/>
    <col min="19" max="16384" width="10" style="2034"/>
  </cols>
  <sheetData>
    <row r="1" spans="1:19" ht="38.25" customHeight="1" thickBot="1">
      <c r="A1" s="2027" t="s">
        <v>1775</v>
      </c>
      <c r="B1" s="3110" t="str">
        <f>IF(B10="北京市","北京市",C10)&amp;F10&amp;IF(结果表!G1="在建","出让国有建设用地使用权及在建建筑物",IF(结果表!G1="土地","出让国有建设用地使用权",))&amp;B9&amp;"预评估"</f>
        <v>北京市顺义区天竺镇府前二街1号4幢等8幢房地产抵押价值预评估</v>
      </c>
      <c r="C1" s="3111"/>
      <c r="D1" s="3111"/>
      <c r="E1" s="3111"/>
      <c r="F1" s="3111"/>
      <c r="G1" s="3111"/>
      <c r="H1" s="3111"/>
      <c r="I1" s="3112"/>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北京市顺义区天竺镇府前二街1号4幢等8幢房地产抵押价值</v>
      </c>
    </row>
    <row r="2" spans="1:19" ht="18" customHeight="1">
      <c r="A2" s="2028" t="s">
        <v>1776</v>
      </c>
      <c r="B2" s="1041" t="s">
        <v>3296</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北京市顺义区天竺镇府前二街1号4幢等8幢房地产</v>
      </c>
    </row>
    <row r="3" spans="1:19" ht="18" customHeight="1">
      <c r="A3" s="2037" t="s">
        <v>1777</v>
      </c>
      <c r="B3" s="2038">
        <v>43116</v>
      </c>
      <c r="C3" s="2039" t="s">
        <v>1778</v>
      </c>
      <c r="D3" s="2038">
        <f>B3</f>
        <v>43116</v>
      </c>
      <c r="E3" s="2028"/>
      <c r="F3" s="2028"/>
      <c r="G3" s="2028"/>
      <c r="H3" s="2028"/>
      <c r="I3" s="2028"/>
      <c r="J3" s="2028"/>
      <c r="K3" s="2029"/>
      <c r="L3" s="2030"/>
      <c r="M3" s="2030"/>
      <c r="N3" s="2031"/>
      <c r="O3" s="2032"/>
      <c r="P3" s="2031"/>
      <c r="Q3" s="2031"/>
      <c r="R3" s="2031"/>
      <c r="S3" s="2033"/>
    </row>
    <row r="4" spans="1:19" ht="18" customHeight="1" thickBot="1">
      <c r="A4" s="2040" t="s">
        <v>1779</v>
      </c>
      <c r="B4" s="2041" t="s">
        <v>3027</v>
      </c>
      <c r="C4" s="1039">
        <f ca="1">SUMIF(注册房地产估价师,B4,估价师及机构信息!B3:B24)</f>
        <v>1120000080</v>
      </c>
      <c r="D4" s="2041" t="s">
        <v>3028</v>
      </c>
      <c r="E4" s="1040">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1780</v>
      </c>
      <c r="B5" s="2939" t="s">
        <v>3029</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1781</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1782</v>
      </c>
      <c r="B7" s="2054" t="str">
        <f>B5</f>
        <v>北京宏远天竺仓储有限公司</v>
      </c>
      <c r="C7" s="2051"/>
      <c r="D7" s="2052"/>
      <c r="E7" s="2036"/>
      <c r="F7" s="2044"/>
      <c r="G7" s="2044"/>
      <c r="H7" s="2044"/>
      <c r="I7" s="2044"/>
      <c r="J7" s="2044"/>
      <c r="K7" s="2055"/>
      <c r="L7" s="2030"/>
      <c r="M7" s="2030"/>
      <c r="N7" s="2031"/>
      <c r="O7" s="2032"/>
      <c r="P7" s="2031"/>
      <c r="Q7" s="2031"/>
      <c r="R7" s="2031"/>
    </row>
    <row r="8" spans="1:19" ht="18" customHeight="1">
      <c r="A8" s="2049" t="s">
        <v>1783</v>
      </c>
      <c r="B8" s="2056" t="s">
        <v>3030</v>
      </c>
      <c r="C8" s="2057"/>
      <c r="D8" s="3113" t="s">
        <v>1784</v>
      </c>
      <c r="E8" s="2058" t="s">
        <v>3297</v>
      </c>
      <c r="F8" s="2059"/>
      <c r="G8" s="2028"/>
      <c r="H8" s="2028"/>
      <c r="I8" s="2028"/>
      <c r="J8" s="2044"/>
      <c r="K8" s="2045"/>
      <c r="L8" s="2030"/>
      <c r="M8" s="2030"/>
      <c r="N8" s="2031"/>
      <c r="O8" s="2032"/>
      <c r="P8" s="2031"/>
      <c r="Q8" s="2031"/>
      <c r="R8" s="2031"/>
    </row>
    <row r="9" spans="1:19" ht="18" customHeight="1" thickBot="1">
      <c r="A9" s="2042" t="s">
        <v>1785</v>
      </c>
      <c r="B9" s="2060" t="s">
        <v>3031</v>
      </c>
      <c r="C9" s="2061"/>
      <c r="D9" s="3114"/>
      <c r="E9" s="2060"/>
      <c r="F9" s="2062"/>
      <c r="G9" s="2063"/>
      <c r="H9" s="2063"/>
      <c r="I9" s="2063"/>
      <c r="J9" s="2044"/>
      <c r="K9" s="2055"/>
      <c r="L9" s="2030"/>
      <c r="M9" s="2030"/>
      <c r="N9" s="2031"/>
      <c r="O9" s="2032"/>
      <c r="P9" s="2031"/>
      <c r="Q9" s="2031"/>
      <c r="R9" s="2031"/>
    </row>
    <row r="10" spans="1:19" ht="18" customHeight="1" thickTop="1">
      <c r="A10" s="2064" t="s">
        <v>1786</v>
      </c>
      <c r="B10" s="2065" t="s">
        <v>3032</v>
      </c>
      <c r="C10" s="2066"/>
      <c r="D10" s="2048"/>
      <c r="E10" s="2067" t="s">
        <v>1787</v>
      </c>
      <c r="F10" s="2068" t="s">
        <v>3285</v>
      </c>
      <c r="G10" s="2069"/>
      <c r="H10" s="2070"/>
      <c r="I10" s="2048"/>
      <c r="J10" s="2044"/>
      <c r="K10" s="2055"/>
      <c r="L10" s="2030"/>
      <c r="M10" s="2030"/>
      <c r="N10" s="2031"/>
      <c r="O10" s="2032"/>
      <c r="P10" s="2031"/>
      <c r="Q10" s="2031"/>
      <c r="R10" s="2031"/>
    </row>
    <row r="11" spans="1:19" ht="18" customHeight="1">
      <c r="A11" s="2071" t="s">
        <v>1788</v>
      </c>
      <c r="B11" s="2072" t="s">
        <v>3033</v>
      </c>
      <c r="C11" s="2073" t="str">
        <f>B7</f>
        <v>北京宏远天竺仓储有限公司</v>
      </c>
      <c r="D11" s="2074"/>
      <c r="E11" s="2044"/>
      <c r="F11" s="2044"/>
      <c r="G11" s="2044"/>
      <c r="H11" s="2044"/>
      <c r="I11" s="2044"/>
      <c r="J11" s="2044"/>
      <c r="K11" s="2055"/>
      <c r="L11" s="2030"/>
      <c r="M11" s="2030"/>
      <c r="N11" s="2031"/>
      <c r="O11" s="2032"/>
      <c r="P11" s="2031"/>
      <c r="Q11" s="2031"/>
      <c r="R11" s="2031"/>
    </row>
    <row r="12" spans="1:19" ht="18" customHeight="1">
      <c r="A12" s="2075" t="s">
        <v>1789</v>
      </c>
      <c r="B12" s="2072" t="s">
        <v>3034</v>
      </c>
      <c r="C12" s="2076" t="s">
        <v>1790</v>
      </c>
      <c r="D12" s="2077" t="s">
        <v>1791</v>
      </c>
      <c r="E12" s="2077" t="s">
        <v>1792</v>
      </c>
      <c r="F12" s="2077" t="s">
        <v>1793</v>
      </c>
      <c r="G12" s="2077" t="s">
        <v>1794</v>
      </c>
      <c r="H12" s="2077" t="s">
        <v>1795</v>
      </c>
      <c r="I12" s="2077" t="s">
        <v>1796</v>
      </c>
      <c r="J12" s="2044"/>
      <c r="K12" s="2055"/>
      <c r="L12" s="2030"/>
      <c r="M12" s="2030"/>
      <c r="N12" s="2031"/>
      <c r="O12" s="2032"/>
      <c r="P12" s="2031"/>
      <c r="Q12" s="2031"/>
      <c r="R12" s="2031"/>
    </row>
    <row r="13" spans="1:19" ht="18" customHeight="1">
      <c r="A13" s="2078"/>
      <c r="B13" s="2079"/>
      <c r="C13" s="2080" t="s">
        <v>1797</v>
      </c>
      <c r="D13" s="2081"/>
      <c r="E13" s="2081"/>
      <c r="F13" s="2081"/>
      <c r="G13" s="2081"/>
      <c r="H13" s="2081"/>
      <c r="I13" s="1049">
        <v>56145</v>
      </c>
      <c r="J13" s="2044"/>
      <c r="K13" s="2055"/>
      <c r="L13" s="2030"/>
      <c r="M13" s="2030"/>
      <c r="N13" s="2031"/>
      <c r="O13" s="2032"/>
      <c r="P13" s="2031"/>
      <c r="Q13" s="2031"/>
      <c r="R13" s="2031"/>
    </row>
    <row r="14" spans="1:19" ht="18" customHeight="1">
      <c r="A14" s="2078"/>
      <c r="B14" s="2079"/>
      <c r="C14" s="2080" t="s">
        <v>1798</v>
      </c>
      <c r="D14" s="1052"/>
      <c r="E14" s="1052"/>
      <c r="F14" s="1052"/>
      <c r="G14" s="1052"/>
      <c r="H14" s="1052"/>
      <c r="I14" s="1052">
        <v>50</v>
      </c>
      <c r="J14" s="2044"/>
      <c r="K14" s="2082"/>
      <c r="L14" s="2030"/>
      <c r="M14" s="2030"/>
      <c r="N14" s="2031"/>
      <c r="O14" s="2032"/>
      <c r="P14" s="2031"/>
      <c r="Q14" s="2031"/>
      <c r="R14" s="2031"/>
    </row>
    <row r="15" spans="1:19" ht="18" customHeight="1">
      <c r="A15" s="2064"/>
      <c r="B15" s="2083"/>
      <c r="C15" s="2080" t="s">
        <v>1799</v>
      </c>
      <c r="D15" s="1051" t="str">
        <f>IF(B12="出让",IF(D13="","",ROUNDDOWN(MIN((D13-$D$3)/365,D14),2)),D14)</f>
        <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f>IF(B12="出让",IF(I13="","",ROUNDDOWN(MIN((I13-$D$3)/365,I14),2)),I14)</f>
        <v>35.69</v>
      </c>
      <c r="J15" s="2044"/>
      <c r="K15" s="2084"/>
      <c r="L15" s="2085"/>
      <c r="M15" s="2085"/>
      <c r="N15" s="2086"/>
      <c r="O15" s="2085"/>
      <c r="P15" s="2086"/>
      <c r="Q15" s="2031"/>
      <c r="R15" s="2031"/>
    </row>
    <row r="16" spans="1:19" ht="30.75" customHeight="1">
      <c r="A16" s="2067" t="s">
        <v>1800</v>
      </c>
      <c r="B16" s="3120" t="s">
        <v>3035</v>
      </c>
      <c r="C16" s="3121"/>
      <c r="D16" s="3122"/>
      <c r="E16" s="2087" t="s">
        <v>1801</v>
      </c>
      <c r="F16" s="3123" t="s">
        <v>3286</v>
      </c>
      <c r="G16" s="3124"/>
      <c r="H16" s="3124"/>
      <c r="I16" s="3125"/>
      <c r="J16" s="2031"/>
      <c r="K16" s="2084"/>
      <c r="L16" s="2085"/>
      <c r="M16" s="2085"/>
      <c r="N16" s="2086"/>
      <c r="O16" s="2085"/>
      <c r="P16" s="2086"/>
      <c r="Q16" s="2031"/>
      <c r="R16" s="2031"/>
    </row>
    <row r="17" spans="1:22" ht="18" customHeight="1">
      <c r="A17" s="2088" t="s">
        <v>1802</v>
      </c>
      <c r="B17" s="2037" t="s">
        <v>1803</v>
      </c>
      <c r="C17" s="1056">
        <f>'数据-汇总表'!E3</f>
        <v>47850.3</v>
      </c>
      <c r="D17" s="2089" t="s">
        <v>1804</v>
      </c>
      <c r="E17" s="3126" t="s">
        <v>3287</v>
      </c>
      <c r="F17" s="3127"/>
      <c r="G17" s="3127"/>
      <c r="H17" s="3127"/>
      <c r="I17" s="3128"/>
      <c r="J17" s="2031"/>
      <c r="K17" s="2090"/>
      <c r="L17" s="2085"/>
      <c r="M17" s="2085"/>
      <c r="N17" s="2086"/>
      <c r="O17" s="2085"/>
      <c r="P17" s="2086"/>
      <c r="Q17" s="2031"/>
      <c r="R17" s="2031"/>
      <c r="S17" s="2031"/>
      <c r="T17" s="2031"/>
      <c r="U17" s="2031"/>
      <c r="V17" s="2031"/>
    </row>
    <row r="18" spans="1:22" ht="36" customHeight="1" thickBot="1">
      <c r="A18" s="2091" t="s">
        <v>70</v>
      </c>
      <c r="B18" s="2040" t="s">
        <v>1805</v>
      </c>
      <c r="C18" s="1446">
        <f>'数据-汇总表'!D3</f>
        <v>34445.57</v>
      </c>
      <c r="D18" s="2092" t="s">
        <v>1804</v>
      </c>
      <c r="E18" s="3129" t="s">
        <v>3288</v>
      </c>
      <c r="F18" s="3130"/>
      <c r="G18" s="3130"/>
      <c r="H18" s="3130"/>
      <c r="I18" s="3131"/>
      <c r="J18" s="2031"/>
      <c r="K18" s="2090"/>
      <c r="L18" s="2085"/>
      <c r="M18" s="2085"/>
      <c r="N18" s="2086"/>
      <c r="O18" s="2085"/>
      <c r="P18" s="2086"/>
      <c r="Q18" s="2031"/>
      <c r="R18" s="2031"/>
      <c r="S18" s="2031"/>
      <c r="T18" s="2031"/>
      <c r="U18" s="2031"/>
      <c r="V18" s="2031"/>
    </row>
    <row r="19" spans="1:22" ht="37.5" customHeight="1" thickTop="1" thickBot="1">
      <c r="A19" s="372" t="s">
        <v>1806</v>
      </c>
      <c r="B19" s="351" t="s">
        <v>1807</v>
      </c>
      <c r="C19" s="2093" t="s">
        <v>3051</v>
      </c>
      <c r="D19" s="2094" t="s">
        <v>1808</v>
      </c>
      <c r="E19" s="2095" t="s">
        <v>3051</v>
      </c>
      <c r="F19" s="2096" t="str">
        <f>IF(AND(C19="是",E19="否"),"是否提供他项权证或相关说明","")</f>
        <v/>
      </c>
      <c r="G19" s="2097" t="s">
        <v>70</v>
      </c>
      <c r="H19" s="2044"/>
      <c r="I19" s="2044"/>
      <c r="J19" s="2044"/>
      <c r="K19" s="2055"/>
      <c r="L19" s="2030"/>
      <c r="M19" s="2030"/>
      <c r="N19" s="2086"/>
      <c r="O19" s="2085"/>
      <c r="P19" s="2086"/>
      <c r="Q19" s="2031"/>
      <c r="R19" s="2031"/>
      <c r="S19" s="2031"/>
      <c r="T19" s="2031"/>
      <c r="U19" s="2031"/>
      <c r="V19" s="2031"/>
    </row>
    <row r="20" spans="1:22" ht="18" customHeight="1">
      <c r="A20" s="2098" t="s">
        <v>1809</v>
      </c>
      <c r="B20" s="3116" t="s">
        <v>1810</v>
      </c>
      <c r="C20" s="3117"/>
      <c r="D20" s="3118" t="s">
        <v>1811</v>
      </c>
      <c r="E20" s="3119"/>
      <c r="F20" s="2099" t="s">
        <v>1812</v>
      </c>
      <c r="G20" s="2044"/>
      <c r="H20" s="2044"/>
      <c r="I20" s="2044"/>
      <c r="J20" s="2044"/>
      <c r="K20" s="3115" t="s">
        <v>1813</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6"/>
      <c r="O20" s="2085"/>
      <c r="P20" s="2086"/>
      <c r="Q20" s="2031"/>
      <c r="R20" s="2031"/>
      <c r="S20" s="2031"/>
      <c r="T20" s="2031"/>
      <c r="U20" s="2031"/>
      <c r="V20" s="2031"/>
    </row>
    <row r="21" spans="1:22" ht="24.75" customHeight="1">
      <c r="A21" s="2098"/>
      <c r="B21" s="2100" t="s">
        <v>1814</v>
      </c>
      <c r="C21" s="2101" t="s">
        <v>3037</v>
      </c>
      <c r="D21" s="2102"/>
      <c r="E21" s="2103" t="s">
        <v>70</v>
      </c>
      <c r="F21" s="2104"/>
      <c r="G21" s="2044"/>
      <c r="H21" s="2044"/>
      <c r="I21" s="2044"/>
      <c r="J21" s="2044"/>
      <c r="K21" s="3115"/>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上述抵押权设定日期为2017年8月21日，权利人为北京银行股份有限公司怀柔支行，权利范围为，权利价值为78000。</v>
      </c>
      <c r="M21" s="2030"/>
      <c r="N21" s="2086"/>
      <c r="O21" s="2085"/>
      <c r="P21" s="2086"/>
      <c r="Q21" s="2031"/>
      <c r="R21" s="2031"/>
      <c r="S21" s="2031"/>
      <c r="T21" s="2031"/>
      <c r="U21" s="2031"/>
      <c r="V21" s="2031"/>
    </row>
    <row r="22" spans="1:22" ht="24.75" customHeight="1" thickBot="1">
      <c r="A22" s="2098"/>
      <c r="B22" s="2105" t="s">
        <v>1815</v>
      </c>
      <c r="C22" s="2101" t="s">
        <v>1816</v>
      </c>
      <c r="D22" s="2028"/>
      <c r="E22" s="2028"/>
      <c r="F22" s="2106"/>
      <c r="G22" s="2044"/>
      <c r="H22" s="2044"/>
      <c r="I22" s="2044"/>
      <c r="J22" s="2044"/>
      <c r="K22" s="3115"/>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030"/>
      <c r="N22" s="2086"/>
      <c r="O22" s="2085"/>
      <c r="P22" s="2086"/>
      <c r="Q22" s="2031"/>
      <c r="R22" s="2031"/>
      <c r="S22" s="2031"/>
      <c r="T22" s="2031"/>
      <c r="U22" s="2031"/>
      <c r="V22" s="2031"/>
    </row>
    <row r="23" spans="1:22" ht="18" customHeight="1">
      <c r="A23" s="2107" t="s">
        <v>1817</v>
      </c>
      <c r="B23" s="182" t="s">
        <v>1818</v>
      </c>
      <c r="C23" s="2108">
        <v>42968</v>
      </c>
      <c r="D23" s="2109" t="s">
        <v>1818</v>
      </c>
      <c r="E23" s="2110"/>
      <c r="F23" s="2106"/>
      <c r="G23" s="2044"/>
      <c r="H23" s="2044"/>
      <c r="I23" s="2044"/>
      <c r="J23" s="2044"/>
      <c r="K23" s="2111"/>
      <c r="L23" s="747"/>
      <c r="M23" s="2030"/>
      <c r="N23" s="2086"/>
      <c r="O23" s="2085"/>
      <c r="P23" s="2086"/>
      <c r="Q23" s="2031"/>
      <c r="R23" s="2031"/>
      <c r="S23" s="2031"/>
      <c r="T23" s="2031"/>
      <c r="U23" s="2031"/>
      <c r="V23" s="2031"/>
    </row>
    <row r="24" spans="1:22" ht="18" customHeight="1">
      <c r="A24" s="2112"/>
      <c r="B24" s="182" t="s">
        <v>1819</v>
      </c>
      <c r="C24" s="3061" t="s">
        <v>3289</v>
      </c>
      <c r="D24" s="2107" t="s">
        <v>1819</v>
      </c>
      <c r="E24" s="2114"/>
      <c r="F24" s="2106"/>
      <c r="G24" s="2044"/>
      <c r="H24" s="2044"/>
      <c r="I24" s="2044"/>
      <c r="J24" s="2044"/>
      <c r="K24" s="2111"/>
      <c r="L24" s="747"/>
      <c r="M24" s="2030"/>
      <c r="N24" s="2086"/>
      <c r="O24" s="2085"/>
      <c r="P24" s="2086"/>
      <c r="Q24" s="2031"/>
      <c r="R24" s="2031"/>
      <c r="S24" s="2031"/>
      <c r="T24" s="2031"/>
      <c r="U24" s="2031"/>
      <c r="V24" s="2031"/>
    </row>
    <row r="25" spans="1:22" ht="18" customHeight="1">
      <c r="A25" s="2112"/>
      <c r="B25" s="182" t="s">
        <v>1820</v>
      </c>
      <c r="C25" s="2113"/>
      <c r="D25" s="2107" t="s">
        <v>1820</v>
      </c>
      <c r="E25" s="2114"/>
      <c r="F25" s="2106"/>
      <c r="G25" s="2044"/>
      <c r="H25" s="2044"/>
      <c r="I25" s="2044"/>
      <c r="J25" s="2044"/>
      <c r="K25" s="2055"/>
      <c r="L25" s="2030"/>
      <c r="M25" s="2030"/>
      <c r="N25" s="2086"/>
      <c r="O25" s="2085"/>
      <c r="P25" s="2086"/>
      <c r="Q25" s="2031"/>
      <c r="R25" s="2031"/>
      <c r="S25" s="2031"/>
      <c r="T25" s="2031"/>
      <c r="U25" s="2031"/>
      <c r="V25" s="2031"/>
    </row>
    <row r="26" spans="1:22" ht="18" customHeight="1" thickBot="1">
      <c r="A26" s="2115"/>
      <c r="B26" s="2116" t="s">
        <v>1821</v>
      </c>
      <c r="C26" s="2117">
        <v>78000</v>
      </c>
      <c r="D26" s="2118" t="s">
        <v>1822</v>
      </c>
      <c r="E26" s="2119"/>
      <c r="F26" s="2120"/>
      <c r="G26" s="2063"/>
      <c r="H26" s="2063"/>
      <c r="I26" s="2063"/>
      <c r="J26" s="2044"/>
      <c r="K26" s="2055"/>
      <c r="L26" s="2030"/>
      <c r="M26" s="2030"/>
      <c r="N26" s="2086"/>
      <c r="O26" s="2085"/>
      <c r="P26" s="2086"/>
      <c r="Q26" s="2031"/>
      <c r="R26" s="2031"/>
      <c r="S26" s="2031"/>
      <c r="T26" s="2031"/>
      <c r="U26" s="2031"/>
      <c r="V26" s="2031"/>
    </row>
    <row r="27" spans="1:22" ht="18" customHeight="1" thickTop="1">
      <c r="A27" s="3133" t="s">
        <v>1823</v>
      </c>
      <c r="B27" s="2064" t="s">
        <v>1824</v>
      </c>
      <c r="C27" s="2121" t="s">
        <v>3038</v>
      </c>
      <c r="D27" s="2122"/>
      <c r="E27" s="2044"/>
      <c r="F27" s="2044"/>
      <c r="G27" s="2044"/>
      <c r="H27" s="2044"/>
      <c r="I27" s="2044"/>
      <c r="J27" s="2031"/>
      <c r="K27" s="2084"/>
      <c r="L27" s="2085"/>
      <c r="M27" s="2085"/>
      <c r="N27" s="2086"/>
      <c r="O27" s="2085"/>
      <c r="P27" s="2086"/>
      <c r="Q27" s="2031"/>
      <c r="R27" s="2031"/>
      <c r="S27" s="2031"/>
      <c r="T27" s="2031"/>
      <c r="U27" s="2031"/>
      <c r="V27" s="2031"/>
    </row>
    <row r="28" spans="1:22" ht="18" customHeight="1">
      <c r="A28" s="3133"/>
      <c r="B28" s="2037" t="s">
        <v>1825</v>
      </c>
      <c r="C28" s="2123" t="s">
        <v>3039</v>
      </c>
      <c r="D28" s="2124"/>
      <c r="E28" s="2044"/>
      <c r="F28" s="2044"/>
      <c r="G28" s="2044"/>
      <c r="H28" s="2044"/>
      <c r="I28" s="2044"/>
      <c r="J28" s="2031"/>
      <c r="K28" s="2125"/>
      <c r="L28" s="2030"/>
      <c r="M28" s="2030"/>
      <c r="N28" s="2031"/>
      <c r="O28" s="2032"/>
      <c r="P28" s="2031"/>
      <c r="Q28" s="2031"/>
      <c r="R28" s="2031"/>
      <c r="S28" s="2031"/>
      <c r="T28" s="2031"/>
      <c r="U28" s="2031"/>
      <c r="V28" s="2031"/>
    </row>
    <row r="29" spans="1:22" ht="18" customHeight="1">
      <c r="A29" s="3133"/>
      <c r="B29" s="2037" t="s">
        <v>1826</v>
      </c>
      <c r="C29" s="2126" t="s">
        <v>3036</v>
      </c>
      <c r="D29" s="2127"/>
      <c r="E29" s="2044"/>
      <c r="F29" s="2044"/>
      <c r="G29" s="2044"/>
      <c r="H29" s="2044"/>
      <c r="I29" s="2044"/>
      <c r="J29" s="2031"/>
      <c r="K29" s="2125"/>
      <c r="L29" s="2030"/>
      <c r="M29" s="2030"/>
      <c r="N29" s="2031"/>
      <c r="O29" s="2032"/>
      <c r="P29" s="2031"/>
      <c r="Q29" s="2031"/>
      <c r="R29" s="2031"/>
      <c r="S29" s="2031"/>
      <c r="T29" s="2031"/>
      <c r="U29" s="2031"/>
      <c r="V29" s="2031"/>
    </row>
    <row r="30" spans="1:22" ht="18" customHeight="1">
      <c r="A30" s="3134"/>
      <c r="B30" s="2037" t="s">
        <v>1827</v>
      </c>
      <c r="C30" s="3135"/>
      <c r="D30" s="3136"/>
      <c r="E30" s="2044"/>
      <c r="F30" s="2044"/>
      <c r="G30" s="2044"/>
      <c r="H30" s="2044"/>
      <c r="I30" s="2044"/>
      <c r="J30" s="2031"/>
      <c r="K30" s="2125"/>
      <c r="L30" s="2030"/>
      <c r="M30" s="2030"/>
      <c r="N30" s="2031"/>
      <c r="O30" s="2032"/>
      <c r="P30" s="2031"/>
      <c r="Q30" s="2031"/>
      <c r="R30" s="2031"/>
      <c r="S30" s="2031"/>
      <c r="T30" s="2031"/>
      <c r="U30" s="2031"/>
      <c r="V30" s="2031"/>
    </row>
    <row r="31" spans="1:22" ht="18" customHeight="1">
      <c r="A31" s="3137" t="s">
        <v>1828</v>
      </c>
      <c r="B31" s="2128" t="s">
        <v>3040</v>
      </c>
      <c r="C31" s="2129" t="str">
        <f>IF(B31="现房","成新及维护状况正常否",IF(B31="在建","工程状态是否正常",IF(B31="土地","是否闲置","-")))</f>
        <v>成新及维护状况正常否</v>
      </c>
      <c r="D31" s="2130"/>
      <c r="E31" s="2940" t="s">
        <v>3041</v>
      </c>
      <c r="F31" s="2044"/>
      <c r="G31" s="2044"/>
      <c r="H31" s="2044"/>
      <c r="I31" s="2044"/>
      <c r="J31" s="2044"/>
      <c r="K31" s="2053"/>
      <c r="L31" s="2030"/>
      <c r="M31" s="2030"/>
      <c r="N31" s="2031"/>
      <c r="O31" s="2032"/>
      <c r="P31" s="2031"/>
      <c r="Q31" s="2031"/>
      <c r="R31" s="2031"/>
      <c r="S31" s="2031"/>
      <c r="T31" s="2031"/>
      <c r="U31" s="2031"/>
      <c r="V31" s="2031"/>
    </row>
    <row r="32" spans="1:22" ht="18" customHeight="1">
      <c r="A32" s="3138"/>
      <c r="B32" s="2128"/>
      <c r="C32" s="2129" t="str">
        <f>IF(B32="现房","成新及维护状况是否正常",IF(B32="在建","工程状态是否正常",IF(B32="土地","是否闲置","-")))</f>
        <v>-</v>
      </c>
      <c r="D32" s="2130"/>
      <c r="E32" s="2131"/>
      <c r="F32" s="2044"/>
      <c r="G32" s="2044"/>
      <c r="H32" s="2044"/>
      <c r="I32" s="2044"/>
      <c r="J32" s="2044"/>
      <c r="K32" s="2055"/>
      <c r="L32" s="2030"/>
      <c r="M32" s="2030"/>
      <c r="N32" s="2031"/>
      <c r="O32" s="2032"/>
      <c r="P32" s="2031"/>
      <c r="Q32" s="2031"/>
      <c r="R32" s="2031"/>
      <c r="S32" s="2031"/>
      <c r="T32" s="2031"/>
      <c r="U32" s="2031"/>
      <c r="V32" s="2031"/>
    </row>
    <row r="33" spans="1:22" ht="18" customHeight="1">
      <c r="A33" s="3138"/>
      <c r="B33" s="2132"/>
      <c r="C33" s="2071" t="str">
        <f>IF(B33="现房","成新及维护状况是否正常",IF(B33="在建","工程状态是否正常",IF(B33="土地","是否闲置","-")))</f>
        <v>-</v>
      </c>
      <c r="D33" s="2133"/>
      <c r="E33" s="2134"/>
      <c r="F33" s="2044"/>
      <c r="G33" s="2044"/>
      <c r="H33" s="2044"/>
      <c r="I33" s="2044"/>
      <c r="J33" s="2044"/>
      <c r="K33" s="2055"/>
      <c r="L33" s="2030"/>
      <c r="M33" s="2030"/>
      <c r="N33" s="2031"/>
      <c r="O33" s="2032"/>
      <c r="P33" s="2031"/>
      <c r="Q33" s="2031"/>
      <c r="R33" s="2031"/>
      <c r="S33" s="2031"/>
      <c r="T33" s="2031"/>
      <c r="U33" s="2031"/>
      <c r="V33" s="2031"/>
    </row>
    <row r="34" spans="1:22" ht="18" customHeight="1">
      <c r="A34" s="2037" t="s">
        <v>1829</v>
      </c>
      <c r="B34" s="2135" t="s">
        <v>3042</v>
      </c>
      <c r="C34" s="2135" t="s">
        <v>3043</v>
      </c>
      <c r="D34" s="2135" t="s">
        <v>3044</v>
      </c>
      <c r="E34" s="2135" t="s">
        <v>3045</v>
      </c>
      <c r="F34" s="2135" t="s">
        <v>3046</v>
      </c>
      <c r="G34" s="2135" t="s">
        <v>3237</v>
      </c>
      <c r="H34" s="2135"/>
      <c r="I34" s="2044"/>
      <c r="J34" s="2044"/>
      <c r="K34" s="1797">
        <f>COUNTIF(B34:H34,"——")</f>
        <v>0</v>
      </c>
      <c r="L34" s="2076" t="s">
        <v>1830</v>
      </c>
      <c r="M34" s="2076" t="s">
        <v>1831</v>
      </c>
      <c r="N34" s="2076" t="s">
        <v>1832</v>
      </c>
      <c r="O34" s="2076" t="s">
        <v>1833</v>
      </c>
      <c r="P34" s="2076" t="s">
        <v>1834</v>
      </c>
      <c r="Q34" s="2076" t="s">
        <v>1835</v>
      </c>
      <c r="R34" s="2076" t="s">
        <v>1836</v>
      </c>
      <c r="S34" s="3132" t="s">
        <v>1837</v>
      </c>
      <c r="T34" s="2136" t="str">
        <f>NUMBERSTRING(7-K34,1)&amp;"通"</f>
        <v>七通</v>
      </c>
      <c r="U34" s="2031"/>
      <c r="V34" s="2031"/>
    </row>
    <row r="35" spans="1:22" ht="18" customHeight="1">
      <c r="A35" s="2137"/>
      <c r="B35" s="3139" t="s">
        <v>1838</v>
      </c>
      <c r="C35" s="3139"/>
      <c r="D35" s="3139"/>
      <c r="E35" s="3139"/>
      <c r="F35" s="2138">
        <f>C10</f>
        <v>0</v>
      </c>
      <c r="G35" s="2044"/>
      <c r="H35" s="2044"/>
      <c r="I35" s="2044"/>
      <c r="J35" s="2044"/>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132"/>
      <c r="T35" s="48" t="str">
        <f>IF(T34="一通",L35,IF(T34="二通",M35,IF(T34="三通",N35,IF(T34="四通",O35,IF(T34="五通",P35,IF(T34="六通",Q35,R35))))))</f>
        <v>通路、通电、通讯、通上水、通下水、燃气、</v>
      </c>
      <c r="U35" s="2031"/>
      <c r="V35" s="2031"/>
    </row>
    <row r="36" spans="1:22" ht="18" customHeight="1">
      <c r="A36" s="2139"/>
      <c r="B36" s="2138" t="s">
        <v>1839</v>
      </c>
      <c r="C36" s="2138" t="s">
        <v>1840</v>
      </c>
      <c r="D36" s="2138" t="s">
        <v>1841</v>
      </c>
      <c r="E36" s="2138" t="s">
        <v>1842</v>
      </c>
      <c r="F36" s="2140"/>
      <c r="G36" s="2044"/>
      <c r="H36" s="2044"/>
      <c r="I36" s="2044"/>
      <c r="J36" s="2044"/>
      <c r="K36" s="2055"/>
      <c r="L36" s="2030"/>
      <c r="M36" s="2030"/>
      <c r="N36" s="2031"/>
      <c r="O36" s="2032"/>
      <c r="P36" s="2031"/>
      <c r="Q36" s="2031"/>
      <c r="R36" s="2031"/>
      <c r="S36" s="2031"/>
      <c r="T36" s="2031"/>
      <c r="U36" s="2031"/>
      <c r="V36" s="2031"/>
    </row>
    <row r="37" spans="1:22" ht="18" customHeight="1">
      <c r="A37" s="2141" t="s">
        <v>1843</v>
      </c>
      <c r="B37" s="2142"/>
      <c r="C37" s="2142"/>
      <c r="D37" s="2142"/>
      <c r="E37" s="2142" t="s">
        <v>526</v>
      </c>
      <c r="F37" s="2140"/>
      <c r="G37" s="2044"/>
      <c r="H37" s="2044"/>
      <c r="I37" s="2044"/>
      <c r="J37" s="2044"/>
      <c r="K37" s="2055"/>
      <c r="L37" s="2030"/>
      <c r="M37" s="2030"/>
      <c r="N37" s="2031"/>
      <c r="O37" s="2032"/>
      <c r="P37" s="2031"/>
      <c r="Q37" s="2031"/>
      <c r="R37" s="2031"/>
      <c r="S37" s="2031"/>
      <c r="T37" s="2031"/>
      <c r="U37" s="2031"/>
      <c r="V37" s="2031"/>
    </row>
    <row r="38" spans="1:22" ht="18" customHeight="1" thickBot="1">
      <c r="A38" s="2143" t="s">
        <v>1844</v>
      </c>
      <c r="B38" s="2144"/>
      <c r="C38" s="2144"/>
      <c r="D38" s="2144"/>
      <c r="E38" s="2144" t="s">
        <v>378</v>
      </c>
      <c r="F38" s="2145"/>
      <c r="G38" s="2063"/>
      <c r="H38" s="2063"/>
      <c r="I38" s="2063"/>
      <c r="J38" s="2044"/>
      <c r="K38" s="2055"/>
      <c r="L38" s="2030"/>
      <c r="M38" s="2030"/>
      <c r="N38" s="2031"/>
      <c r="O38" s="2032"/>
      <c r="P38" s="2031"/>
      <c r="Q38" s="2031"/>
      <c r="R38" s="2031"/>
      <c r="S38" s="2031"/>
      <c r="T38" s="2031"/>
      <c r="U38" s="2031"/>
      <c r="V38" s="2031"/>
    </row>
    <row r="39" spans="1:22" s="2150" customFormat="1" ht="18" customHeight="1" thickTop="1" thickBot="1">
      <c r="A39" s="2146" t="s">
        <v>1845</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1"/>
      <c r="B40" s="2031"/>
      <c r="C40" s="2031"/>
      <c r="D40" s="2031"/>
      <c r="E40" s="2031"/>
      <c r="F40" s="2031"/>
      <c r="G40" s="2031"/>
      <c r="H40" s="2031"/>
      <c r="I40" s="2151"/>
      <c r="J40" s="2086"/>
      <c r="K40" s="665"/>
      <c r="L40" s="2085"/>
      <c r="M40" s="2085"/>
      <c r="N40" s="2086"/>
      <c r="O40" s="2085"/>
      <c r="P40" s="2031"/>
      <c r="Q40" s="2031"/>
      <c r="R40" s="2031"/>
      <c r="S40" s="2031"/>
      <c r="T40" s="2031"/>
      <c r="U40" s="2031"/>
      <c r="V40" s="2031"/>
    </row>
    <row r="41" spans="1:22" ht="18" customHeight="1">
      <c r="A41" s="8" t="s">
        <v>1846</v>
      </c>
      <c r="B41" s="2152"/>
      <c r="C41" s="2153"/>
      <c r="D41" s="2031"/>
      <c r="E41" s="2031"/>
      <c r="F41" s="2031"/>
      <c r="G41" s="2031"/>
      <c r="H41" s="2031"/>
      <c r="I41" s="2032"/>
      <c r="J41" s="2031"/>
      <c r="K41" s="2125"/>
      <c r="L41" s="2030"/>
      <c r="M41" s="2030"/>
      <c r="N41" s="2031"/>
      <c r="O41" s="2032"/>
      <c r="P41" s="2031"/>
      <c r="Q41" s="2031"/>
      <c r="R41" s="2031"/>
      <c r="S41" s="2031"/>
      <c r="T41" s="2031"/>
      <c r="U41" s="2031"/>
      <c r="V41" s="2031"/>
    </row>
    <row r="42" spans="1:22" ht="18" customHeight="1">
      <c r="A42" s="2076" t="s">
        <v>1847</v>
      </c>
      <c r="B42" s="1797" t="s">
        <v>1848</v>
      </c>
      <c r="C42" s="1797" t="s">
        <v>1849</v>
      </c>
      <c r="D42" s="1797" t="s">
        <v>1850</v>
      </c>
      <c r="E42" s="1797" t="s">
        <v>1851</v>
      </c>
      <c r="F42" s="1797" t="s">
        <v>1852</v>
      </c>
      <c r="G42" s="1797" t="s">
        <v>1853</v>
      </c>
      <c r="H42" s="1797" t="s">
        <v>1854</v>
      </c>
      <c r="I42" s="1797" t="s">
        <v>1855</v>
      </c>
      <c r="J42" s="2154" t="s">
        <v>1856</v>
      </c>
      <c r="K42" s="2077" t="s">
        <v>1857</v>
      </c>
      <c r="L42" s="2077" t="s">
        <v>1858</v>
      </c>
      <c r="M42" s="2077" t="s">
        <v>1859</v>
      </c>
      <c r="N42" s="1797" t="s">
        <v>1860</v>
      </c>
      <c r="O42" s="1797" t="s">
        <v>1861</v>
      </c>
      <c r="P42" s="1797" t="s">
        <v>1862</v>
      </c>
      <c r="Q42" s="2076" t="s">
        <v>1863</v>
      </c>
      <c r="R42" s="2076" t="s">
        <v>1864</v>
      </c>
      <c r="S42" s="2031"/>
      <c r="T42" s="2031"/>
      <c r="U42" s="2031"/>
      <c r="V42" s="2031"/>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3"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1865</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5" t="s">
        <v>1866</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9" customFormat="1" ht="24">
      <c r="A2" s="11" t="s">
        <v>1867</v>
      </c>
      <c r="B2" s="11" t="s">
        <v>1868</v>
      </c>
      <c r="C2" s="11" t="s">
        <v>1869</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1870</v>
      </c>
      <c r="AZ2" s="1272" t="s">
        <v>1871</v>
      </c>
      <c r="BA2" s="11" t="s">
        <v>1872</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43233.33</v>
      </c>
      <c r="B3" s="14">
        <f>IF(C3="否",G5-AT5,G5)</f>
        <v>60057.87</v>
      </c>
      <c r="C3" s="2941" t="s">
        <v>3051</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4" customFormat="1" ht="13.5" thickBot="1">
      <c r="A4" s="2170"/>
      <c r="B4" s="2171"/>
      <c r="C4" s="2172"/>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3"/>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1873</v>
      </c>
      <c r="B5" s="1805"/>
      <c r="C5" s="1805"/>
      <c r="D5" s="1808"/>
      <c r="E5" s="16" t="s">
        <v>1</v>
      </c>
      <c r="F5" s="16">
        <f>SUM(F13:F587)</f>
        <v>0</v>
      </c>
      <c r="G5" s="16">
        <f>SUM(G13:G587)</f>
        <v>60057.87</v>
      </c>
      <c r="H5" s="16">
        <f t="shared" ref="H5:AT5" si="0">SUM(H13:H656)</f>
        <v>60057.87</v>
      </c>
      <c r="I5" s="16">
        <f t="shared" si="0"/>
        <v>59213.350000000006</v>
      </c>
      <c r="J5" s="16">
        <f t="shared" si="0"/>
        <v>0</v>
      </c>
      <c r="K5" s="16">
        <f t="shared" si="0"/>
        <v>844.52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1873</v>
      </c>
      <c r="AW5" s="1805"/>
      <c r="AX5" s="1805"/>
      <c r="AY5" s="17" t="s">
        <v>3</v>
      </c>
      <c r="AZ5" s="18">
        <f t="shared" ref="AZ5:BT5" si="1">SUM(AZ13:AZ656)</f>
        <v>47850.3</v>
      </c>
      <c r="BA5" s="18">
        <f t="shared" si="1"/>
        <v>47850.3</v>
      </c>
      <c r="BB5" s="18">
        <f t="shared" si="1"/>
        <v>47005.780000000006</v>
      </c>
      <c r="BC5" s="18">
        <f t="shared" si="1"/>
        <v>844.52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1874</v>
      </c>
      <c r="B6" s="2175"/>
      <c r="C6" s="2175"/>
      <c r="D6" s="2176"/>
      <c r="E6" s="16">
        <f>H6+AC6+AT6</f>
        <v>43233.33</v>
      </c>
      <c r="F6" s="16" t="s">
        <v>1</v>
      </c>
      <c r="G6" s="16" t="s">
        <v>2</v>
      </c>
      <c r="H6" s="20">
        <f>SUMIF(I$12:AB$12,"总值",I6:AB6)</f>
        <v>43233.33</v>
      </c>
      <c r="I6" s="16">
        <f t="shared" ref="I6:AB6" si="2">ROUND($A$3*I5/$B$3,2)</f>
        <v>42625.39</v>
      </c>
      <c r="J6" s="16">
        <f t="shared" si="2"/>
        <v>0</v>
      </c>
      <c r="K6" s="16">
        <f t="shared" si="2"/>
        <v>607.94000000000005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1874</v>
      </c>
      <c r="AW6" s="2175"/>
      <c r="AX6" s="2175"/>
      <c r="AY6" s="21">
        <f>IF(AY3&gt;0,AY3,ROUND($A$3*AZ5/$B$3,2))</f>
        <v>34445.57</v>
      </c>
      <c r="AZ6" s="16" t="s">
        <v>3</v>
      </c>
      <c r="BA6" s="16">
        <f>ROUND($AY$6*BA5/$AZ$5,2)</f>
        <v>34445.57</v>
      </c>
      <c r="BB6" s="16">
        <f>ROUND($AY$6*BB5/$AZ$5,2)</f>
        <v>33837.629999999997</v>
      </c>
      <c r="BC6" s="16">
        <f t="shared" ref="BC6:BH6" si="4">ROUND($AY$6*BC5/$AZ$5,2)</f>
        <v>607.94000000000005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1875</v>
      </c>
      <c r="B7" s="2111" t="s">
        <v>1876</v>
      </c>
      <c r="C7" s="2111" t="s">
        <v>1877</v>
      </c>
      <c r="D7" s="2111" t="s">
        <v>1878</v>
      </c>
      <c r="E7" s="2111" t="s">
        <v>1879</v>
      </c>
      <c r="F7" s="2111" t="s">
        <v>1880</v>
      </c>
      <c r="G7" s="2179" t="s">
        <v>1881</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1882</v>
      </c>
      <c r="AV7" s="23" t="s">
        <v>1883</v>
      </c>
      <c r="AW7" s="2168" t="s">
        <v>1884</v>
      </c>
      <c r="AX7" s="23" t="s">
        <v>1877</v>
      </c>
      <c r="AY7" s="1805" t="s">
        <v>1885</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1886</v>
      </c>
      <c r="H8" s="2185" t="s">
        <v>1887</v>
      </c>
      <c r="I8" s="2186"/>
      <c r="J8" s="1820"/>
      <c r="K8" s="1820"/>
      <c r="L8" s="1820"/>
      <c r="M8" s="1820"/>
      <c r="N8" s="1820"/>
      <c r="O8" s="1820"/>
      <c r="P8" s="1820"/>
      <c r="Q8" s="1820"/>
      <c r="R8" s="1820"/>
      <c r="S8" s="1820"/>
      <c r="T8" s="1820"/>
      <c r="U8" s="1820"/>
      <c r="V8" s="2187"/>
      <c r="W8" s="1820"/>
      <c r="X8" s="1820"/>
      <c r="Y8" s="1820"/>
      <c r="Z8" s="1820"/>
      <c r="AA8" s="2187"/>
      <c r="AB8" s="2188"/>
      <c r="AC8" s="983" t="s">
        <v>1888</v>
      </c>
      <c r="AD8" s="2189"/>
      <c r="AE8" s="2181"/>
      <c r="AF8" s="1820"/>
      <c r="AG8" s="1820"/>
      <c r="AH8" s="1820"/>
      <c r="AI8" s="1820"/>
      <c r="AJ8" s="1820"/>
      <c r="AK8" s="1820"/>
      <c r="AL8" s="1820"/>
      <c r="AM8" s="1820"/>
      <c r="AN8" s="1820"/>
      <c r="AO8" s="1820"/>
      <c r="AP8" s="1820"/>
      <c r="AQ8" s="1820"/>
      <c r="AR8" s="1820"/>
      <c r="AS8" s="1820"/>
      <c r="AT8" s="1294" t="s">
        <v>1889</v>
      </c>
      <c r="AU8" s="2183" t="s">
        <v>1890</v>
      </c>
      <c r="AV8" s="1294"/>
      <c r="AW8" s="2167"/>
      <c r="AX8" s="1294"/>
      <c r="AY8" s="2168" t="s">
        <v>1891</v>
      </c>
      <c r="AZ8" s="1819" t="s">
        <v>1892</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4"/>
      <c r="H9" s="2191" t="s">
        <v>1893</v>
      </c>
      <c r="I9" s="2192" t="s">
        <v>3048</v>
      </c>
      <c r="J9" s="983"/>
      <c r="K9" s="2192" t="s">
        <v>3291</v>
      </c>
      <c r="L9" s="983"/>
      <c r="M9" s="2192"/>
      <c r="N9" s="983"/>
      <c r="O9" s="2192"/>
      <c r="P9" s="983"/>
      <c r="Q9" s="2192"/>
      <c r="R9" s="983"/>
      <c r="S9" s="2192"/>
      <c r="T9" s="983"/>
      <c r="U9" s="2192"/>
      <c r="V9" s="983"/>
      <c r="W9" s="2192"/>
      <c r="X9" s="2193"/>
      <c r="Y9" s="2192"/>
      <c r="Z9" s="983"/>
      <c r="AA9" s="2192"/>
      <c r="AB9" s="983"/>
      <c r="AC9" s="2184" t="s">
        <v>1893</v>
      </c>
      <c r="AD9" s="15" t="s">
        <v>1894</v>
      </c>
      <c r="AE9" s="1300"/>
      <c r="AF9" s="15" t="s">
        <v>1895</v>
      </c>
      <c r="AG9" s="1300"/>
      <c r="AH9" s="15" t="s">
        <v>1894</v>
      </c>
      <c r="AI9" s="1300"/>
      <c r="AJ9" s="15" t="s">
        <v>1895</v>
      </c>
      <c r="AK9" s="1300"/>
      <c r="AL9" s="15" t="s">
        <v>1894</v>
      </c>
      <c r="AM9" s="1300"/>
      <c r="AN9" s="15" t="s">
        <v>1895</v>
      </c>
      <c r="AO9" s="1300"/>
      <c r="AP9" s="15" t="s">
        <v>1894</v>
      </c>
      <c r="AQ9" s="1300"/>
      <c r="AR9" s="15" t="s">
        <v>1895</v>
      </c>
      <c r="AS9" s="2194"/>
      <c r="AT9" s="2183"/>
      <c r="AU9" s="2183" t="s">
        <v>1896</v>
      </c>
      <c r="AV9" s="1294"/>
      <c r="AW9" s="2167"/>
      <c r="AX9" s="1294"/>
      <c r="AY9" s="28"/>
      <c r="AZ9" s="28" t="s">
        <v>1886</v>
      </c>
      <c r="BA9" s="2195" t="s">
        <v>1897</v>
      </c>
      <c r="BB9" s="2196"/>
      <c r="BC9" s="1340"/>
      <c r="BD9" s="1340"/>
      <c r="BE9" s="1340"/>
      <c r="BF9" s="1340"/>
      <c r="BG9" s="1340"/>
      <c r="BH9" s="1340"/>
      <c r="BI9" s="1340"/>
      <c r="BJ9" s="1340"/>
      <c r="BK9" s="2197"/>
      <c r="BL9" s="15" t="s">
        <v>1898</v>
      </c>
      <c r="BM9" s="1820"/>
      <c r="BN9" s="2186"/>
      <c r="BO9" s="1820"/>
      <c r="BP9" s="1820"/>
      <c r="BQ9" s="1820"/>
      <c r="BR9" s="1820"/>
      <c r="BS9" s="1820"/>
      <c r="BT9" s="26"/>
    </row>
    <row r="10" spans="1:72" s="2190" customFormat="1" ht="12.75">
      <c r="A10" s="2183"/>
      <c r="B10" s="2183"/>
      <c r="C10" s="2183"/>
      <c r="D10" s="2183"/>
      <c r="E10" s="2183"/>
      <c r="F10" s="2183"/>
      <c r="G10" s="1294"/>
      <c r="H10" s="28"/>
      <c r="I10" s="2192" t="s">
        <v>6</v>
      </c>
      <c r="J10" s="983"/>
      <c r="K10" s="2198" t="s">
        <v>6</v>
      </c>
      <c r="L10" s="983"/>
      <c r="M10" s="2198"/>
      <c r="N10" s="983"/>
      <c r="O10" s="2198"/>
      <c r="P10" s="983"/>
      <c r="Q10" s="2198"/>
      <c r="R10" s="983"/>
      <c r="S10" s="2198"/>
      <c r="T10" s="983"/>
      <c r="U10" s="2198"/>
      <c r="V10" s="983"/>
      <c r="W10" s="2198"/>
      <c r="X10" s="983"/>
      <c r="Y10" s="2198"/>
      <c r="Z10" s="983"/>
      <c r="AA10" s="2198"/>
      <c r="AB10" s="983"/>
      <c r="AC10" s="1294"/>
      <c r="AD10" s="15" t="s">
        <v>1899</v>
      </c>
      <c r="AE10" s="2199"/>
      <c r="AF10" s="15" t="s">
        <v>1899</v>
      </c>
      <c r="AG10" s="2199"/>
      <c r="AH10" s="15" t="s">
        <v>1900</v>
      </c>
      <c r="AI10" s="2199"/>
      <c r="AJ10" s="15" t="s">
        <v>1900</v>
      </c>
      <c r="AK10" s="2199"/>
      <c r="AL10" s="15" t="s">
        <v>1901</v>
      </c>
      <c r="AM10" s="1300"/>
      <c r="AN10" s="15" t="s">
        <v>1901</v>
      </c>
      <c r="AO10" s="1300"/>
      <c r="AP10" s="15" t="s">
        <v>1902</v>
      </c>
      <c r="AQ10" s="1300"/>
      <c r="AR10" s="15" t="s">
        <v>1902</v>
      </c>
      <c r="AS10" s="1300"/>
      <c r="AT10" s="2183"/>
      <c r="AU10" s="2183"/>
      <c r="AV10" s="1294"/>
      <c r="AW10" s="2167"/>
      <c r="AX10" s="1294"/>
      <c r="AY10" s="28"/>
      <c r="AZ10" s="28"/>
      <c r="BA10" s="2200" t="s">
        <v>1893</v>
      </c>
      <c r="BB10" s="2201" t="str">
        <f>I9</f>
        <v>地上</v>
      </c>
      <c r="BC10" s="29" t="str">
        <f>K9</f>
        <v>地下</v>
      </c>
      <c r="BD10" s="29">
        <f>M9</f>
        <v>0</v>
      </c>
      <c r="BE10" s="29">
        <f>O9</f>
        <v>0</v>
      </c>
      <c r="BF10" s="29">
        <f>Q9</f>
        <v>0</v>
      </c>
      <c r="BG10" s="29">
        <f>S9</f>
        <v>0</v>
      </c>
      <c r="BH10" s="29">
        <f>U9</f>
        <v>0</v>
      </c>
      <c r="BI10" s="29">
        <f>W9</f>
        <v>0</v>
      </c>
      <c r="BJ10" s="29">
        <f>Y9</f>
        <v>0</v>
      </c>
      <c r="BK10" s="29">
        <f>AA9</f>
        <v>0</v>
      </c>
      <c r="BL10" s="25" t="s">
        <v>1893</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4"/>
      <c r="H11" s="2200"/>
      <c r="I11" s="2203" t="s">
        <v>3049</v>
      </c>
      <c r="J11" s="2204"/>
      <c r="K11" s="2203" t="s">
        <v>3049</v>
      </c>
      <c r="L11" s="2204"/>
      <c r="M11" s="2203"/>
      <c r="N11" s="2204"/>
      <c r="O11" s="2203"/>
      <c r="P11" s="2204"/>
      <c r="Q11" s="2203"/>
      <c r="R11" s="2204"/>
      <c r="S11" s="2203"/>
      <c r="T11" s="2204"/>
      <c r="U11" s="2203"/>
      <c r="V11" s="2204"/>
      <c r="W11" s="2203"/>
      <c r="X11" s="2204"/>
      <c r="Y11" s="2203"/>
      <c r="Z11" s="2204"/>
      <c r="AA11" s="2203"/>
      <c r="AB11" s="2204"/>
      <c r="AC11" s="1294"/>
      <c r="AD11" s="2205" t="s">
        <v>1903</v>
      </c>
      <c r="AE11" s="1821"/>
      <c r="AF11" s="2205" t="s">
        <v>1903</v>
      </c>
      <c r="AG11" s="1821"/>
      <c r="AH11" s="2205" t="s">
        <v>1904</v>
      </c>
      <c r="AI11" s="2206"/>
      <c r="AJ11" s="2205" t="s">
        <v>1904</v>
      </c>
      <c r="AK11" s="1821"/>
      <c r="AL11" s="1819"/>
      <c r="AM11" s="1821"/>
      <c r="AN11" s="1819"/>
      <c r="AO11" s="1821"/>
      <c r="AP11" s="1819"/>
      <c r="AQ11" s="1821"/>
      <c r="AR11" s="1819"/>
      <c r="AS11" s="1821"/>
      <c r="AT11" s="2167"/>
      <c r="AU11" s="2183"/>
      <c r="AV11" s="1294"/>
      <c r="AW11" s="2167"/>
      <c r="AX11" s="1294"/>
      <c r="AY11" s="28"/>
      <c r="AZ11" s="28"/>
      <c r="BA11" s="28"/>
      <c r="BB11" s="2188" t="str">
        <f>I10</f>
        <v>工业</v>
      </c>
      <c r="BC11" s="2188" t="str">
        <f>K10</f>
        <v>工业</v>
      </c>
      <c r="BD11" s="2188">
        <f>M10</f>
        <v>0</v>
      </c>
      <c r="BE11" s="2188">
        <f>O10</f>
        <v>0</v>
      </c>
      <c r="BF11" s="2188">
        <f>Q10</f>
        <v>0</v>
      </c>
      <c r="BG11" s="2188">
        <f>S10</f>
        <v>0</v>
      </c>
      <c r="BH11" s="2188">
        <f>U10</f>
        <v>0</v>
      </c>
      <c r="BI11" s="2188">
        <f>W10</f>
        <v>0</v>
      </c>
      <c r="BJ11" s="2188">
        <f>Y10</f>
        <v>0</v>
      </c>
      <c r="BK11" s="2188">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9" customFormat="1" ht="12.75">
      <c r="A12" s="2208"/>
      <c r="B12" s="2208"/>
      <c r="C12" s="2208"/>
      <c r="D12" s="2208"/>
      <c r="E12" s="2208"/>
      <c r="F12" s="2208"/>
      <c r="G12" s="30"/>
      <c r="H12" s="2209"/>
      <c r="I12" s="180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4" t="s">
        <v>1906</v>
      </c>
      <c r="W12" s="11" t="s">
        <v>1905</v>
      </c>
      <c r="X12" s="11" t="s">
        <v>1906</v>
      </c>
      <c r="Y12" s="11" t="s">
        <v>1905</v>
      </c>
      <c r="Z12" s="11" t="s">
        <v>1906</v>
      </c>
      <c r="AA12" s="11" t="s">
        <v>1905</v>
      </c>
      <c r="AB12" s="11" t="s">
        <v>1906</v>
      </c>
      <c r="AC12" s="2210"/>
      <c r="AD12" s="180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8" t="s">
        <v>1906</v>
      </c>
      <c r="AT12" s="2211"/>
      <c r="AU12" s="2208"/>
      <c r="AV12" s="31"/>
      <c r="AW12" s="2168"/>
      <c r="AX12" s="31"/>
      <c r="AY12" s="2212"/>
      <c r="AZ12" s="28"/>
      <c r="BA12" s="2200"/>
      <c r="BB12" s="24" t="str">
        <f>I11</f>
        <v>办公楼</v>
      </c>
      <c r="BC12" s="2213" t="str">
        <f>K11</f>
        <v>办公楼</v>
      </c>
      <c r="BD12" s="2213">
        <f>M11</f>
        <v>0</v>
      </c>
      <c r="BE12" s="2188">
        <f>O11</f>
        <v>0</v>
      </c>
      <c r="BF12" s="2188">
        <f>Q11</f>
        <v>0</v>
      </c>
      <c r="BG12" s="2188">
        <f>S11</f>
        <v>0</v>
      </c>
      <c r="BH12" s="2188">
        <f>U11</f>
        <v>0</v>
      </c>
      <c r="BI12" s="2188">
        <f>W11</f>
        <v>0</v>
      </c>
      <c r="BJ12" s="2188">
        <f>Y11</f>
        <v>0</v>
      </c>
      <c r="BK12" s="2188">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9" customFormat="1" ht="12.75">
      <c r="A13" s="1274"/>
      <c r="B13" s="1274">
        <v>223233</v>
      </c>
      <c r="C13" s="1274" t="s">
        <v>3047</v>
      </c>
      <c r="D13" s="2214" t="s">
        <v>3051</v>
      </c>
      <c r="E13" s="16">
        <f>IF($C$3="是",ROUND($A$3*G13/$B$3,2),ROUND($A$3*(G13-AT13)/$B$3,2))</f>
        <v>2380.81</v>
      </c>
      <c r="F13" s="32"/>
      <c r="G13" s="33">
        <f>H13+AC13+AT13</f>
        <v>3307.32</v>
      </c>
      <c r="H13" s="20">
        <f>SUMIF(I$12:AB$12,"总值",I13:AB13)</f>
        <v>3307.32</v>
      </c>
      <c r="I13" s="2215">
        <v>3307.32</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223233</v>
      </c>
      <c r="AX13" s="11" t="str">
        <f t="shared" si="6"/>
        <v>4幢</v>
      </c>
      <c r="AY13" s="1808">
        <f>ROUND($AY$6*AZ13/$AZ$5,2)</f>
        <v>2380.81</v>
      </c>
      <c r="AZ13" s="16">
        <f>BA13+BL13</f>
        <v>3307.32</v>
      </c>
      <c r="BA13" s="16">
        <f>SUM(BB13:BK13)</f>
        <v>3307.32</v>
      </c>
      <c r="BB13" s="16">
        <f>IF($D13="是",I13-J13,0)</f>
        <v>3307.32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4"/>
      <c r="B14" s="1274"/>
      <c r="C14" s="1274" t="s">
        <v>3050</v>
      </c>
      <c r="D14" s="2214" t="s">
        <v>3051</v>
      </c>
      <c r="E14" s="16">
        <f>IF($C$3="是",ROUND($A$3*G14/$B$3,2),ROUND($A$3*(G14-AT14)/$B$3,2))</f>
        <v>3434.31</v>
      </c>
      <c r="F14" s="32"/>
      <c r="G14" s="33">
        <f>H14+AC14+AT14</f>
        <v>4770.8</v>
      </c>
      <c r="H14" s="20">
        <f>SUMIF(I$12:AB$12,"总值",I14:AB14)</f>
        <v>4770.8</v>
      </c>
      <c r="I14" s="2215">
        <v>4770.8</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9幢</v>
      </c>
      <c r="AY14" s="1808">
        <f>ROUND($AY$6*AZ14/$AZ$5,2)</f>
        <v>3434.31</v>
      </c>
      <c r="AZ14" s="16">
        <f>BA14+BL14</f>
        <v>4770.8</v>
      </c>
      <c r="BA14" s="16">
        <f>SUM(BB14:BK14)</f>
        <v>4770.8</v>
      </c>
      <c r="BB14" s="16">
        <f>IF($D14="是",I14-J14,0)</f>
        <v>4770.8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4">
        <v>15438.1</v>
      </c>
      <c r="B15" s="1274">
        <v>223419</v>
      </c>
      <c r="C15" s="1274" t="s">
        <v>3290</v>
      </c>
      <c r="D15" s="2214" t="s">
        <v>3036</v>
      </c>
      <c r="E15" s="16">
        <f>IF($C$3="是",ROUND($A$3*G15/$B$3,2),ROUND($A$3*(G15-AT15)/$B$3,2))</f>
        <v>8787.76</v>
      </c>
      <c r="F15" s="32"/>
      <c r="G15" s="33">
        <f>H15+AC15+AT15</f>
        <v>12207.57</v>
      </c>
      <c r="H15" s="20">
        <f>SUMIF(I$12:AB$12,"总值",I15:AB15)</f>
        <v>12207.57</v>
      </c>
      <c r="I15" s="2215">
        <f>11595.02+612.55</f>
        <v>12207.57</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15438.1</v>
      </c>
      <c r="AW15" s="11">
        <f t="shared" si="6"/>
        <v>223419</v>
      </c>
      <c r="AX15" s="11" t="str">
        <f t="shared" si="6"/>
        <v>1、2幢</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4"/>
      <c r="B16" s="1274"/>
      <c r="C16" s="1274" t="s">
        <v>3292</v>
      </c>
      <c r="D16" s="2214" t="s">
        <v>3051</v>
      </c>
      <c r="E16" s="16">
        <f>IF($C$3="是",ROUND($A$3*G16/$B$3,2),ROUND($A$3*(G16-AT16)/$B$3,2))</f>
        <v>2325.5300000000002</v>
      </c>
      <c r="F16" s="32"/>
      <c r="G16" s="33">
        <f>H16+AC16+AT16</f>
        <v>3230.53</v>
      </c>
      <c r="H16" s="20">
        <f>SUMIF(I$12:AB$12,"总值",I16:AB16)</f>
        <v>3230.53</v>
      </c>
      <c r="I16" s="2215">
        <v>2386.0100000000002</v>
      </c>
      <c r="J16" s="2215"/>
      <c r="K16" s="2215">
        <v>844.52</v>
      </c>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6幢</v>
      </c>
      <c r="AY16" s="1808">
        <f>ROUND($AY$6*AZ16/$AZ$5,2)</f>
        <v>2325.5300000000002</v>
      </c>
      <c r="AZ16" s="16">
        <f>BA16+BL16</f>
        <v>3230.53</v>
      </c>
      <c r="BA16" s="16">
        <f>SUM(BB16:BK16)</f>
        <v>3230.53</v>
      </c>
      <c r="BB16" s="16">
        <f>IF($D16="是",I16-J16,0)</f>
        <v>2386.0100000000002</v>
      </c>
      <c r="BC16" s="16">
        <f>IF($D16="是",K16-L16,0)</f>
        <v>844.52</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4"/>
      <c r="B17" s="1274">
        <v>273971</v>
      </c>
      <c r="C17" s="1274" t="s">
        <v>3052</v>
      </c>
      <c r="D17" s="2214" t="s">
        <v>3051</v>
      </c>
      <c r="E17" s="16">
        <f>IF($C$3="是",ROUND($A$3*G17/$B$3,2),ROUND($A$3*(G17-AT17)/$B$3,2))</f>
        <v>6916.33</v>
      </c>
      <c r="F17" s="32"/>
      <c r="G17" s="33">
        <f>H17+AC17+AT17</f>
        <v>9607.86</v>
      </c>
      <c r="H17" s="20">
        <f>SUMIF(I$12:AB$12,"总值",I17:AB17)</f>
        <v>9607.86</v>
      </c>
      <c r="I17" s="3062">
        <v>9607.86</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273971</v>
      </c>
      <c r="AX17" s="11" t="str">
        <f t="shared" si="6"/>
        <v>11幢</v>
      </c>
      <c r="AY17" s="1808">
        <f>ROUND($AY$6*AZ17/$AZ$5,2)</f>
        <v>6916.32</v>
      </c>
      <c r="AZ17" s="16">
        <f>BA17+BL17</f>
        <v>9607.86</v>
      </c>
      <c r="BA17" s="16">
        <f>SUM(BB17:BK17)</f>
        <v>9607.86</v>
      </c>
      <c r="BB17" s="16">
        <f>IF($D17="是",I17-J17,0)</f>
        <v>9607.86</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t="s">
        <v>3053</v>
      </c>
      <c r="D18" s="2214" t="s">
        <v>3051</v>
      </c>
      <c r="E18" s="35">
        <f t="shared" ref="E18:E112" si="7">IF($C$3="是",ROUND($A$3*G18/$B$3,2),ROUND($A$3*(G18-AT18)/$B$3,2))</f>
        <v>3893.86</v>
      </c>
      <c r="F18" s="36"/>
      <c r="G18" s="37">
        <f t="shared" ref="G18:G109" si="8">H18+AC18+AT18</f>
        <v>5409.18</v>
      </c>
      <c r="H18" s="38">
        <f t="shared" ref="H18:H109" si="9">SUMIF(I$12:AB$12,"总值",I18:AB18)</f>
        <v>5409.18</v>
      </c>
      <c r="I18" s="3063">
        <v>5409.18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t="str">
        <f t="shared" ref="AX18:AX112" si="13">C18</f>
        <v>10幢</v>
      </c>
      <c r="AY18" s="42">
        <f t="shared" ref="AY18:AY109" si="14">ROUND($AY$6*AZ18/$AZ$5,2)</f>
        <v>3893.86</v>
      </c>
      <c r="AZ18" s="35">
        <f t="shared" ref="AZ18:AZ109" si="15">BA18+BL18</f>
        <v>5409.18</v>
      </c>
      <c r="BA18" s="35">
        <f t="shared" ref="BA18:BA109" si="16">SUM(BB18:BK18)</f>
        <v>5409.18</v>
      </c>
      <c r="BB18" s="35">
        <f t="shared" ref="BB18:BB109" si="17">IF($D18="是",I18-J18,0)</f>
        <v>5409.18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t="s">
        <v>3054</v>
      </c>
      <c r="D19" s="2214" t="s">
        <v>3051</v>
      </c>
      <c r="E19" s="35">
        <f t="shared" si="7"/>
        <v>4971.2299999999996</v>
      </c>
      <c r="F19" s="36"/>
      <c r="G19" s="37">
        <f t="shared" si="8"/>
        <v>6905.82</v>
      </c>
      <c r="H19" s="38">
        <f t="shared" si="9"/>
        <v>6905.82</v>
      </c>
      <c r="I19" s="3063">
        <v>6905.82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t="str">
        <f t="shared" si="13"/>
        <v>13幢</v>
      </c>
      <c r="AY19" s="42">
        <f t="shared" si="14"/>
        <v>4971.2299999999996</v>
      </c>
      <c r="AZ19" s="35">
        <f t="shared" si="15"/>
        <v>6905.82</v>
      </c>
      <c r="BA19" s="35">
        <f t="shared" si="16"/>
        <v>6905.82</v>
      </c>
      <c r="BB19" s="35">
        <f t="shared" si="17"/>
        <v>6905.82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t="s">
        <v>3055</v>
      </c>
      <c r="D20" s="2214" t="s">
        <v>3051</v>
      </c>
      <c r="E20" s="35">
        <f t="shared" si="7"/>
        <v>7172</v>
      </c>
      <c r="F20" s="36"/>
      <c r="G20" s="37">
        <f t="shared" si="8"/>
        <v>9963.0300000000007</v>
      </c>
      <c r="H20" s="38">
        <f t="shared" si="9"/>
        <v>9963.0300000000007</v>
      </c>
      <c r="I20" s="3063">
        <v>9963.0300000000007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v>0</v>
      </c>
      <c r="AU20" s="2220"/>
      <c r="AV20" s="1797">
        <f t="shared" si="11"/>
        <v>0</v>
      </c>
      <c r="AW20" s="1797">
        <f t="shared" si="12"/>
        <v>0</v>
      </c>
      <c r="AX20" s="1797" t="str">
        <f t="shared" si="13"/>
        <v>12幢</v>
      </c>
      <c r="AY20" s="42">
        <f t="shared" si="14"/>
        <v>7172</v>
      </c>
      <c r="AZ20" s="35">
        <f t="shared" si="15"/>
        <v>9963.0300000000007</v>
      </c>
      <c r="BA20" s="35">
        <f t="shared" si="16"/>
        <v>9963.0300000000007</v>
      </c>
      <c r="BB20" s="35">
        <f t="shared" si="17"/>
        <v>9963.0300000000007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t="s">
        <v>3056</v>
      </c>
      <c r="D21" s="2219" t="s">
        <v>3051</v>
      </c>
      <c r="E21" s="35">
        <f t="shared" si="7"/>
        <v>3351.5</v>
      </c>
      <c r="F21" s="36"/>
      <c r="G21" s="37">
        <f t="shared" si="8"/>
        <v>4655.76</v>
      </c>
      <c r="H21" s="38">
        <f t="shared" si="9"/>
        <v>4655.76</v>
      </c>
      <c r="I21" s="3063">
        <v>4655.76</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t="str">
        <f t="shared" si="13"/>
        <v>14幢</v>
      </c>
      <c r="AY21" s="42">
        <f t="shared" si="14"/>
        <v>3351.5</v>
      </c>
      <c r="AZ21" s="35">
        <f t="shared" si="15"/>
        <v>4655.76</v>
      </c>
      <c r="BA21" s="35">
        <f t="shared" si="16"/>
        <v>4655.76</v>
      </c>
      <c r="BB21" s="35">
        <f t="shared" si="17"/>
        <v>4655.76</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0" t="s">
        <v>0</v>
      </c>
      <c r="B1" s="3140" t="s">
        <v>4</v>
      </c>
      <c r="C1" s="3140" t="s">
        <v>5</v>
      </c>
      <c r="D1" s="3141" t="s">
        <v>53</v>
      </c>
      <c r="E1" s="3141" t="s">
        <v>54</v>
      </c>
      <c r="F1" s="3141"/>
      <c r="G1" s="3141"/>
      <c r="H1" s="3141"/>
      <c r="I1" s="3141"/>
      <c r="J1" s="3141"/>
      <c r="K1" s="3141"/>
      <c r="L1" s="3141"/>
      <c r="M1" s="3141"/>
    </row>
    <row r="2" spans="1:13" ht="27" customHeight="1">
      <c r="A2" s="3140"/>
      <c r="B2" s="3140"/>
      <c r="C2" s="3140"/>
      <c r="D2" s="3141"/>
      <c r="E2" s="3141" t="s">
        <v>37</v>
      </c>
      <c r="F2" s="3141" t="s">
        <v>38</v>
      </c>
      <c r="G2" s="3141"/>
      <c r="H2" s="3141"/>
      <c r="I2" s="3141"/>
      <c r="J2" s="3141" t="s">
        <v>39</v>
      </c>
      <c r="K2" s="3141"/>
      <c r="L2" s="3141"/>
      <c r="M2" s="3141"/>
    </row>
    <row r="3" spans="1:13" ht="28.5">
      <c r="A3" s="3140"/>
      <c r="B3" s="3140"/>
      <c r="C3" s="3140"/>
      <c r="D3" s="3141"/>
      <c r="E3" s="31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1" t="s">
        <v>55</v>
      </c>
      <c r="B9" s="3141"/>
      <c r="C9" s="31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90" zoomScaleNormal="100" zoomScaleSheetLayoutView="90" workbookViewId="0">
      <selection activeCell="I31" sqref="I31"/>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1932</v>
      </c>
      <c r="B1" s="1394"/>
      <c r="C1" s="1394"/>
      <c r="D1" s="1394"/>
      <c r="E1" s="1394"/>
      <c r="F1" s="1394"/>
      <c r="G1" s="1394"/>
      <c r="H1" s="1394"/>
      <c r="I1" s="1394"/>
      <c r="J1" s="1394"/>
      <c r="K1" s="1394"/>
      <c r="L1" s="1394"/>
      <c r="M1" s="1394"/>
      <c r="N1" s="1394"/>
      <c r="O1" s="1394"/>
      <c r="P1" s="1394"/>
    </row>
    <row r="2" spans="1:16" ht="15">
      <c r="A2" s="3151" t="s">
        <v>1933</v>
      </c>
      <c r="B2" s="3151"/>
      <c r="C2" s="3151"/>
      <c r="D2" s="969" t="s">
        <v>1909</v>
      </c>
      <c r="E2" s="2228" t="s">
        <v>1910</v>
      </c>
      <c r="F2" s="1394"/>
      <c r="G2" s="2229"/>
      <c r="H2" s="2230"/>
      <c r="I2" s="2231" t="s">
        <v>1934</v>
      </c>
      <c r="J2" s="1394"/>
      <c r="K2" s="1394"/>
      <c r="L2" s="1394"/>
      <c r="M2" s="1394"/>
      <c r="N2" s="1429"/>
      <c r="O2" s="1394"/>
      <c r="P2" s="1394"/>
    </row>
    <row r="3" spans="1:16" ht="15.75" thickBot="1">
      <c r="A3" s="3152" t="s">
        <v>1907</v>
      </c>
      <c r="B3" s="3152"/>
      <c r="C3" s="3152"/>
      <c r="D3" s="46">
        <f>'数据-基础表'!AY6</f>
        <v>34445.57</v>
      </c>
      <c r="E3" s="46">
        <f>'数据-基础表'!AZ5</f>
        <v>47850.3</v>
      </c>
      <c r="F3" s="1394"/>
      <c r="G3" s="1401"/>
      <c r="H3" s="1249" t="s">
        <v>1908</v>
      </c>
      <c r="I3" s="55">
        <f>ROUND('数据-基础表'!B3/'数据-基础表'!A3,2)</f>
        <v>1.39</v>
      </c>
      <c r="J3" s="1394"/>
      <c r="K3" s="1394"/>
      <c r="L3" s="1394"/>
      <c r="M3" s="1394"/>
      <c r="N3" s="1429"/>
      <c r="O3" s="1394"/>
      <c r="P3" s="1394"/>
    </row>
    <row r="4" spans="1:16" ht="15">
      <c r="A4" s="3153"/>
      <c r="B4" s="3154"/>
      <c r="C4" s="3155"/>
      <c r="D4" s="2232" t="s">
        <v>1909</v>
      </c>
      <c r="E4" s="2233" t="s">
        <v>1910</v>
      </c>
      <c r="F4" s="1394"/>
      <c r="G4" s="2234" t="s">
        <v>1935</v>
      </c>
      <c r="H4" s="1249" t="s">
        <v>1915</v>
      </c>
      <c r="I4" s="55">
        <f>ROUND(SUMIF('数据-基础表'!I9:AS9,"地上",'数据-基础表'!I5:AS5)/'数据-基础表'!A3,2)</f>
        <v>1.37</v>
      </c>
      <c r="J4" s="1394"/>
      <c r="K4" s="1394"/>
      <c r="L4" s="1394"/>
      <c r="M4" s="1394"/>
      <c r="N4" s="1429"/>
      <c r="O4" s="1394"/>
      <c r="P4" s="1394"/>
    </row>
    <row r="5" spans="1:16">
      <c r="A5" s="47" t="s">
        <v>1911</v>
      </c>
      <c r="B5" s="3156" t="s">
        <v>1912</v>
      </c>
      <c r="C5" s="3156"/>
      <c r="D5" s="48">
        <f>ROUND($D$3*E5/$E$3,2)</f>
        <v>0</v>
      </c>
      <c r="E5" s="49">
        <f>SUMIF('数据-基础表'!$11:$11,"住宅",'数据-基础表'!$5:$5)</f>
        <v>0</v>
      </c>
      <c r="F5" s="1394"/>
      <c r="G5" s="1401"/>
      <c r="H5" s="1249" t="s">
        <v>1908</v>
      </c>
      <c r="I5" s="55">
        <f>ROUND(E31/D31,2)</f>
        <v>1.39</v>
      </c>
      <c r="J5" s="1394"/>
      <c r="K5" s="1394"/>
      <c r="L5" s="1394"/>
      <c r="M5" s="1394"/>
      <c r="N5" s="1394"/>
      <c r="O5" s="1394"/>
      <c r="P5" s="1394"/>
    </row>
    <row r="6" spans="1:16" ht="15" thickBot="1">
      <c r="A6" s="2235"/>
      <c r="B6" s="3156" t="s">
        <v>1913</v>
      </c>
      <c r="C6" s="3156"/>
      <c r="D6" s="48">
        <f>ROUND($D$3*E6/$E$3,2)</f>
        <v>34445.57</v>
      </c>
      <c r="E6" s="49">
        <f>E3-E5</f>
        <v>47850.3</v>
      </c>
      <c r="F6" s="1394"/>
      <c r="G6" s="2236" t="s">
        <v>1914</v>
      </c>
      <c r="H6" s="1401" t="s">
        <v>1915</v>
      </c>
      <c r="I6" s="941">
        <f>ROUND(F31/D31,2)</f>
        <v>1.36</v>
      </c>
      <c r="J6" s="1394"/>
      <c r="K6" s="1394"/>
      <c r="L6" s="1394"/>
      <c r="M6" s="1394"/>
      <c r="N6" s="1394"/>
      <c r="O6" s="1394"/>
      <c r="P6" s="1394"/>
    </row>
    <row r="7" spans="1:16" ht="15">
      <c r="A7" s="3148"/>
      <c r="B7" s="3149"/>
      <c r="C7" s="3150"/>
      <c r="D7" s="2232" t="s">
        <v>1909</v>
      </c>
      <c r="E7" s="2237" t="s">
        <v>1916</v>
      </c>
      <c r="F7" s="1394"/>
      <c r="G7" s="2229" t="s">
        <v>1917</v>
      </c>
      <c r="H7" s="64"/>
      <c r="I7" s="419"/>
      <c r="J7" s="1394"/>
      <c r="K7" s="1394"/>
      <c r="L7" s="1394"/>
      <c r="M7" s="1394"/>
      <c r="N7" s="1394"/>
      <c r="O7" s="1394"/>
      <c r="P7" s="1394"/>
    </row>
    <row r="8" spans="1:16">
      <c r="A8" s="47" t="s">
        <v>1918</v>
      </c>
      <c r="B8" s="50" t="s">
        <v>1919</v>
      </c>
      <c r="C8" s="48" t="s">
        <v>1920</v>
      </c>
      <c r="D8" s="48">
        <f t="shared" ref="D8:D15" si="0">ROUND($D$3*E8/$E$3,2)</f>
        <v>33837.629999999997</v>
      </c>
      <c r="E8" s="51">
        <f>SUMIF('数据-基础表'!BB10:BK10,"地上",'数据-基础表'!BB5:BK5)</f>
        <v>47005.780000000006</v>
      </c>
      <c r="F8" s="1394"/>
      <c r="G8" s="2238"/>
      <c r="H8" s="2238"/>
      <c r="I8" s="1394"/>
      <c r="J8" s="1394"/>
      <c r="K8" s="1394"/>
      <c r="L8" s="1394"/>
      <c r="M8" s="1394"/>
      <c r="N8" s="1394"/>
      <c r="O8" s="1394"/>
      <c r="P8" s="1394"/>
    </row>
    <row r="9" spans="1:16">
      <c r="A9" s="2239"/>
      <c r="B9" s="2240"/>
      <c r="C9" s="48" t="s">
        <v>1921</v>
      </c>
      <c r="D9" s="48">
        <f t="shared" si="0"/>
        <v>0</v>
      </c>
      <c r="E9" s="52">
        <v>0</v>
      </c>
      <c r="F9" s="1394"/>
      <c r="G9" s="2238"/>
      <c r="H9" s="2238"/>
      <c r="I9" s="1394"/>
      <c r="J9" s="1394"/>
      <c r="K9" s="1394"/>
      <c r="L9" s="1394"/>
      <c r="M9" s="1394"/>
      <c r="N9" s="1394"/>
      <c r="O9" s="1394"/>
      <c r="P9" s="1394"/>
    </row>
    <row r="10" spans="1:16">
      <c r="A10" s="2239"/>
      <c r="B10" s="2240"/>
      <c r="C10" s="48" t="s">
        <v>1930</v>
      </c>
      <c r="D10" s="48">
        <f t="shared" si="0"/>
        <v>0</v>
      </c>
      <c r="E10" s="51">
        <f>SUMPRODUCT(('数据-基础表'!BB10:BK10="地下")*('数据-基础表'!BB11:BK11="商业")*('数据-基础表'!BB5:BK5))</f>
        <v>0</v>
      </c>
      <c r="F10" s="1394"/>
      <c r="G10" s="2238"/>
      <c r="H10" s="2238"/>
      <c r="I10" s="1394"/>
      <c r="J10" s="1394"/>
      <c r="K10" s="1394"/>
      <c r="L10" s="1394"/>
      <c r="M10" s="1394"/>
      <c r="N10" s="1394"/>
      <c r="O10" s="1394"/>
      <c r="P10" s="1394"/>
    </row>
    <row r="11" spans="1:16">
      <c r="A11" s="2239"/>
      <c r="B11" s="2240"/>
      <c r="C11" s="48" t="s">
        <v>1922</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1923</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1924</v>
      </c>
      <c r="D13" s="48">
        <f t="shared" si="0"/>
        <v>0</v>
      </c>
      <c r="E13" s="51">
        <f>SUMPRODUCT(('数据-基础表'!BB10:BK10="地下")*('数据-基础表'!BB11:BK11="车库")*('数据-基础表'!BB5:BK5))</f>
        <v>0</v>
      </c>
      <c r="F13" s="1394"/>
      <c r="G13" s="2238"/>
      <c r="H13" s="2238"/>
      <c r="I13" s="1394"/>
      <c r="J13" s="1394"/>
      <c r="K13" s="1394"/>
      <c r="L13" s="1394"/>
      <c r="M13" s="1394"/>
      <c r="N13" s="1394"/>
      <c r="O13" s="1394"/>
      <c r="P13" s="1394"/>
    </row>
    <row r="14" spans="1:16">
      <c r="A14" s="2239"/>
      <c r="B14" s="2240"/>
      <c r="C14" s="48" t="s">
        <v>1936</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1931</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1925</v>
      </c>
      <c r="D16" s="50">
        <f>SUM(D8:D15)</f>
        <v>33837.629999999997</v>
      </c>
      <c r="E16" s="53">
        <f>SUM(E8:E15)</f>
        <v>47005.780000000006</v>
      </c>
      <c r="F16" s="1394"/>
      <c r="G16" s="2238"/>
      <c r="H16" s="2241" t="s">
        <v>1937</v>
      </c>
      <c r="I16" s="2242"/>
      <c r="J16" s="1394"/>
      <c r="K16" s="3145" t="s">
        <v>1937</v>
      </c>
      <c r="L16" s="3146"/>
      <c r="M16" s="3146"/>
      <c r="N16" s="3146"/>
      <c r="O16" s="3146"/>
      <c r="P16" s="3147"/>
    </row>
    <row r="17" spans="1:19" ht="15">
      <c r="A17" s="2243" t="s">
        <v>1938</v>
      </c>
      <c r="B17" s="2244" t="s">
        <v>1939</v>
      </c>
      <c r="C17" s="2245" t="s">
        <v>1940</v>
      </c>
      <c r="D17" s="2246" t="s">
        <v>1928</v>
      </c>
      <c r="E17" s="2247" t="s">
        <v>1929</v>
      </c>
      <c r="F17" s="2248"/>
      <c r="G17" s="2249"/>
      <c r="H17" s="2250" t="s">
        <v>1941</v>
      </c>
      <c r="I17" s="2251" t="s">
        <v>1926</v>
      </c>
      <c r="J17" s="1394"/>
      <c r="K17" s="3142" t="s">
        <v>1942</v>
      </c>
      <c r="L17" s="3143"/>
      <c r="M17" s="3144"/>
      <c r="N17" s="3142" t="s">
        <v>1943</v>
      </c>
      <c r="O17" s="3143"/>
      <c r="P17" s="3144"/>
      <c r="R17" s="2229" t="s">
        <v>1944</v>
      </c>
      <c r="S17" s="64"/>
    </row>
    <row r="18" spans="1:19" ht="15">
      <c r="A18" s="2239"/>
      <c r="B18" s="2252"/>
      <c r="C18" s="2253"/>
      <c r="D18" s="2254"/>
      <c r="E18" s="2255" t="s">
        <v>1945</v>
      </c>
      <c r="F18" s="2256" t="s">
        <v>1946</v>
      </c>
      <c r="G18" s="2257" t="s">
        <v>1947</v>
      </c>
      <c r="H18" s="1264" t="s">
        <v>1948</v>
      </c>
      <c r="I18" s="2258" t="s">
        <v>1949</v>
      </c>
      <c r="J18" s="1394"/>
      <c r="K18" s="1264" t="s">
        <v>1950</v>
      </c>
      <c r="L18" s="2259" t="s">
        <v>1951</v>
      </c>
      <c r="M18" s="1048" t="s">
        <v>1952</v>
      </c>
      <c r="N18" s="1264" t="s">
        <v>1950</v>
      </c>
      <c r="O18" s="2259" t="s">
        <v>1951</v>
      </c>
      <c r="P18" s="1048" t="s">
        <v>1952</v>
      </c>
      <c r="R18" s="1249" t="s">
        <v>1953</v>
      </c>
      <c r="S18" s="1249" t="s">
        <v>1954</v>
      </c>
    </row>
    <row r="19" spans="1:19">
      <c r="A19" s="2260"/>
      <c r="B19" s="50" t="s">
        <v>1927</v>
      </c>
      <c r="C19" s="2942" t="s">
        <v>3057</v>
      </c>
      <c r="D19" s="48">
        <f>ROUND($D$3*E19/$E$3,2)</f>
        <v>34445.57</v>
      </c>
      <c r="E19" s="56">
        <f t="shared" ref="E19:E26" si="1">SUM(F19:G19)</f>
        <v>47850.3</v>
      </c>
      <c r="F19" s="57">
        <f>'数据-基础表'!BB5</f>
        <v>47005.780000000006</v>
      </c>
      <c r="G19" s="58">
        <f>'数据-基础表'!K5</f>
        <v>844.52</v>
      </c>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34445.57</v>
      </c>
      <c r="S19" s="1250">
        <f t="shared" si="5"/>
        <v>47850.3</v>
      </c>
    </row>
    <row r="20" spans="1:19">
      <c r="A20" s="2264"/>
      <c r="B20" s="50" t="s">
        <v>1955</v>
      </c>
      <c r="C20" s="2261"/>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1955</v>
      </c>
      <c r="C21" s="2261"/>
      <c r="D21" s="48">
        <f t="shared" si="6"/>
        <v>0</v>
      </c>
      <c r="E21" s="56">
        <f t="shared" si="1"/>
        <v>0</v>
      </c>
      <c r="F21" s="57"/>
      <c r="G21" s="58"/>
      <c r="H21" s="722">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1955</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1955</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1955</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1955</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1955</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1956</v>
      </c>
      <c r="D27" s="1395">
        <f>SUM(D19:D26)</f>
        <v>34445.57</v>
      </c>
      <c r="E27" s="1396">
        <f>IF(SUM(E19:E26)='数据-基础表'!BA5,SUM(E19:E26),IF(F27="地上面积有误","面积有误","地下面积有误"))</f>
        <v>47850.3</v>
      </c>
      <c r="F27" s="1395">
        <f>IF(SUM(F19:F26)=E8,SUM(F19:F26),"地上面积有误")</f>
        <v>47005.780000000006</v>
      </c>
      <c r="G27" s="1397">
        <f>SUM(G19:G26)</f>
        <v>844.52</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34445.57</v>
      </c>
      <c r="S27" s="1249">
        <f>IF(SUM(S19:S26)=$E$3,SUM(S19:S26),SUM(S19:S26)&amp;"误差"&amp;ROUND(SUM(S19:S26)-E3,2))</f>
        <v>47850.3</v>
      </c>
    </row>
    <row r="28" spans="1:19">
      <c r="A28" s="2264"/>
      <c r="B28" s="50" t="s">
        <v>1957</v>
      </c>
      <c r="C28" s="1261" t="s">
        <v>1958</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1957</v>
      </c>
      <c r="C29" s="2268" t="s">
        <v>1959</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1956</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1960</v>
      </c>
      <c r="D31" s="728">
        <f>D27+D30</f>
        <v>34445.57</v>
      </c>
      <c r="E31" s="728">
        <f>E27+E30</f>
        <v>47850.3</v>
      </c>
      <c r="F31" s="729">
        <f>F27+F30</f>
        <v>47005.780000000006</v>
      </c>
      <c r="G31" s="730">
        <f>G27+G30</f>
        <v>844.52</v>
      </c>
      <c r="H31" s="1394"/>
      <c r="I31" s="1394"/>
      <c r="J31" s="1394"/>
      <c r="K31" s="1394"/>
      <c r="L31" s="1394"/>
      <c r="M31" s="1394"/>
      <c r="N31" s="1394"/>
      <c r="O31" s="1394"/>
      <c r="P31" s="1394"/>
    </row>
    <row r="32" spans="1:19">
      <c r="A32" s="2234"/>
      <c r="B32" s="2234" t="s">
        <v>1961</v>
      </c>
      <c r="C32" s="2234"/>
      <c r="D32" s="2234"/>
      <c r="E32" s="1276">
        <f>SUMIF(C19:C26,"*住宅*",E19:E26)</f>
        <v>0</v>
      </c>
      <c r="F32" s="2234"/>
      <c r="G32" s="2234"/>
      <c r="H32" s="1394"/>
      <c r="I32" s="1394"/>
      <c r="J32" s="1394"/>
      <c r="K32" s="1394"/>
      <c r="L32" s="1394"/>
      <c r="M32" s="1394"/>
      <c r="N32" s="1394"/>
      <c r="O32" s="1394"/>
      <c r="P32" s="1394"/>
    </row>
    <row r="33" spans="4:7">
      <c r="D33" s="2272"/>
    </row>
    <row r="37" spans="4:7">
      <c r="G37" s="2227">
        <f>'数据-汇总表'!E3/'数据-基础表'!G5*'数据-基础表'!A3</f>
        <v>34445.57408544459</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A22" sqref="AA22"/>
    </sheetView>
  </sheetViews>
  <sheetFormatPr defaultColWidth="13.75" defaultRowHeight="12.75"/>
  <cols>
    <col min="1" max="1" width="20.875" style="2345" customWidth="1"/>
    <col min="2" max="2" width="12" style="2276" customWidth="1"/>
    <col min="3" max="3" width="10.75" style="2276" customWidth="1"/>
    <col min="4" max="4" width="9.125" style="2346"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1962</v>
      </c>
      <c r="B1" s="731"/>
      <c r="C1" s="1583"/>
      <c r="D1" s="2274"/>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1963</v>
      </c>
      <c r="B2" s="1268">
        <f>项目基本情况!D3</f>
        <v>43116</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1964</v>
      </c>
      <c r="B4" s="2282"/>
      <c r="C4" s="2283"/>
      <c r="D4" s="2284"/>
      <c r="E4" s="2283" t="s">
        <v>1965</v>
      </c>
      <c r="F4" s="2283"/>
      <c r="G4" s="2283"/>
      <c r="H4" s="2283"/>
      <c r="I4" s="2283"/>
      <c r="J4" s="2285"/>
      <c r="K4" s="2286"/>
      <c r="L4" s="2287"/>
      <c r="M4" s="2283"/>
      <c r="N4" s="2283" t="s">
        <v>1966</v>
      </c>
      <c r="O4" s="2283"/>
      <c r="P4" s="2283"/>
      <c r="Q4" s="2283"/>
      <c r="R4" s="2283"/>
      <c r="S4" s="2285"/>
      <c r="T4" s="2288" t="str">
        <f>'数据-汇总表'!I17</f>
        <v>按面积比例</v>
      </c>
      <c r="U4" s="2282" t="s">
        <v>1967</v>
      </c>
      <c r="V4" s="2283"/>
      <c r="W4" s="2283"/>
      <c r="X4" s="2283"/>
      <c r="Y4" s="2285"/>
      <c r="Z4" s="2245" t="s">
        <v>1968</v>
      </c>
      <c r="AA4" s="2245"/>
      <c r="AB4" s="2245"/>
      <c r="AC4" s="2245"/>
      <c r="AD4" s="2245"/>
      <c r="AE4" s="2243" t="s">
        <v>1969</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1970</v>
      </c>
      <c r="B5" s="2291" t="s">
        <v>1971</v>
      </c>
      <c r="C5" s="2292" t="s">
        <v>1972</v>
      </c>
      <c r="D5" s="2293" t="s">
        <v>1973</v>
      </c>
      <c r="E5" s="1270" t="s">
        <v>1974</v>
      </c>
      <c r="F5" s="2294" t="s">
        <v>1975</v>
      </c>
      <c r="G5" s="1270" t="s">
        <v>1976</v>
      </c>
      <c r="H5" s="1270" t="s">
        <v>1977</v>
      </c>
      <c r="I5" s="1270" t="s">
        <v>1978</v>
      </c>
      <c r="J5" s="2295" t="s">
        <v>1979</v>
      </c>
      <c r="K5" s="2296" t="s">
        <v>1980</v>
      </c>
      <c r="L5" s="2297" t="s">
        <v>1981</v>
      </c>
      <c r="M5" s="2298" t="s">
        <v>1982</v>
      </c>
      <c r="N5" s="2299" t="s">
        <v>3058</v>
      </c>
      <c r="O5" s="2297" t="s">
        <v>1983</v>
      </c>
      <c r="P5" s="2300" t="s">
        <v>1984</v>
      </c>
      <c r="Q5" s="69" t="s">
        <v>1985</v>
      </c>
      <c r="R5" s="2301" t="s">
        <v>1986</v>
      </c>
      <c r="S5" s="2302" t="s">
        <v>1987</v>
      </c>
      <c r="T5" s="2303" t="s">
        <v>1988</v>
      </c>
      <c r="U5" s="1269" t="s">
        <v>1989</v>
      </c>
      <c r="V5" s="1270" t="s">
        <v>1990</v>
      </c>
      <c r="W5" s="1270" t="s">
        <v>1991</v>
      </c>
      <c r="X5" s="71"/>
      <c r="Y5" s="70" t="s">
        <v>1992</v>
      </c>
      <c r="Z5" s="2304" t="s">
        <v>1989</v>
      </c>
      <c r="AA5" s="1270" t="s">
        <v>1990</v>
      </c>
      <c r="AB5" s="1270" t="s">
        <v>1991</v>
      </c>
      <c r="AC5" s="71"/>
      <c r="AD5" s="71" t="s">
        <v>1992</v>
      </c>
      <c r="AE5" s="1269" t="s">
        <v>1993</v>
      </c>
      <c r="AF5" s="1270" t="s">
        <v>1994</v>
      </c>
      <c r="AG5" s="70" t="s">
        <v>1995</v>
      </c>
      <c r="AH5" s="1269" t="s">
        <v>1996</v>
      </c>
      <c r="AI5" s="2304" t="s">
        <v>1997</v>
      </c>
      <c r="AJ5" s="2304" t="s">
        <v>1998</v>
      </c>
      <c r="AK5" s="1270" t="s">
        <v>1999</v>
      </c>
      <c r="AL5" s="1270" t="s">
        <v>2000</v>
      </c>
      <c r="AM5" s="70" t="s">
        <v>2001</v>
      </c>
      <c r="AN5" s="2305" t="s">
        <v>2002</v>
      </c>
      <c r="AO5" s="2076" t="s">
        <v>2003</v>
      </c>
      <c r="AP5" s="1251" t="s">
        <v>2004</v>
      </c>
      <c r="AQ5" s="2306" t="s">
        <v>2005</v>
      </c>
      <c r="AR5" s="2306" t="s">
        <v>2006</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3" customFormat="1" ht="14.25">
      <c r="A6" s="2307" t="str">
        <f>'数据-汇总表'!C19</f>
        <v>办公楼</v>
      </c>
      <c r="B6" s="2308" t="str">
        <f>IF(A6=0,"","经营性")</f>
        <v>经营性</v>
      </c>
      <c r="C6" s="2309" t="s">
        <v>6</v>
      </c>
      <c r="D6" s="1053">
        <f>SUMIF(项目基本情况!D$12:I$12,C6,项目基本情况!D$14:I$14)</f>
        <v>50</v>
      </c>
      <c r="E6" s="1050">
        <f>IF(B6="","",SUMIF(项目基本情况!D$12:I$12,C6,项目基本情况!D$13:I$13))</f>
        <v>56145</v>
      </c>
      <c r="F6" s="72">
        <f>SUMIF(项目基本情况!D$12:I$12,C6,项目基本情况!D$15:I$15)</f>
        <v>35.69</v>
      </c>
      <c r="G6" s="73">
        <f>IF(ISERROR(ROUND(POWER(1+H6,D6-F6)*(POWER(1+H6,F6)-1)/(POWER(1+H6,D6)-1),3)),0,ROUND(POWER(1+H6,D6-F6)*(POWER(1+H6,F6)-1)/(POWER(1+H6,D6)-1),3))</f>
        <v>0.90300000000000002</v>
      </c>
      <c r="H6" s="801">
        <v>0.05</v>
      </c>
      <c r="I6" s="801">
        <v>5.5E-2</v>
      </c>
      <c r="J6" s="74">
        <v>8.5000000000000006E-2</v>
      </c>
      <c r="K6" s="1253">
        <f>SUMIF('数据-汇总表'!C$19:C$33,A6,'数据-汇总表'!E$19:E$33)</f>
        <v>47850.3</v>
      </c>
      <c r="L6" s="802">
        <v>3500</v>
      </c>
      <c r="M6" s="75">
        <f t="shared" ref="M6:M14" si="0">ROUND(K6*L6/10000,0)</f>
        <v>16748</v>
      </c>
      <c r="N6" s="800">
        <f>成新率!M18</f>
        <v>0.88</v>
      </c>
      <c r="O6" s="75" t="str">
        <f>IF($N$5="成新度","——",ROUND(M6*N6,0))</f>
        <v>——</v>
      </c>
      <c r="P6" s="76" t="str">
        <f>IF($N$5="成新度","——",M6-O6)</f>
        <v>——</v>
      </c>
      <c r="Q6" s="803">
        <v>0.2</v>
      </c>
      <c r="R6" s="77">
        <f ca="1">SUMIF('数据-汇总表'!C$19:C$33,A6,'数据-汇总表'!R$19:R$27)</f>
        <v>34445.57</v>
      </c>
      <c r="S6" s="54">
        <f>IF('数据-汇总表'!$I$17="按面积比例",SUMIF('数据-汇总表'!C$19:C$33,A6,'数据-汇总表'!K$19:K$33),SUMIF('数据-汇总表'!C$19:C$33,A6,'数据-汇总表'!N$19:N$33))</f>
        <v>0</v>
      </c>
      <c r="T6" s="1445">
        <f>ROUND($L$14*S6/10000,0)</f>
        <v>0</v>
      </c>
      <c r="U6" s="78">
        <f>租赁情况!N32</f>
        <v>3.2</v>
      </c>
      <c r="V6" s="79">
        <v>0.02</v>
      </c>
      <c r="W6" s="79">
        <v>0</v>
      </c>
      <c r="X6" s="1263"/>
      <c r="Y6" s="80">
        <f>N6</f>
        <v>0.88</v>
      </c>
      <c r="Z6" s="81">
        <f>ROUND(3.3*(1+AA6)^AF6,1)</f>
        <v>5.0999999999999996</v>
      </c>
      <c r="AA6" s="74">
        <v>0.03</v>
      </c>
      <c r="AB6" s="74">
        <v>0.1</v>
      </c>
      <c r="AC6" s="1263"/>
      <c r="AD6" s="82">
        <f>成新率!O18</f>
        <v>0.65</v>
      </c>
      <c r="AE6" s="1264">
        <f ca="1">IF(AN6="",0,SUMIF(INDIRECT("'"&amp;AN6&amp;"'"&amp;"!E:E"),$AE$5,INDIRECT("'"&amp;AN6&amp;"'"&amp;"!F:F")))</f>
        <v>35.69</v>
      </c>
      <c r="AF6" s="3037">
        <f>剩余年限!C4</f>
        <v>14.55</v>
      </c>
      <c r="AG6" s="146">
        <f ca="1">IF(AF6="",0,AE6-AF6)</f>
        <v>21.139999999999997</v>
      </c>
      <c r="AH6" s="83"/>
      <c r="AI6" s="85">
        <v>365</v>
      </c>
      <c r="AJ6" s="86"/>
      <c r="AK6" s="87">
        <v>1.4999999999999999E-2</v>
      </c>
      <c r="AL6" s="88">
        <v>1.5E-3</v>
      </c>
      <c r="AM6" s="89">
        <v>0.01</v>
      </c>
      <c r="AN6" s="2310" t="s">
        <v>3230</v>
      </c>
      <c r="AO6" s="55">
        <f ca="1">SUMIF(INDIRECT("'"&amp;AN6&amp;"'"&amp;"!A:A"),"总价",INDIRECT("'"&amp;AN6&amp;"'"&amp;"!B:B"))</f>
        <v>101617</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f>'数据-汇总表'!C20</f>
        <v>0</v>
      </c>
      <c r="B7" s="2308" t="str">
        <f t="shared" ref="B7:B13" si="1">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6">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f>'数据-汇总表'!C21</f>
        <v>0</v>
      </c>
      <c r="B8" s="2308" t="str">
        <f t="shared" si="1"/>
        <v/>
      </c>
      <c r="C8" s="2309"/>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6">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f>'数据-汇总表'!C22</f>
        <v>0</v>
      </c>
      <c r="B9" s="2308" t="str">
        <f t="shared" si="1"/>
        <v/>
      </c>
      <c r="C9" s="2309"/>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6">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6">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6">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6">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6">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2007</v>
      </c>
      <c r="B14" s="2308" t="s">
        <v>2008</v>
      </c>
      <c r="C14" s="2313" t="s">
        <v>2007</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2009</v>
      </c>
      <c r="B15" s="2308" t="s">
        <v>2008</v>
      </c>
      <c r="C15" s="2313" t="s">
        <v>2010</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2011</v>
      </c>
      <c r="B16" s="97"/>
      <c r="C16" s="1007"/>
      <c r="D16" s="2315"/>
      <c r="E16" s="97"/>
      <c r="F16" s="97"/>
      <c r="G16" s="98">
        <f>ROUND(SUMPRODUCT(G6:G13,K6:K13)/SUMPRODUCT((G6:G13&gt;0)*(K6:K13)),3)</f>
        <v>0.90300000000000002</v>
      </c>
      <c r="H16" s="99">
        <f>ROUND(SUMPRODUCT(H6:H13,K6:K13)/SUMPRODUCT((H6:H13&gt;0)*(K6:K13)),3)</f>
        <v>0.05</v>
      </c>
      <c r="I16" s="100"/>
      <c r="J16" s="100"/>
      <c r="K16" s="101">
        <f>SUM(K6:K15)</f>
        <v>47850.3</v>
      </c>
      <c r="L16" s="102">
        <f>ROUND(M16*10000/SUM(K6:K14),0)</f>
        <v>3500</v>
      </c>
      <c r="M16" s="102">
        <f>SUM(M6:M14)</f>
        <v>16748</v>
      </c>
      <c r="N16" s="103">
        <f>ROUND(SUMPRODUCT(M6:M14,N6:N14)/M16,3)</f>
        <v>0.88</v>
      </c>
      <c r="O16" s="102">
        <f>SUM(O6:O14)</f>
        <v>0</v>
      </c>
      <c r="P16" s="102">
        <f>SUM(P6:P14)</f>
        <v>0</v>
      </c>
      <c r="Q16" s="104">
        <f>ROUND(SUMPRODUCT(Q6:Q13,K6:K13)/SUMPRODUCT((Q6:Q13&gt;0)*(K6:K13)),2)</f>
        <v>0.2</v>
      </c>
      <c r="R16" s="1257">
        <f ca="1">SUM(R6:R13)</f>
        <v>34445.57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3"/>
      <c r="D17" s="2274"/>
      <c r="E17" s="2274"/>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2012</v>
      </c>
      <c r="B18" s="2281"/>
      <c r="C18" s="2278"/>
      <c r="D18" s="2279"/>
      <c r="E18" s="2278"/>
      <c r="F18" s="2278"/>
      <c r="G18" s="2278"/>
      <c r="H18" s="2278"/>
      <c r="I18" s="2278"/>
      <c r="J18" s="2278"/>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7" t="s">
        <v>2013</v>
      </c>
      <c r="B19" s="112">
        <v>0</v>
      </c>
      <c r="C19" s="2278" t="s">
        <v>2014</v>
      </c>
      <c r="D19" s="2279"/>
      <c r="E19" s="2278"/>
      <c r="F19" s="2278"/>
      <c r="G19" s="2278"/>
      <c r="H19" s="2278"/>
      <c r="I19" s="2278"/>
      <c r="J19" s="2278"/>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8" t="s">
        <v>2015</v>
      </c>
      <c r="B20" s="113">
        <v>1.5</v>
      </c>
      <c r="C20" s="2278" t="s">
        <v>2016</v>
      </c>
      <c r="D20" s="2279"/>
      <c r="E20" s="2278"/>
      <c r="F20" s="2278"/>
      <c r="G20" s="2278"/>
      <c r="H20" s="2278"/>
      <c r="I20" s="2278"/>
      <c r="J20" s="2278"/>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9" t="s">
        <v>2017</v>
      </c>
      <c r="B21" s="113">
        <v>1.5</v>
      </c>
      <c r="C21" s="2278"/>
      <c r="D21" s="2279"/>
      <c r="E21" s="2278"/>
      <c r="F21" s="2278"/>
      <c r="G21" s="2278"/>
      <c r="H21" s="2278"/>
      <c r="I21" s="2278"/>
      <c r="J21" s="2278"/>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8" t="s">
        <v>2018</v>
      </c>
      <c r="B22" s="114">
        <f>B19+B20</f>
        <v>1.5</v>
      </c>
      <c r="C22" s="2278"/>
      <c r="D22" s="2279"/>
      <c r="E22" s="2278"/>
      <c r="F22" s="2278"/>
      <c r="G22" s="2278"/>
      <c r="H22" s="2278"/>
      <c r="I22" s="2278"/>
      <c r="J22" s="2278"/>
      <c r="K22" s="167"/>
      <c r="L22" s="167"/>
      <c r="M22" s="1583"/>
      <c r="N22" s="1583"/>
      <c r="O22" s="1583"/>
      <c r="P22" s="1583"/>
      <c r="Q22" s="1583"/>
      <c r="R22" s="1583"/>
      <c r="S22" s="1583"/>
      <c r="T22" s="1583"/>
      <c r="U22" s="1583"/>
      <c r="V22" s="1583"/>
      <c r="W22" s="1583"/>
      <c r="X22" s="1583"/>
      <c r="Y22" s="1583"/>
      <c r="Z22" s="1583">
        <f ca="1">结果表!G19</f>
        <v>81054</v>
      </c>
      <c r="AA22" s="1583"/>
      <c r="AB22" s="1583"/>
      <c r="AC22" s="1583"/>
      <c r="AD22" s="1583"/>
      <c r="AE22" s="1583"/>
      <c r="AF22" s="1583"/>
      <c r="AG22" s="1583"/>
      <c r="AH22" s="1583"/>
      <c r="AI22" s="1583"/>
      <c r="AJ22" s="1583"/>
      <c r="AK22" s="1583"/>
      <c r="AL22" s="1583"/>
      <c r="AM22" s="1583"/>
    </row>
    <row r="23" spans="1:67" ht="14.25">
      <c r="A23" s="2319" t="s">
        <v>2019</v>
      </c>
      <c r="B23" s="114">
        <f>B19+B21</f>
        <v>1.5</v>
      </c>
      <c r="C23" s="2278"/>
      <c r="D23" s="2279"/>
      <c r="E23" s="2278"/>
      <c r="F23" s="2278"/>
      <c r="G23" s="2278"/>
      <c r="H23" s="2278"/>
      <c r="I23" s="2278"/>
      <c r="J23" s="2278"/>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2020</v>
      </c>
      <c r="B24" s="115">
        <f>B20-B21</f>
        <v>0</v>
      </c>
      <c r="C24" s="2278"/>
      <c r="D24" s="2279"/>
      <c r="E24" s="2278"/>
      <c r="F24" s="2278"/>
      <c r="G24" s="2278"/>
      <c r="H24" s="2278"/>
      <c r="I24" s="2278"/>
      <c r="J24" s="2278"/>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2021</v>
      </c>
      <c r="B26" s="2321" t="s">
        <v>2022</v>
      </c>
      <c r="C26" s="2322" t="s">
        <v>2023</v>
      </c>
      <c r="D26" s="2279"/>
      <c r="E26" s="2278"/>
      <c r="F26" s="2278"/>
      <c r="G26" s="2278"/>
      <c r="H26" s="2278"/>
      <c r="I26" s="2278"/>
      <c r="J26" s="2278"/>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2024</v>
      </c>
      <c r="B27" s="116"/>
      <c r="C27" s="1766" t="s">
        <v>2025</v>
      </c>
      <c r="D27" s="2324"/>
      <c r="E27" s="1429"/>
      <c r="F27" s="1429"/>
      <c r="G27" s="2278"/>
      <c r="H27" s="2278"/>
      <c r="I27" s="2278"/>
      <c r="J27" s="2278"/>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2026</v>
      </c>
      <c r="B28" s="119">
        <v>200</v>
      </c>
      <c r="C28" s="2327"/>
      <c r="D28" s="2324"/>
      <c r="E28" s="1429"/>
      <c r="F28" s="1429"/>
      <c r="G28" s="2278"/>
      <c r="H28" s="2278"/>
      <c r="I28" s="2278"/>
      <c r="J28" s="2278"/>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2027</v>
      </c>
      <c r="B29" s="121">
        <v>0</v>
      </c>
      <c r="C29" s="1766" t="s">
        <v>2028</v>
      </c>
      <c r="D29" s="2324"/>
      <c r="E29" s="1429"/>
      <c r="F29" s="1429"/>
      <c r="G29" s="2278"/>
      <c r="H29" s="2278"/>
      <c r="I29" s="2278"/>
      <c r="J29" s="2278"/>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2029</v>
      </c>
      <c r="B30" s="723">
        <v>200</v>
      </c>
      <c r="C30" s="2327"/>
      <c r="D30" s="2324"/>
      <c r="E30" s="1429"/>
      <c r="F30" s="1429"/>
      <c r="G30" s="2278"/>
      <c r="H30" s="2278"/>
      <c r="I30" s="2278"/>
      <c r="J30" s="2278"/>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2030</v>
      </c>
      <c r="B31" s="120">
        <f>B30-B32</f>
        <v>200</v>
      </c>
      <c r="C31" s="1766"/>
      <c r="D31" s="2324"/>
      <c r="E31" s="1429"/>
      <c r="F31" s="1429"/>
      <c r="G31" s="2278"/>
      <c r="H31" s="2278"/>
      <c r="I31" s="2278"/>
      <c r="J31" s="2278"/>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2031</v>
      </c>
      <c r="B32" s="724">
        <v>0</v>
      </c>
      <c r="C32" s="2327"/>
      <c r="D32" s="2279"/>
      <c r="E32" s="2278"/>
      <c r="F32" s="2278"/>
      <c r="G32" s="2278"/>
      <c r="H32" s="2278"/>
      <c r="I32" s="2278"/>
      <c r="J32" s="2278"/>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2032</v>
      </c>
      <c r="B33" s="725">
        <v>0.03</v>
      </c>
      <c r="C33" s="1765" t="s">
        <v>2033</v>
      </c>
      <c r="D33" s="2279"/>
      <c r="E33" s="2278"/>
      <c r="F33" s="2278"/>
      <c r="G33" s="2278"/>
      <c r="H33" s="2278"/>
      <c r="I33" s="2278"/>
      <c r="J33" s="2278"/>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2034</v>
      </c>
      <c r="B34" s="122">
        <v>0</v>
      </c>
      <c r="C34" s="1765" t="s">
        <v>2035</v>
      </c>
      <c r="D34" s="2279" t="s">
        <v>2036</v>
      </c>
      <c r="E34" s="731"/>
      <c r="F34" s="2278"/>
      <c r="G34" s="2278"/>
      <c r="H34" s="2278"/>
      <c r="I34" s="2278"/>
      <c r="J34" s="2278"/>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2037</v>
      </c>
      <c r="B35" s="119">
        <v>200</v>
      </c>
      <c r="C35" s="1765" t="s">
        <v>2038</v>
      </c>
      <c r="D35" s="2324"/>
      <c r="E35" s="1429"/>
      <c r="F35" s="1429"/>
      <c r="G35" s="2278"/>
      <c r="H35" s="2278"/>
      <c r="I35" s="2278"/>
      <c r="J35" s="2278"/>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2039</v>
      </c>
      <c r="B36" s="123">
        <v>1.4999999999999999E-2</v>
      </c>
      <c r="C36" s="1765" t="s">
        <v>2040</v>
      </c>
      <c r="D36" s="2279"/>
      <c r="E36" s="2278"/>
      <c r="F36" s="2278"/>
      <c r="G36" s="2278"/>
      <c r="H36" s="2278"/>
      <c r="I36" s="2278"/>
      <c r="J36" s="2278"/>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2041</v>
      </c>
      <c r="B37" s="124">
        <v>0.02</v>
      </c>
      <c r="C37" s="1765" t="s">
        <v>2042</v>
      </c>
      <c r="D37" s="2279"/>
      <c r="E37" s="2278"/>
      <c r="F37" s="2278"/>
      <c r="G37" s="2278"/>
      <c r="H37" s="2278"/>
      <c r="I37" s="2278"/>
      <c r="J37" s="2278"/>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2043</v>
      </c>
      <c r="B38" s="122">
        <v>0.02</v>
      </c>
      <c r="C38" s="1765" t="s">
        <v>2042</v>
      </c>
      <c r="D38" s="2279"/>
      <c r="E38" s="2278"/>
      <c r="F38" s="2278"/>
      <c r="G38" s="2278"/>
      <c r="H38" s="2278"/>
      <c r="I38" s="2278"/>
      <c r="J38" s="2278"/>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2044</v>
      </c>
      <c r="B39" s="361">
        <f ca="1">存贷款利率!I1</f>
        <v>1.4999999999999999E-2</v>
      </c>
      <c r="C39" s="1765"/>
      <c r="D39" s="2279"/>
      <c r="E39" s="2278"/>
      <c r="F39" s="2278"/>
      <c r="G39" s="2278"/>
      <c r="H39" s="2278"/>
      <c r="I39" s="2278"/>
      <c r="J39" s="2278"/>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2045</v>
      </c>
      <c r="B40" s="1302">
        <f ca="1">存贷款利率!G1</f>
        <v>4.7500000000000001E-2</v>
      </c>
      <c r="C40" s="1765" t="s">
        <v>2046</v>
      </c>
      <c r="D40" s="1583"/>
      <c r="E40" s="2279"/>
      <c r="F40" s="2278"/>
      <c r="G40" s="2278"/>
      <c r="H40" s="2278"/>
      <c r="I40" s="2278"/>
      <c r="J40" s="2278"/>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2047</v>
      </c>
      <c r="B41" s="125">
        <f>B42+B43</f>
        <v>5.5000000000000007E-2</v>
      </c>
      <c r="C41" s="1766"/>
      <c r="D41" s="1583"/>
      <c r="E41" s="2279"/>
      <c r="F41" s="2278"/>
      <c r="G41" s="2278"/>
      <c r="H41" s="2278"/>
      <c r="I41" s="2278"/>
      <c r="J41" s="2278"/>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2048</v>
      </c>
      <c r="B42" s="126">
        <v>0.05</v>
      </c>
      <c r="C42" s="2332">
        <f>IF(B2&lt;DATE(2016,5,1),0,B42)</f>
        <v>0.05</v>
      </c>
      <c r="D42" s="2279"/>
      <c r="E42" s="2278"/>
      <c r="F42" s="2278"/>
      <c r="G42" s="2278"/>
      <c r="H42" s="2278"/>
      <c r="I42" s="2278"/>
      <c r="J42" s="2278"/>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2049</v>
      </c>
      <c r="B43" s="127">
        <f>B42*(B44+B45+B46)+B47</f>
        <v>5.000000000000001E-3</v>
      </c>
      <c r="C43" s="1766"/>
      <c r="D43" s="2279"/>
      <c r="E43" s="2278"/>
      <c r="F43" s="2278"/>
      <c r="G43" s="2278"/>
      <c r="H43" s="2278"/>
      <c r="I43" s="2278"/>
      <c r="J43" s="2278"/>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2050</v>
      </c>
      <c r="B44" s="3039">
        <v>0.05</v>
      </c>
      <c r="C44" s="1765" t="s">
        <v>2051</v>
      </c>
      <c r="D44" s="2279"/>
      <c r="E44" s="2278"/>
      <c r="F44" s="2278"/>
      <c r="G44" s="2278"/>
      <c r="H44" s="2278"/>
      <c r="I44" s="2278"/>
      <c r="J44" s="2278"/>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2052</v>
      </c>
      <c r="B45" s="126">
        <v>0.03</v>
      </c>
      <c r="C45" s="1766" t="s">
        <v>2053</v>
      </c>
      <c r="D45" s="2279"/>
      <c r="E45" s="2278"/>
      <c r="F45" s="2278"/>
      <c r="G45" s="2278"/>
      <c r="H45" s="2278"/>
      <c r="I45" s="2278"/>
      <c r="J45" s="2278"/>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2054</v>
      </c>
      <c r="B46" s="126">
        <v>0.02</v>
      </c>
      <c r="C46" s="1766" t="s">
        <v>2055</v>
      </c>
      <c r="D46" s="2279"/>
      <c r="E46" s="2278"/>
      <c r="F46" s="2278"/>
      <c r="G46" s="2278"/>
      <c r="H46" s="2278"/>
      <c r="I46" s="2278"/>
      <c r="J46" s="2278"/>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2056</v>
      </c>
      <c r="B47" s="128">
        <v>0</v>
      </c>
      <c r="C47" s="1766" t="s">
        <v>2057</v>
      </c>
      <c r="D47" s="2279"/>
      <c r="E47" s="2278"/>
      <c r="F47" s="2278"/>
      <c r="G47" s="2278"/>
      <c r="H47" s="2278"/>
      <c r="I47" s="2278"/>
      <c r="J47" s="2278"/>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2058</v>
      </c>
      <c r="B48" s="129">
        <v>0.03</v>
      </c>
      <c r="C48" s="1773" t="s">
        <v>2059</v>
      </c>
      <c r="D48" s="2279"/>
      <c r="E48" s="2278"/>
      <c r="F48" s="2278"/>
      <c r="G48" s="2278"/>
      <c r="H48" s="2278"/>
      <c r="I48" s="2278"/>
      <c r="J48" s="2278"/>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2060</v>
      </c>
      <c r="B49" s="126">
        <v>5.0000000000000001E-4</v>
      </c>
      <c r="C49" s="1773" t="s">
        <v>2061</v>
      </c>
      <c r="D49" s="2279"/>
      <c r="E49" s="2278"/>
      <c r="F49" s="2278"/>
      <c r="G49" s="2278"/>
      <c r="H49" s="2278"/>
      <c r="I49" s="2278"/>
      <c r="J49" s="2278"/>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2062</v>
      </c>
      <c r="B50" s="130">
        <v>1.2E-2</v>
      </c>
      <c r="C50" s="1429"/>
      <c r="D50" s="2279"/>
      <c r="E50" s="2278"/>
      <c r="F50" s="2278"/>
      <c r="G50" s="2278"/>
      <c r="H50" s="2278"/>
      <c r="I50" s="2278"/>
      <c r="J50" s="2278"/>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2063</v>
      </c>
      <c r="B51" s="131">
        <v>0.12</v>
      </c>
      <c r="C51" s="1429"/>
      <c r="D51" s="2279"/>
      <c r="E51" s="2278"/>
      <c r="F51" s="2278"/>
      <c r="G51" s="2278"/>
      <c r="H51" s="2278"/>
      <c r="I51" s="2278"/>
      <c r="J51" s="2278"/>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2064</v>
      </c>
      <c r="B52" s="132">
        <f>SUMIF(A54:A63,B53,B54:B63)</f>
        <v>1.5</v>
      </c>
      <c r="C52" s="1429"/>
      <c r="D52" s="2279"/>
      <c r="E52" s="2278"/>
      <c r="F52" s="2278"/>
      <c r="G52" s="2278"/>
      <c r="H52" s="2278"/>
      <c r="I52" s="2278"/>
      <c r="J52" s="2278"/>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2065</v>
      </c>
      <c r="B53" s="3038" t="s">
        <v>56</v>
      </c>
      <c r="C53" s="1429" t="s">
        <v>2066</v>
      </c>
      <c r="D53" s="2337" t="s">
        <v>2067</v>
      </c>
      <c r="E53" s="2278"/>
      <c r="F53" s="2278"/>
      <c r="G53" s="2278"/>
      <c r="H53" s="2278"/>
      <c r="I53" s="2278"/>
      <c r="J53" s="2278"/>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2068</v>
      </c>
      <c r="B54" s="84"/>
      <c r="C54" s="1429">
        <v>30</v>
      </c>
      <c r="D54" s="2279"/>
      <c r="E54" s="2278"/>
      <c r="F54" s="2278"/>
      <c r="G54" s="2278"/>
      <c r="H54" s="2278"/>
      <c r="I54" s="2278"/>
      <c r="J54" s="2278"/>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2069</v>
      </c>
      <c r="B55" s="84"/>
      <c r="C55" s="1429">
        <v>24</v>
      </c>
      <c r="D55" s="2279"/>
      <c r="E55" s="2278"/>
      <c r="F55" s="2278"/>
      <c r="G55" s="2278"/>
      <c r="H55" s="2278"/>
      <c r="I55" s="2339"/>
      <c r="J55" s="2278"/>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2070</v>
      </c>
      <c r="B56" s="84"/>
      <c r="C56" s="1429">
        <v>18</v>
      </c>
      <c r="D56" s="2279"/>
      <c r="E56" s="2278"/>
      <c r="F56" s="2278"/>
      <c r="G56" s="2278"/>
      <c r="H56" s="2278"/>
      <c r="I56" s="2278"/>
      <c r="J56" s="2278"/>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2071</v>
      </c>
      <c r="B57" s="84"/>
      <c r="C57" s="1429">
        <v>12</v>
      </c>
      <c r="D57" s="2279"/>
      <c r="E57" s="2278"/>
      <c r="F57" s="2278"/>
      <c r="G57" s="2278"/>
      <c r="H57" s="2278"/>
      <c r="I57" s="2278"/>
      <c r="J57" s="2278"/>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2072</v>
      </c>
      <c r="B58" s="84"/>
      <c r="C58" s="1429">
        <v>3</v>
      </c>
      <c r="D58" s="2279"/>
      <c r="E58" s="2278"/>
      <c r="F58" s="2278"/>
      <c r="G58" s="2278"/>
      <c r="H58" s="2278"/>
      <c r="I58" s="2278"/>
      <c r="J58" s="2278"/>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2073</v>
      </c>
      <c r="B59" s="84">
        <v>1.5</v>
      </c>
      <c r="C59" s="1429">
        <v>1.5</v>
      </c>
      <c r="D59" s="2279"/>
      <c r="E59" s="2278"/>
      <c r="F59" s="2278"/>
      <c r="G59" s="2278"/>
      <c r="H59" s="2278"/>
      <c r="I59" s="2278"/>
      <c r="J59" s="2278"/>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2074</v>
      </c>
      <c r="B60" s="84"/>
      <c r="C60" s="2278"/>
      <c r="D60" s="2279"/>
      <c r="E60" s="2278"/>
      <c r="F60" s="2278"/>
      <c r="G60" s="2278"/>
      <c r="H60" s="2278"/>
      <c r="I60" s="2278"/>
      <c r="J60" s="2278"/>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2075</v>
      </c>
      <c r="B61" s="84"/>
      <c r="C61" s="2278"/>
      <c r="D61" s="2279"/>
      <c r="E61" s="2278"/>
      <c r="F61" s="2278"/>
      <c r="G61" s="2278"/>
      <c r="H61" s="2278"/>
      <c r="I61" s="2278"/>
      <c r="J61" s="2278"/>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2076</v>
      </c>
      <c r="B62" s="84"/>
      <c r="C62" s="2278"/>
      <c r="D62" s="2279"/>
      <c r="E62" s="2278"/>
      <c r="F62" s="2278"/>
      <c r="G62" s="2278"/>
      <c r="H62" s="2278"/>
      <c r="I62" s="2278"/>
      <c r="J62" s="2278"/>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2077</v>
      </c>
      <c r="B63" s="133"/>
      <c r="C63" s="2278"/>
      <c r="D63" s="2279"/>
      <c r="E63" s="2278"/>
      <c r="F63" s="2278"/>
      <c r="G63" s="2278"/>
      <c r="H63" s="2278"/>
      <c r="I63" s="2278"/>
      <c r="J63" s="2278"/>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1"/>
      <c r="D64" s="2342"/>
      <c r="K64" s="797"/>
      <c r="L64" s="797"/>
    </row>
    <row r="65" spans="1:12" s="966" customFormat="1">
      <c r="A65" s="2341"/>
      <c r="D65" s="2342"/>
      <c r="K65" s="797"/>
      <c r="L65" s="797"/>
    </row>
    <row r="66" spans="1:12" s="966" customFormat="1">
      <c r="A66" s="2341"/>
      <c r="D66" s="2342"/>
      <c r="K66" s="797"/>
      <c r="L66" s="797"/>
    </row>
    <row r="67" spans="1:12" s="966" customFormat="1">
      <c r="A67" s="2341"/>
      <c r="D67" s="2342"/>
      <c r="K67" s="797"/>
      <c r="L67" s="797"/>
    </row>
    <row r="68" spans="1:12" s="966" customFormat="1">
      <c r="A68" s="2341"/>
      <c r="D68" s="2342"/>
      <c r="K68" s="797"/>
      <c r="L68" s="797"/>
    </row>
    <row r="69" spans="1:12" s="966" customFormat="1">
      <c r="A69" s="2341"/>
      <c r="D69" s="2342"/>
      <c r="K69" s="797"/>
      <c r="L69" s="797"/>
    </row>
    <row r="70" spans="1:12" s="966" customFormat="1">
      <c r="A70" s="2341"/>
      <c r="D70" s="2342"/>
      <c r="K70" s="797"/>
      <c r="L70" s="797"/>
    </row>
    <row r="71" spans="1:12" s="966" customFormat="1">
      <c r="A71" s="2341"/>
      <c r="D71" s="2342"/>
      <c r="K71" s="797"/>
      <c r="L71" s="797"/>
    </row>
    <row r="72" spans="1:12" s="966" customFormat="1">
      <c r="A72" s="2341"/>
      <c r="D72" s="2342"/>
      <c r="K72" s="797"/>
      <c r="L72" s="797"/>
    </row>
    <row r="73" spans="1:12" s="966" customFormat="1">
      <c r="A73" s="2341"/>
      <c r="D73" s="2342"/>
      <c r="K73" s="797"/>
      <c r="L73" s="797"/>
    </row>
    <row r="74" spans="1:12" s="966" customFormat="1">
      <c r="A74" s="2341"/>
      <c r="D74" s="2342"/>
      <c r="K74" s="797"/>
      <c r="L74" s="797"/>
    </row>
    <row r="75" spans="1:12" s="966" customFormat="1">
      <c r="A75" s="2341"/>
      <c r="D75" s="2342"/>
      <c r="K75" s="797"/>
      <c r="L75" s="797"/>
    </row>
    <row r="76" spans="1:12" s="966" customFormat="1">
      <c r="A76" s="2341"/>
      <c r="D76" s="2342"/>
      <c r="K76" s="797"/>
      <c r="L76" s="797"/>
    </row>
    <row r="77" spans="1:12" s="966" customFormat="1">
      <c r="A77" s="2341"/>
      <c r="D77" s="2342"/>
      <c r="K77" s="797"/>
      <c r="L77" s="797"/>
    </row>
    <row r="78" spans="1:12" s="966" customFormat="1">
      <c r="A78" s="2341"/>
      <c r="D78" s="2342"/>
      <c r="K78" s="797"/>
      <c r="L78" s="797"/>
    </row>
    <row r="79" spans="1:12" s="966" customFormat="1">
      <c r="A79" s="2341"/>
      <c r="D79" s="2342"/>
      <c r="K79" s="797"/>
      <c r="L79" s="797"/>
    </row>
    <row r="80" spans="1:12" s="966" customFormat="1">
      <c r="A80" s="2341"/>
      <c r="D80" s="2342"/>
      <c r="K80" s="797"/>
      <c r="L80" s="797"/>
    </row>
    <row r="81" spans="1:12" s="966" customFormat="1">
      <c r="A81" s="2341"/>
      <c r="D81" s="2342"/>
      <c r="K81" s="797"/>
      <c r="L81" s="797"/>
    </row>
    <row r="82" spans="1:12" s="966" customFormat="1">
      <c r="A82" s="2341"/>
      <c r="D82" s="2342"/>
      <c r="K82" s="797"/>
      <c r="L82" s="797"/>
    </row>
    <row r="83" spans="1:12" s="966" customFormat="1">
      <c r="A83" s="2341"/>
      <c r="D83" s="2342"/>
      <c r="K83" s="797"/>
      <c r="L83" s="797"/>
    </row>
    <row r="84" spans="1:12" s="966" customFormat="1">
      <c r="A84" s="2341"/>
      <c r="D84" s="2342"/>
      <c r="K84" s="797"/>
      <c r="L84" s="797"/>
    </row>
    <row r="85" spans="1:12" s="966" customFormat="1">
      <c r="A85" s="2341"/>
      <c r="D85" s="2342"/>
      <c r="K85" s="797"/>
      <c r="L85" s="797"/>
    </row>
    <row r="86" spans="1:12" s="966" customFormat="1">
      <c r="A86" s="2341"/>
      <c r="D86" s="2342"/>
      <c r="K86" s="797"/>
      <c r="L86" s="797"/>
    </row>
    <row r="87" spans="1:12" s="966" customFormat="1">
      <c r="A87" s="2341"/>
      <c r="D87" s="2342"/>
      <c r="K87" s="797"/>
      <c r="L87" s="797"/>
    </row>
    <row r="88" spans="1:12" s="966" customFormat="1">
      <c r="A88" s="2341"/>
      <c r="D88" s="2342"/>
      <c r="K88" s="797"/>
      <c r="L88" s="797"/>
    </row>
    <row r="89" spans="1:12" s="966" customFormat="1">
      <c r="A89" s="2341"/>
      <c r="D89" s="2342"/>
      <c r="K89" s="797"/>
      <c r="L89" s="797"/>
    </row>
    <row r="90" spans="1:12" s="966" customFormat="1">
      <c r="A90" s="2341"/>
      <c r="D90" s="2342"/>
      <c r="K90" s="797"/>
      <c r="L90" s="797"/>
    </row>
    <row r="91" spans="1:12" s="966" customFormat="1">
      <c r="A91" s="2341"/>
      <c r="D91" s="2342"/>
      <c r="K91" s="797"/>
      <c r="L91" s="797"/>
    </row>
    <row r="92" spans="1:12" s="966" customFormat="1">
      <c r="A92" s="2341"/>
      <c r="D92" s="2342"/>
      <c r="K92" s="797"/>
      <c r="L92" s="797"/>
    </row>
    <row r="93" spans="1:12" s="966" customFormat="1">
      <c r="A93" s="2341"/>
      <c r="D93" s="2342"/>
      <c r="K93" s="797"/>
      <c r="L93" s="797"/>
    </row>
    <row r="94" spans="1:12" s="966" customFormat="1">
      <c r="A94" s="2341"/>
      <c r="D94" s="2342"/>
      <c r="K94" s="797"/>
      <c r="L94" s="797"/>
    </row>
    <row r="95" spans="1:12" s="966" customFormat="1">
      <c r="A95" s="2341"/>
      <c r="D95" s="2342"/>
      <c r="K95" s="797"/>
      <c r="L95" s="797"/>
    </row>
    <row r="96" spans="1:12" s="966" customFormat="1">
      <c r="A96" s="2341"/>
      <c r="D96" s="2342"/>
      <c r="K96" s="797"/>
      <c r="L96" s="797"/>
    </row>
    <row r="97" spans="1:12" s="966" customFormat="1">
      <c r="A97" s="2341"/>
      <c r="D97" s="2342"/>
      <c r="K97" s="797"/>
      <c r="L97" s="797"/>
    </row>
    <row r="98" spans="1:12" s="966" customFormat="1">
      <c r="A98" s="2341"/>
      <c r="D98" s="2342"/>
      <c r="K98" s="797"/>
      <c r="L98" s="797"/>
    </row>
    <row r="99" spans="1:12" s="966" customFormat="1">
      <c r="A99" s="2341"/>
      <c r="D99" s="2342"/>
      <c r="K99" s="797"/>
      <c r="L99" s="797"/>
    </row>
    <row r="100" spans="1:12" s="966" customFormat="1">
      <c r="A100" s="2341"/>
      <c r="D100" s="2342"/>
      <c r="K100" s="797"/>
      <c r="L100" s="797"/>
    </row>
    <row r="101" spans="1:12" s="966" customFormat="1">
      <c r="A101" s="2341"/>
      <c r="D101" s="2342"/>
      <c r="K101" s="797"/>
      <c r="L101" s="797"/>
    </row>
    <row r="102" spans="1:12" s="966" customFormat="1">
      <c r="A102" s="2341"/>
      <c r="D102" s="2342"/>
      <c r="K102" s="797"/>
      <c r="L102" s="797"/>
    </row>
    <row r="103" spans="1:12" s="966" customFormat="1">
      <c r="A103" s="2341"/>
      <c r="D103" s="2342"/>
      <c r="K103" s="797"/>
      <c r="L103" s="797"/>
    </row>
    <row r="104" spans="1:12" s="966" customFormat="1">
      <c r="A104" s="2341"/>
      <c r="D104" s="2342"/>
      <c r="K104" s="797"/>
      <c r="L104" s="797"/>
    </row>
    <row r="105" spans="1:12" s="966" customFormat="1">
      <c r="A105" s="2341"/>
      <c r="D105" s="2342"/>
      <c r="K105" s="797"/>
      <c r="L105" s="797"/>
    </row>
    <row r="106" spans="1:12" s="966" customFormat="1">
      <c r="A106" s="2341"/>
      <c r="D106" s="2342"/>
      <c r="K106" s="797"/>
      <c r="L106" s="797"/>
    </row>
    <row r="107" spans="1:12" s="966" customFormat="1">
      <c r="A107" s="2341"/>
      <c r="D107" s="2342"/>
      <c r="K107" s="797"/>
      <c r="L107" s="797"/>
    </row>
    <row r="108" spans="1:12" s="966" customFormat="1">
      <c r="A108" s="2341"/>
      <c r="D108" s="2342"/>
      <c r="K108" s="797"/>
      <c r="L108" s="797"/>
    </row>
    <row r="109" spans="1:12" s="966" customFormat="1">
      <c r="A109" s="2341"/>
      <c r="D109" s="2342"/>
      <c r="K109" s="797"/>
      <c r="L109" s="797"/>
    </row>
    <row r="110" spans="1:12" s="966" customFormat="1">
      <c r="A110" s="2341"/>
      <c r="D110" s="2342"/>
      <c r="K110" s="797"/>
      <c r="L110" s="797"/>
    </row>
    <row r="111" spans="1:12" s="966" customFormat="1">
      <c r="A111" s="2341"/>
      <c r="D111" s="2342"/>
      <c r="K111" s="797"/>
      <c r="L111" s="797"/>
    </row>
    <row r="112" spans="1:12" s="966" customFormat="1">
      <c r="A112" s="2341"/>
      <c r="D112" s="2342"/>
      <c r="K112" s="797"/>
      <c r="L112" s="797"/>
    </row>
    <row r="113" spans="1:12" s="966" customFormat="1">
      <c r="A113" s="2341"/>
      <c r="D113" s="2342"/>
      <c r="K113" s="797"/>
      <c r="L113" s="797"/>
    </row>
    <row r="114" spans="1:12" s="966" customFormat="1">
      <c r="A114" s="2341"/>
      <c r="D114" s="2342"/>
      <c r="K114" s="797"/>
      <c r="L114" s="797"/>
    </row>
    <row r="115" spans="1:12" s="966" customFormat="1">
      <c r="A115" s="2341"/>
      <c r="D115" s="2342"/>
      <c r="K115" s="797"/>
      <c r="L115" s="797"/>
    </row>
    <row r="116" spans="1:12" s="966" customFormat="1">
      <c r="A116" s="2341"/>
      <c r="D116" s="2342"/>
      <c r="K116" s="797"/>
      <c r="L116" s="797"/>
    </row>
    <row r="117" spans="1:12" s="966" customFormat="1">
      <c r="A117" s="2341"/>
      <c r="D117" s="2342"/>
      <c r="K117" s="797"/>
      <c r="L117" s="797"/>
    </row>
    <row r="118" spans="1:12" s="966" customFormat="1">
      <c r="A118" s="2341"/>
      <c r="D118" s="2342"/>
      <c r="K118" s="797"/>
      <c r="L118" s="797"/>
    </row>
    <row r="119" spans="1:12" s="966" customFormat="1">
      <c r="A119" s="2341"/>
      <c r="D119" s="2342"/>
      <c r="K119" s="797"/>
      <c r="L119" s="797"/>
    </row>
    <row r="120" spans="1:12" s="966" customFormat="1">
      <c r="A120" s="2341"/>
      <c r="D120" s="2342"/>
      <c r="K120" s="797"/>
      <c r="L120" s="797"/>
    </row>
    <row r="121" spans="1:12" s="966" customFormat="1">
      <c r="A121" s="2341"/>
      <c r="D121" s="2342"/>
      <c r="K121" s="797"/>
      <c r="L121" s="797"/>
    </row>
    <row r="122" spans="1:12" s="966" customFormat="1">
      <c r="A122" s="2341"/>
      <c r="D122" s="2342"/>
      <c r="K122" s="797"/>
      <c r="L122" s="797"/>
    </row>
    <row r="123" spans="1:12" s="966" customFormat="1">
      <c r="A123" s="2341"/>
      <c r="D123" s="2342"/>
      <c r="K123" s="797"/>
      <c r="L123" s="797"/>
    </row>
    <row r="124" spans="1:12" s="966" customFormat="1">
      <c r="A124" s="2341"/>
      <c r="D124" s="2342"/>
      <c r="K124" s="797"/>
      <c r="L124" s="797"/>
    </row>
    <row r="125" spans="1:12" s="966" customFormat="1">
      <c r="A125" s="2341"/>
      <c r="D125" s="2342"/>
      <c r="K125" s="797"/>
      <c r="L125" s="797"/>
    </row>
    <row r="126" spans="1:12" s="966" customFormat="1">
      <c r="A126" s="2341"/>
      <c r="D126" s="2342"/>
      <c r="K126" s="797"/>
      <c r="L126" s="797"/>
    </row>
    <row r="127" spans="1:12" s="966" customFormat="1">
      <c r="A127" s="2341"/>
      <c r="D127" s="2342"/>
      <c r="K127" s="797"/>
      <c r="L127" s="797"/>
    </row>
    <row r="128" spans="1:12" s="966" customFormat="1">
      <c r="A128" s="2341"/>
      <c r="D128" s="2342"/>
      <c r="K128" s="797"/>
      <c r="L128" s="797"/>
    </row>
    <row r="129" spans="1:12" s="966" customFormat="1">
      <c r="A129" s="2341"/>
      <c r="D129" s="2342"/>
      <c r="K129" s="797"/>
      <c r="L129" s="797"/>
    </row>
    <row r="130" spans="1:12" s="966" customFormat="1">
      <c r="A130" s="2341"/>
      <c r="D130" s="2342"/>
      <c r="K130" s="797"/>
      <c r="L130" s="797"/>
    </row>
    <row r="131" spans="1:12" s="966" customFormat="1">
      <c r="A131" s="2341"/>
      <c r="D131" s="2342"/>
      <c r="K131" s="797"/>
      <c r="L131" s="797"/>
    </row>
    <row r="132" spans="1:12" s="966" customFormat="1">
      <c r="A132" s="2341"/>
      <c r="D132" s="2342"/>
      <c r="K132" s="797"/>
      <c r="L132" s="797"/>
    </row>
    <row r="133" spans="1:12" s="966" customFormat="1">
      <c r="A133" s="2341"/>
      <c r="D133" s="2342"/>
      <c r="K133" s="797"/>
      <c r="L133" s="797"/>
    </row>
    <row r="134" spans="1:12" s="2275" customFormat="1">
      <c r="A134" s="2343"/>
      <c r="D134" s="2344"/>
      <c r="K134" s="27"/>
      <c r="L134" s="27"/>
    </row>
    <row r="135" spans="1:12" s="2275" customFormat="1">
      <c r="A135" s="2343"/>
      <c r="D135" s="2344"/>
      <c r="K135" s="27"/>
      <c r="L135" s="27"/>
    </row>
    <row r="136" spans="1:12" s="2275" customFormat="1">
      <c r="A136" s="2343"/>
      <c r="D136" s="2344"/>
      <c r="K136" s="27"/>
      <c r="L136" s="27"/>
    </row>
    <row r="137" spans="1:12" s="2275" customFormat="1">
      <c r="A137" s="2343"/>
      <c r="D137" s="2344"/>
      <c r="K137" s="27"/>
      <c r="L137" s="27"/>
    </row>
    <row r="138" spans="1:12" s="2275" customFormat="1">
      <c r="A138" s="2343"/>
      <c r="D138" s="2344"/>
      <c r="K138" s="27"/>
      <c r="L138" s="27"/>
    </row>
    <row r="139" spans="1:12" s="2275" customFormat="1">
      <c r="A139" s="2343"/>
      <c r="D139" s="2344"/>
      <c r="K139" s="27"/>
      <c r="L139" s="27"/>
    </row>
    <row r="140" spans="1:12" s="2275" customFormat="1">
      <c r="A140" s="2343"/>
      <c r="D140" s="2344"/>
      <c r="K140" s="27"/>
      <c r="L140" s="27"/>
    </row>
    <row r="141" spans="1:12" s="2275" customFormat="1">
      <c r="A141" s="2343"/>
      <c r="D141" s="2344"/>
      <c r="K141" s="27"/>
      <c r="L141" s="27"/>
    </row>
    <row r="142" spans="1:12" s="2275" customFormat="1">
      <c r="A142" s="2343"/>
      <c r="D142" s="2344"/>
      <c r="K142" s="27"/>
      <c r="L142" s="27"/>
    </row>
    <row r="143" spans="1:12" s="2275" customFormat="1">
      <c r="A143" s="2343"/>
      <c r="D143" s="2344"/>
      <c r="K143" s="27"/>
      <c r="L143" s="27"/>
    </row>
    <row r="144" spans="1:12" s="2275" customFormat="1">
      <c r="A144" s="2343"/>
      <c r="D144" s="2344"/>
      <c r="K144" s="27"/>
      <c r="L144" s="27"/>
    </row>
    <row r="145" spans="1:12" s="2275" customFormat="1">
      <c r="A145" s="2343"/>
      <c r="D145" s="2344"/>
      <c r="K145" s="27"/>
      <c r="L145" s="27"/>
    </row>
    <row r="146" spans="1:12" s="2275" customFormat="1">
      <c r="A146" s="2343"/>
      <c r="D146" s="2344"/>
      <c r="K146" s="27"/>
      <c r="L146" s="27"/>
    </row>
    <row r="147" spans="1:12" s="2275" customFormat="1">
      <c r="A147" s="2343"/>
      <c r="D147" s="2344"/>
      <c r="K147" s="27"/>
      <c r="L147" s="27"/>
    </row>
    <row r="148" spans="1:12" s="2275" customFormat="1">
      <c r="A148" s="2343"/>
      <c r="D148" s="2344"/>
      <c r="K148" s="27"/>
      <c r="L148" s="27"/>
    </row>
    <row r="149" spans="1:12" s="2275" customFormat="1">
      <c r="A149" s="2343"/>
      <c r="D149" s="2344"/>
      <c r="K149" s="27"/>
      <c r="L149" s="27"/>
    </row>
    <row r="150" spans="1:12" s="2275" customFormat="1">
      <c r="A150" s="2343"/>
      <c r="D150" s="2344"/>
      <c r="K150" s="27"/>
      <c r="L150" s="27"/>
    </row>
    <row r="151" spans="1:12" s="2275" customFormat="1">
      <c r="A151" s="2343"/>
      <c r="D151" s="2344"/>
      <c r="K151" s="27"/>
      <c r="L151" s="27"/>
    </row>
    <row r="152" spans="1:12" s="2275" customFormat="1">
      <c r="A152" s="2343"/>
      <c r="D152" s="2344"/>
      <c r="K152" s="27"/>
      <c r="L152" s="27"/>
    </row>
    <row r="153" spans="1:12" s="2275" customFormat="1">
      <c r="A153" s="2343"/>
      <c r="D153" s="2344"/>
      <c r="K153" s="27"/>
      <c r="L153" s="27"/>
    </row>
    <row r="154" spans="1:12" s="2275" customFormat="1">
      <c r="A154" s="2343"/>
      <c r="D154" s="2344"/>
      <c r="K154" s="27"/>
      <c r="L154" s="27"/>
    </row>
    <row r="155" spans="1:12" s="2275" customFormat="1">
      <c r="A155" s="2343"/>
      <c r="D155" s="2344"/>
      <c r="K155" s="27"/>
      <c r="L155" s="27"/>
    </row>
    <row r="156" spans="1:12" s="2275" customFormat="1">
      <c r="A156" s="2343"/>
      <c r="D156" s="2344"/>
      <c r="K156" s="27"/>
      <c r="L156" s="27"/>
    </row>
    <row r="157" spans="1:12" s="2275" customFormat="1">
      <c r="A157" s="2343"/>
      <c r="D157" s="2344"/>
      <c r="K157" s="27"/>
      <c r="L157" s="27"/>
    </row>
    <row r="158" spans="1:12" s="2275" customFormat="1">
      <c r="A158" s="2343"/>
      <c r="D158" s="2344"/>
      <c r="K158" s="27"/>
      <c r="L158" s="27"/>
    </row>
    <row r="159" spans="1:12" s="2275" customFormat="1">
      <c r="A159" s="2343"/>
      <c r="D159" s="2344"/>
      <c r="K159" s="27"/>
      <c r="L159" s="27"/>
    </row>
    <row r="160" spans="1:12" s="2275" customFormat="1">
      <c r="A160" s="2343"/>
      <c r="D160" s="2344"/>
      <c r="K160" s="27"/>
      <c r="L160" s="27"/>
    </row>
    <row r="161" spans="1:12" s="2275" customFormat="1">
      <c r="A161" s="2343"/>
      <c r="D161" s="2344"/>
      <c r="K161" s="27"/>
      <c r="L161" s="27"/>
    </row>
    <row r="162" spans="1:12" s="2275" customFormat="1">
      <c r="A162" s="2343"/>
      <c r="D162" s="2344"/>
      <c r="K162" s="27"/>
      <c r="L162" s="27"/>
    </row>
    <row r="163" spans="1:12" s="2275" customFormat="1">
      <c r="A163" s="2343"/>
      <c r="D163" s="2344"/>
      <c r="K163" s="27"/>
      <c r="L163" s="27"/>
    </row>
    <row r="164" spans="1:12" s="2275" customFormat="1">
      <c r="A164" s="2343"/>
      <c r="D164" s="2344"/>
      <c r="K164" s="27"/>
      <c r="L164" s="27"/>
    </row>
    <row r="165" spans="1:12" s="2275" customFormat="1">
      <c r="A165" s="2343"/>
      <c r="D165" s="2344"/>
      <c r="K165" s="27"/>
      <c r="L165" s="27"/>
    </row>
    <row r="166" spans="1:12" s="2275" customFormat="1">
      <c r="A166" s="2343"/>
      <c r="D166" s="2344"/>
      <c r="K166" s="27"/>
      <c r="L166" s="27"/>
    </row>
    <row r="167" spans="1:12" s="2275" customFormat="1">
      <c r="A167" s="2343"/>
      <c r="D167" s="2344"/>
      <c r="K167" s="27"/>
      <c r="L167" s="27"/>
    </row>
    <row r="168" spans="1:12" s="2275" customFormat="1">
      <c r="A168" s="2343"/>
      <c r="D168" s="2344"/>
      <c r="K168" s="27"/>
      <c r="L168" s="27"/>
    </row>
    <row r="169" spans="1:12" s="2275" customFormat="1">
      <c r="A169" s="2343"/>
      <c r="D169" s="2344"/>
      <c r="K169" s="27"/>
      <c r="L169" s="27"/>
    </row>
    <row r="170" spans="1:12" s="2275" customFormat="1">
      <c r="A170" s="2343"/>
      <c r="D170" s="2344"/>
      <c r="K170" s="27"/>
      <c r="L170" s="27"/>
    </row>
    <row r="171" spans="1:12" s="2275" customFormat="1">
      <c r="A171" s="2343"/>
      <c r="D171" s="2344"/>
      <c r="K171" s="27"/>
      <c r="L171" s="27"/>
    </row>
    <row r="172" spans="1:12" s="2275" customFormat="1">
      <c r="A172" s="2343"/>
      <c r="D172" s="2344"/>
      <c r="K172" s="27"/>
      <c r="L172" s="27"/>
    </row>
    <row r="173" spans="1:12" s="2275" customFormat="1">
      <c r="A173" s="2343"/>
      <c r="D173" s="2344"/>
      <c r="K173" s="27"/>
      <c r="L173" s="27"/>
    </row>
    <row r="174" spans="1:12" s="2275"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7" sqref="G7"/>
    </sheetView>
  </sheetViews>
  <sheetFormatPr defaultRowHeight="14.25"/>
  <cols>
    <col min="1" max="1" width="9.5" style="2369"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8"/>
    <col min="30" max="16384" width="9" style="2369"/>
  </cols>
  <sheetData>
    <row r="1" spans="1:29" s="2362" customFormat="1" ht="19.5" thickBot="1">
      <c r="A1" s="3157" t="s">
        <v>2078</v>
      </c>
      <c r="B1" s="3158"/>
      <c r="C1" s="3158"/>
      <c r="D1" s="3158"/>
      <c r="E1" s="3158"/>
      <c r="F1" s="3158"/>
      <c r="G1" s="3158"/>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2079</v>
      </c>
      <c r="D2" s="2366"/>
      <c r="E2" s="2367"/>
      <c r="F2" s="2287"/>
      <c r="G2" s="2365" t="s">
        <v>2080</v>
      </c>
      <c r="H2" s="2368"/>
      <c r="I2" s="2368"/>
      <c r="J2" s="2368"/>
      <c r="K2" s="2368"/>
      <c r="L2" s="2368"/>
      <c r="M2" s="2368"/>
      <c r="N2" s="2368"/>
      <c r="O2" s="2368"/>
      <c r="P2" s="2368"/>
      <c r="Q2" s="2368"/>
      <c r="R2" s="2368"/>
    </row>
    <row r="3" spans="1:29" ht="27">
      <c r="A3" s="414" t="s">
        <v>2081</v>
      </c>
      <c r="B3" s="1270" t="s">
        <v>2082</v>
      </c>
      <c r="C3" s="2370"/>
      <c r="D3" s="2371"/>
      <c r="E3" s="430" t="s">
        <v>2081</v>
      </c>
      <c r="F3" s="2372" t="s">
        <v>2083</v>
      </c>
      <c r="G3" s="3053" t="s">
        <v>3275</v>
      </c>
      <c r="H3" s="2368"/>
      <c r="I3" s="2368"/>
      <c r="J3" s="2368"/>
      <c r="K3" s="2368"/>
      <c r="L3" s="2368"/>
      <c r="M3" s="2368"/>
      <c r="N3" s="2368"/>
      <c r="O3" s="2368"/>
      <c r="P3" s="2368"/>
      <c r="Q3" s="2368"/>
      <c r="R3" s="2368"/>
    </row>
    <row r="4" spans="1:29" ht="15">
      <c r="A4" s="430"/>
      <c r="B4" s="1797" t="s">
        <v>2084</v>
      </c>
      <c r="C4" s="2373"/>
      <c r="D4" s="2371"/>
      <c r="E4" s="2374"/>
      <c r="F4" s="42" t="s">
        <v>2085</v>
      </c>
      <c r="G4" s="3054" t="s">
        <v>3276</v>
      </c>
      <c r="H4" s="2368"/>
      <c r="I4" s="2368"/>
      <c r="J4" s="2368"/>
      <c r="K4" s="2368"/>
      <c r="L4" s="2368"/>
      <c r="M4" s="2368"/>
      <c r="N4" s="2368"/>
      <c r="O4" s="2368"/>
      <c r="P4" s="2368"/>
      <c r="Q4" s="2368"/>
      <c r="R4" s="2368"/>
    </row>
    <row r="5" spans="1:29" ht="15">
      <c r="A5" s="430"/>
      <c r="B5" s="1797" t="s">
        <v>2086</v>
      </c>
      <c r="C5" s="2373"/>
      <c r="D5" s="2371"/>
      <c r="E5" s="2374"/>
      <c r="F5" s="1797" t="s">
        <v>2087</v>
      </c>
      <c r="G5" s="3054" t="s">
        <v>3276</v>
      </c>
      <c r="H5" s="2368"/>
      <c r="I5" s="2368"/>
      <c r="J5" s="2368"/>
      <c r="K5" s="2368"/>
      <c r="L5" s="2368"/>
      <c r="M5" s="2368"/>
      <c r="N5" s="2368"/>
      <c r="O5" s="2368"/>
      <c r="P5" s="2368"/>
      <c r="Q5" s="2368"/>
      <c r="R5" s="2368"/>
    </row>
    <row r="6" spans="1:29" ht="15">
      <c r="A6" s="430"/>
      <c r="B6" s="1797" t="s">
        <v>2088</v>
      </c>
      <c r="C6" s="2375"/>
      <c r="D6" s="2371"/>
      <c r="E6" s="2374"/>
      <c r="F6" s="1797" t="s">
        <v>2089</v>
      </c>
      <c r="G6" s="3054" t="s">
        <v>3277</v>
      </c>
      <c r="H6" s="2368"/>
      <c r="I6" s="2368"/>
      <c r="J6" s="2368"/>
      <c r="K6" s="2368"/>
      <c r="L6" s="2368"/>
      <c r="M6" s="2368"/>
      <c r="N6" s="2368"/>
      <c r="O6" s="2368"/>
      <c r="P6" s="2368"/>
      <c r="Q6" s="2368"/>
      <c r="R6" s="2368"/>
    </row>
    <row r="7" spans="1:29" ht="15.75" thickBot="1">
      <c r="A7" s="430"/>
      <c r="B7" s="1797" t="s">
        <v>2087</v>
      </c>
      <c r="C7" s="2375"/>
      <c r="D7" s="2376"/>
      <c r="E7" s="2377"/>
      <c r="F7" s="2378" t="s">
        <v>2090</v>
      </c>
      <c r="G7" s="3055" t="s">
        <v>3278</v>
      </c>
      <c r="H7" s="2368"/>
      <c r="I7" s="2368"/>
      <c r="J7" s="2368"/>
      <c r="K7" s="2368"/>
      <c r="L7" s="2368"/>
      <c r="M7" s="2368"/>
      <c r="N7" s="2368"/>
      <c r="O7" s="2368"/>
      <c r="P7" s="2368"/>
      <c r="Q7" s="2368"/>
      <c r="R7" s="2368"/>
    </row>
    <row r="8" spans="1:29" ht="15">
      <c r="A8" s="430"/>
      <c r="B8" s="1797" t="s">
        <v>2089</v>
      </c>
      <c r="C8" s="2375"/>
      <c r="D8" s="2376"/>
      <c r="E8" s="2376"/>
      <c r="F8" s="1135"/>
      <c r="G8" s="1135"/>
      <c r="H8" s="2368"/>
      <c r="I8" s="2368"/>
      <c r="J8" s="2368"/>
      <c r="K8" s="2368"/>
      <c r="L8" s="2368"/>
      <c r="M8" s="2368"/>
      <c r="N8" s="2368"/>
      <c r="O8" s="2368"/>
      <c r="P8" s="2368"/>
      <c r="Q8" s="2368"/>
      <c r="R8" s="2368"/>
    </row>
    <row r="9" spans="1:29" ht="15">
      <c r="A9" s="430"/>
      <c r="B9" s="1797" t="s">
        <v>2091</v>
      </c>
      <c r="C9" s="2373"/>
      <c r="D9" s="2371"/>
      <c r="E9" s="2376"/>
      <c r="F9" s="1135"/>
      <c r="G9" s="1135"/>
      <c r="H9" s="2368"/>
      <c r="I9" s="2368"/>
      <c r="J9" s="2368"/>
      <c r="K9" s="2368"/>
      <c r="L9" s="2368"/>
      <c r="M9" s="2368"/>
      <c r="N9" s="2368"/>
      <c r="O9" s="2368"/>
      <c r="P9" s="2368"/>
      <c r="Q9" s="2368"/>
      <c r="R9" s="2368"/>
    </row>
    <row r="10" spans="1:29" s="117" customFormat="1" ht="15.75" thickBot="1">
      <c r="A10" s="2379"/>
      <c r="B10" s="2380" t="s">
        <v>2092</v>
      </c>
      <c r="C10" s="2381"/>
      <c r="D10" s="2371"/>
      <c r="E10" s="2371"/>
      <c r="F10" s="1135"/>
      <c r="G10" s="1135"/>
      <c r="H10" s="2382"/>
      <c r="I10" s="2383"/>
      <c r="J10" s="2384"/>
      <c r="K10" s="2382"/>
      <c r="L10" s="2383"/>
      <c r="M10" s="2384"/>
      <c r="N10" s="2382"/>
      <c r="O10" s="2383"/>
      <c r="P10" s="2384"/>
      <c r="Q10" s="2382"/>
      <c r="R10" s="2383"/>
      <c r="S10" s="2368"/>
      <c r="T10" s="2368"/>
      <c r="U10" s="2368"/>
      <c r="V10" s="2368"/>
      <c r="W10" s="2368"/>
      <c r="X10" s="2368"/>
      <c r="Y10" s="2368"/>
      <c r="Z10" s="2368"/>
      <c r="AA10" s="2368"/>
      <c r="AB10" s="2368"/>
      <c r="AC10" s="2368"/>
    </row>
    <row r="11" spans="1:29" s="117" customFormat="1" ht="15">
      <c r="A11" s="2385"/>
      <c r="B11" s="2376"/>
      <c r="C11" s="2371"/>
      <c r="D11" s="2371"/>
      <c r="E11" s="2371"/>
      <c r="F11" s="2376"/>
      <c r="G11" s="1153"/>
      <c r="H11" s="2382"/>
      <c r="I11" s="2383"/>
      <c r="J11" s="2384"/>
      <c r="K11" s="2382"/>
      <c r="L11" s="2383"/>
      <c r="M11" s="2384"/>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1"/>
      <c r="D12" s="2386"/>
      <c r="E12" s="2371"/>
      <c r="F12" s="2376"/>
      <c r="G12" s="1153"/>
      <c r="H12" s="2387"/>
      <c r="I12" s="2388"/>
      <c r="J12" s="2387"/>
      <c r="K12" s="2387"/>
      <c r="L12" s="2389"/>
      <c r="M12" s="2387"/>
      <c r="N12" s="2390"/>
      <c r="O12" s="2391"/>
      <c r="P12" s="2390"/>
      <c r="Q12" s="2390"/>
      <c r="R12" s="2360"/>
      <c r="S12" s="2361"/>
      <c r="T12" s="2361"/>
      <c r="U12" s="2361"/>
      <c r="V12" s="2361"/>
      <c r="W12" s="2361"/>
      <c r="X12" s="2361"/>
      <c r="Y12" s="2361"/>
      <c r="Z12" s="2361"/>
      <c r="AA12" s="2361"/>
      <c r="AB12" s="2361"/>
      <c r="AC12" s="2361"/>
    </row>
    <row r="13" spans="1:29" ht="19.5" thickBot="1">
      <c r="A13" s="2392" t="s">
        <v>2093</v>
      </c>
      <c r="B13" s="2386"/>
      <c r="C13" s="2386"/>
      <c r="D13" s="2393"/>
      <c r="E13" s="2386"/>
      <c r="F13" s="2386"/>
      <c r="G13" s="2386"/>
    </row>
    <row r="14" spans="1:29" ht="15.75" thickBot="1">
      <c r="A14" s="2397"/>
      <c r="B14" s="2398"/>
      <c r="C14" s="2399" t="s">
        <v>2094</v>
      </c>
      <c r="D14" s="2371"/>
      <c r="E14" s="2400"/>
      <c r="F14" s="2400"/>
      <c r="G14" s="2365" t="s">
        <v>2095</v>
      </c>
    </row>
    <row r="15" spans="1:29" ht="27">
      <c r="A15" s="68" t="s">
        <v>2096</v>
      </c>
      <c r="B15" s="1269" t="s">
        <v>2082</v>
      </c>
      <c r="C15" s="2401">
        <f>C3</f>
        <v>0</v>
      </c>
      <c r="D15" s="2371"/>
      <c r="E15" s="2402" t="s">
        <v>2097</v>
      </c>
      <c r="F15" s="1269" t="s">
        <v>2098</v>
      </c>
      <c r="G15" s="134" t="str">
        <f>G3</f>
        <v>较好</v>
      </c>
    </row>
    <row r="16" spans="1:29" ht="15">
      <c r="A16" s="644"/>
      <c r="B16" s="2403" t="s">
        <v>2084</v>
      </c>
      <c r="C16" s="2404">
        <f>C4</f>
        <v>0</v>
      </c>
      <c r="D16" s="2371"/>
      <c r="E16" s="2405"/>
      <c r="F16" s="2406" t="s">
        <v>2085</v>
      </c>
      <c r="G16" s="135" t="str">
        <f>G4</f>
        <v>较好</v>
      </c>
    </row>
    <row r="17" spans="1:18" ht="15">
      <c r="A17" s="644"/>
      <c r="B17" s="2403" t="s">
        <v>2086</v>
      </c>
      <c r="C17" s="2404">
        <f>C5</f>
        <v>0</v>
      </c>
      <c r="D17" s="2376"/>
      <c r="E17" s="2405"/>
      <c r="F17" s="2406" t="s">
        <v>2099</v>
      </c>
      <c r="G17" s="1571"/>
    </row>
    <row r="18" spans="1:18" ht="15">
      <c r="A18" s="644"/>
      <c r="B18" s="2406" t="s">
        <v>2088</v>
      </c>
      <c r="C18" s="135">
        <f>C6</f>
        <v>0</v>
      </c>
      <c r="D18" s="2376"/>
      <c r="E18" s="2405"/>
      <c r="F18" s="2406" t="s">
        <v>2090</v>
      </c>
      <c r="G18" s="135" t="str">
        <f>G7</f>
        <v>一般</v>
      </c>
    </row>
    <row r="19" spans="1:18" ht="15">
      <c r="A19" s="644"/>
      <c r="B19" s="2406" t="s">
        <v>2100</v>
      </c>
      <c r="C19" s="1571"/>
      <c r="D19" s="2371"/>
      <c r="E19" s="2405"/>
      <c r="F19" s="1797" t="s">
        <v>2087</v>
      </c>
      <c r="G19" s="135" t="str">
        <f>G5</f>
        <v>较好</v>
      </c>
    </row>
    <row r="20" spans="1:18" ht="15">
      <c r="A20" s="644"/>
      <c r="B20" s="2406" t="s">
        <v>2101</v>
      </c>
      <c r="C20" s="2404">
        <f>C9</f>
        <v>0</v>
      </c>
      <c r="D20" s="2376"/>
      <c r="E20" s="2405"/>
      <c r="F20" s="1797" t="s">
        <v>2102</v>
      </c>
      <c r="G20" s="135" t="str">
        <f>G6</f>
        <v>七通</v>
      </c>
    </row>
    <row r="21" spans="1:18" ht="15">
      <c r="A21" s="644"/>
      <c r="B21" s="1797" t="s">
        <v>2087</v>
      </c>
      <c r="C21" s="135">
        <f>C7</f>
        <v>0</v>
      </c>
      <c r="D21" s="2371"/>
      <c r="E21" s="2405"/>
      <c r="F21" s="2406" t="s">
        <v>2103</v>
      </c>
      <c r="G21" s="2407"/>
    </row>
    <row r="22" spans="1:18" ht="13.5" customHeight="1">
      <c r="A22" s="644"/>
      <c r="B22" s="1797" t="s">
        <v>2089</v>
      </c>
      <c r="C22" s="135">
        <f>C8</f>
        <v>0</v>
      </c>
      <c r="D22" s="2371"/>
      <c r="E22" s="2405"/>
      <c r="F22" s="2406" t="s">
        <v>2092</v>
      </c>
      <c r="G22" s="1571"/>
    </row>
    <row r="23" spans="1:18" s="2368" customFormat="1" ht="15.75" thickBot="1">
      <c r="A23" s="644"/>
      <c r="B23" s="2406" t="s">
        <v>2103</v>
      </c>
      <c r="C23" s="2407"/>
      <c r="D23" s="2394"/>
      <c r="E23" s="2408"/>
      <c r="F23" s="2409" t="s">
        <v>2104</v>
      </c>
      <c r="G23" s="2410"/>
      <c r="H23" s="2394"/>
      <c r="I23" s="2395"/>
      <c r="J23" s="2394"/>
      <c r="K23" s="2394"/>
      <c r="L23" s="2395"/>
      <c r="M23" s="2394"/>
      <c r="N23" s="2394"/>
      <c r="O23" s="2395"/>
      <c r="P23" s="2394"/>
      <c r="Q23" s="2394"/>
      <c r="R23" s="2396"/>
    </row>
    <row r="24" spans="1:18" s="2368" customFormat="1" ht="15.75" thickBot="1">
      <c r="A24" s="2411"/>
      <c r="B24" s="2409" t="s">
        <v>2105</v>
      </c>
      <c r="C24" s="136">
        <f>C10</f>
        <v>0</v>
      </c>
      <c r="D24" s="2394"/>
      <c r="E24" s="2412"/>
      <c r="F24" s="2412"/>
      <c r="G24" s="2413"/>
      <c r="H24" s="2394"/>
      <c r="I24" s="2395"/>
      <c r="J24" s="2394"/>
      <c r="K24" s="2394"/>
      <c r="L24" s="2395"/>
      <c r="M24" s="2394"/>
      <c r="N24" s="2394"/>
      <c r="O24" s="2395"/>
      <c r="P24" s="2394"/>
      <c r="Q24" s="2394"/>
      <c r="R24" s="2396"/>
    </row>
    <row r="25" spans="1:18" s="2368" customFormat="1">
      <c r="B25" s="2394"/>
      <c r="C25" s="2394"/>
      <c r="D25" s="2394"/>
      <c r="H25" s="2394"/>
      <c r="I25" s="2395"/>
      <c r="J25" s="2394"/>
      <c r="K25" s="2394"/>
      <c r="L25" s="2395"/>
      <c r="M25" s="2394"/>
      <c r="N25" s="2394"/>
      <c r="O25" s="2395"/>
      <c r="P25" s="2394"/>
      <c r="Q25" s="2394"/>
      <c r="R25" s="2396"/>
    </row>
    <row r="26" spans="1:18" s="2368" customFormat="1">
      <c r="B26" s="2394"/>
      <c r="C26" s="2394"/>
      <c r="D26" s="2394"/>
      <c r="H26" s="2394"/>
      <c r="I26" s="2395"/>
      <c r="J26" s="2394"/>
      <c r="K26" s="2394"/>
      <c r="L26" s="2395"/>
      <c r="M26" s="2394"/>
      <c r="N26" s="2394"/>
      <c r="O26" s="2395"/>
      <c r="P26" s="2394"/>
      <c r="Q26" s="2394"/>
      <c r="R26" s="2396"/>
    </row>
    <row r="27" spans="1:18" s="2368" customFormat="1">
      <c r="B27" s="2394"/>
      <c r="C27" s="2394"/>
      <c r="D27" s="2394"/>
      <c r="H27" s="2394"/>
      <c r="I27" s="2395"/>
      <c r="J27" s="2394"/>
      <c r="K27" s="2394"/>
      <c r="L27" s="2395"/>
      <c r="M27" s="2394"/>
      <c r="N27" s="2394"/>
      <c r="O27" s="2395"/>
      <c r="P27" s="2394"/>
      <c r="Q27" s="2394"/>
      <c r="R27" s="2396"/>
    </row>
    <row r="28" spans="1:18" s="2368" customFormat="1">
      <c r="B28" s="2394"/>
      <c r="C28" s="2394"/>
      <c r="D28" s="2394"/>
      <c r="H28" s="2394"/>
      <c r="I28" s="2395"/>
      <c r="J28" s="2394"/>
      <c r="K28" s="2394"/>
      <c r="L28" s="2395"/>
      <c r="M28" s="2394"/>
      <c r="N28" s="2394"/>
      <c r="O28" s="2395"/>
      <c r="P28" s="2394"/>
      <c r="Q28" s="2394"/>
      <c r="R28" s="2396"/>
    </row>
    <row r="29" spans="1:18" s="2368" customFormat="1">
      <c r="B29" s="2394"/>
      <c r="C29" s="2394"/>
      <c r="D29" s="2394"/>
      <c r="H29" s="2394"/>
      <c r="I29" s="2395"/>
      <c r="J29" s="2394"/>
      <c r="K29" s="2394"/>
      <c r="L29" s="2395"/>
      <c r="M29" s="2394"/>
      <c r="N29" s="2394"/>
      <c r="O29" s="2395"/>
      <c r="P29" s="2394"/>
      <c r="Q29" s="2394"/>
      <c r="R29" s="2396"/>
    </row>
    <row r="30" spans="1:18" s="2368" customFormat="1">
      <c r="B30" s="2394"/>
      <c r="C30" s="2394"/>
      <c r="D30" s="2394"/>
      <c r="H30" s="2394"/>
      <c r="I30" s="2395"/>
      <c r="J30" s="2394"/>
      <c r="K30" s="2394"/>
      <c r="L30" s="2395"/>
      <c r="M30" s="2394"/>
      <c r="N30" s="2394"/>
      <c r="O30" s="2395"/>
      <c r="P30" s="2394"/>
      <c r="Q30" s="2394"/>
      <c r="R30" s="2396"/>
    </row>
    <row r="31" spans="1:18" s="2368" customFormat="1">
      <c r="B31" s="2394"/>
      <c r="C31" s="2394"/>
      <c r="D31" s="2394"/>
      <c r="H31" s="2394"/>
      <c r="I31" s="2395"/>
      <c r="J31" s="2394"/>
      <c r="K31" s="2394"/>
      <c r="L31" s="2395"/>
      <c r="M31" s="2394"/>
      <c r="N31" s="2394"/>
      <c r="O31" s="2395"/>
      <c r="P31" s="2394"/>
      <c r="Q31" s="2394"/>
      <c r="R31" s="2396"/>
    </row>
    <row r="32" spans="1:18" s="2368" customFormat="1">
      <c r="B32" s="2394"/>
      <c r="C32" s="2394"/>
      <c r="D32" s="2394"/>
      <c r="H32" s="2394"/>
      <c r="I32" s="2395"/>
      <c r="J32" s="2394"/>
      <c r="K32" s="2394"/>
      <c r="L32" s="2395"/>
      <c r="M32" s="2394"/>
      <c r="N32" s="2394"/>
      <c r="O32" s="2395"/>
      <c r="P32" s="2394"/>
      <c r="Q32" s="2394"/>
      <c r="R32" s="2396"/>
    </row>
    <row r="33" spans="2:18" s="2368" customFormat="1">
      <c r="B33" s="2394"/>
      <c r="C33" s="2394"/>
      <c r="D33" s="2394"/>
      <c r="H33" s="2394"/>
      <c r="I33" s="2395"/>
      <c r="J33" s="2394"/>
      <c r="K33" s="2394"/>
      <c r="L33" s="2395"/>
      <c r="M33" s="2394"/>
      <c r="N33" s="2394"/>
      <c r="O33" s="2395"/>
      <c r="P33" s="2394"/>
      <c r="Q33" s="2394"/>
      <c r="R33" s="2396"/>
    </row>
    <row r="34" spans="2:18" s="2368" customFormat="1">
      <c r="B34" s="2394"/>
      <c r="C34" s="2394"/>
      <c r="D34" s="2394"/>
      <c r="H34" s="2394"/>
      <c r="I34" s="2395"/>
      <c r="J34" s="2394"/>
      <c r="K34" s="2394"/>
      <c r="L34" s="2395"/>
      <c r="M34" s="2394"/>
      <c r="N34" s="2394"/>
      <c r="O34" s="2395"/>
      <c r="P34" s="2394"/>
      <c r="Q34" s="2394"/>
      <c r="R34" s="2396"/>
    </row>
    <row r="35" spans="2:18" s="2368" customFormat="1">
      <c r="B35" s="2394"/>
      <c r="C35" s="2394"/>
      <c r="D35" s="2394"/>
      <c r="H35" s="2394"/>
      <c r="I35" s="2395"/>
      <c r="J35" s="2394"/>
      <c r="K35" s="2394"/>
      <c r="L35" s="2395"/>
      <c r="M35" s="2394"/>
      <c r="N35" s="2394"/>
      <c r="O35" s="2395"/>
      <c r="P35" s="2394"/>
      <c r="Q35" s="2394"/>
      <c r="R35" s="2396"/>
    </row>
    <row r="36" spans="2:18" s="2368" customFormat="1">
      <c r="B36" s="2394"/>
      <c r="C36" s="2394"/>
      <c r="D36" s="2394"/>
      <c r="H36" s="2394"/>
      <c r="I36" s="2395"/>
      <c r="J36" s="2394"/>
      <c r="K36" s="2394"/>
      <c r="L36" s="2395"/>
      <c r="M36" s="2394"/>
      <c r="N36" s="2394"/>
      <c r="O36" s="2395"/>
      <c r="P36" s="2394"/>
      <c r="Q36" s="2394"/>
      <c r="R36" s="2396"/>
    </row>
    <row r="37" spans="2:18" s="2368" customFormat="1">
      <c r="B37" s="2394"/>
      <c r="C37" s="2394"/>
      <c r="D37" s="2394"/>
      <c r="H37" s="2394"/>
      <c r="I37" s="2395"/>
      <c r="J37" s="2394"/>
      <c r="K37" s="2394"/>
      <c r="L37" s="2395"/>
      <c r="M37" s="2394"/>
      <c r="N37" s="2394"/>
      <c r="O37" s="2395"/>
      <c r="P37" s="2394"/>
      <c r="Q37" s="2394"/>
      <c r="R37" s="2396"/>
    </row>
    <row r="38" spans="2:18" s="2368" customFormat="1">
      <c r="B38" s="2394"/>
      <c r="C38" s="2394"/>
      <c r="D38" s="2394"/>
      <c r="E38" s="2394"/>
      <c r="F38" s="2394"/>
      <c r="G38" s="2395"/>
      <c r="H38" s="2394"/>
      <c r="I38" s="2395"/>
      <c r="J38" s="2394"/>
      <c r="K38" s="2394"/>
      <c r="L38" s="2395"/>
      <c r="M38" s="2394"/>
      <c r="N38" s="2394"/>
      <c r="O38" s="2395"/>
      <c r="P38" s="2394"/>
      <c r="Q38" s="2394"/>
      <c r="R38" s="2396"/>
    </row>
    <row r="39" spans="2:18" s="2368" customFormat="1">
      <c r="B39" s="2394"/>
      <c r="C39" s="2394"/>
      <c r="D39" s="2394"/>
      <c r="E39" s="2394"/>
      <c r="F39" s="2394"/>
      <c r="G39" s="2395"/>
      <c r="H39" s="2394"/>
      <c r="I39" s="2395"/>
      <c r="J39" s="2394"/>
      <c r="K39" s="2394"/>
      <c r="L39" s="2395"/>
      <c r="M39" s="2394"/>
      <c r="N39" s="2394"/>
      <c r="O39" s="2395"/>
      <c r="P39" s="2394"/>
      <c r="Q39" s="2394"/>
      <c r="R39" s="2396"/>
    </row>
    <row r="40" spans="2:18" s="2368" customFormat="1">
      <c r="B40" s="2394"/>
      <c r="C40" s="2394"/>
      <c r="D40" s="2394"/>
      <c r="E40" s="2394"/>
      <c r="F40" s="2394"/>
      <c r="G40" s="2395"/>
      <c r="H40" s="2394"/>
      <c r="I40" s="2395"/>
      <c r="J40" s="2394"/>
      <c r="K40" s="2394"/>
      <c r="L40" s="2395"/>
      <c r="M40" s="2394"/>
      <c r="N40" s="2394"/>
      <c r="O40" s="2395"/>
      <c r="P40" s="2394"/>
      <c r="Q40" s="2394"/>
      <c r="R40" s="2396"/>
    </row>
    <row r="41" spans="2:18" s="2368" customFormat="1">
      <c r="B41" s="2394"/>
      <c r="C41" s="2394"/>
      <c r="D41" s="2394"/>
      <c r="E41" s="2394"/>
      <c r="F41" s="2394"/>
      <c r="G41" s="2395"/>
      <c r="H41" s="2394"/>
      <c r="I41" s="2395"/>
      <c r="J41" s="2394"/>
      <c r="K41" s="2394"/>
      <c r="L41" s="2395"/>
      <c r="M41" s="2394"/>
      <c r="N41" s="2394"/>
      <c r="O41" s="2395"/>
      <c r="P41" s="2394"/>
      <c r="Q41" s="2394"/>
      <c r="R41" s="2396"/>
    </row>
    <row r="42" spans="2:18" s="2368" customFormat="1">
      <c r="B42" s="2394"/>
      <c r="C42" s="2394"/>
      <c r="D42" s="2394"/>
      <c r="E42" s="2394"/>
      <c r="F42" s="2394"/>
      <c r="G42" s="2395"/>
      <c r="H42" s="2394"/>
      <c r="I42" s="2395"/>
      <c r="J42" s="2394"/>
      <c r="K42" s="2394"/>
      <c r="L42" s="2395"/>
      <c r="M42" s="2394"/>
      <c r="N42" s="2394"/>
      <c r="O42" s="2395"/>
      <c r="P42" s="2394"/>
      <c r="Q42" s="2394"/>
      <c r="R42" s="2396"/>
    </row>
    <row r="43" spans="2:18" s="2368" customFormat="1">
      <c r="B43" s="2394"/>
      <c r="C43" s="2394"/>
      <c r="D43" s="2394"/>
      <c r="E43" s="2394"/>
      <c r="F43" s="2394"/>
      <c r="G43" s="2395"/>
      <c r="H43" s="2394"/>
      <c r="I43" s="2395"/>
      <c r="J43" s="2394"/>
      <c r="K43" s="2394"/>
      <c r="L43" s="2395"/>
      <c r="M43" s="2394"/>
      <c r="N43" s="2394"/>
      <c r="O43" s="2395"/>
      <c r="P43" s="2394"/>
      <c r="Q43" s="2394"/>
      <c r="R43" s="2396"/>
    </row>
    <row r="44" spans="2:18" s="2368" customFormat="1">
      <c r="B44" s="2394"/>
      <c r="C44" s="2394"/>
      <c r="D44" s="2394"/>
      <c r="E44" s="2394"/>
      <c r="F44" s="2394"/>
      <c r="G44" s="2395"/>
      <c r="H44" s="2394"/>
      <c r="I44" s="2395"/>
      <c r="J44" s="2394"/>
      <c r="K44" s="2394"/>
      <c r="L44" s="2395"/>
      <c r="M44" s="2394"/>
      <c r="N44" s="2394"/>
      <c r="O44" s="2395"/>
      <c r="P44" s="2394"/>
      <c r="Q44" s="2394"/>
      <c r="R44" s="2396"/>
    </row>
    <row r="45" spans="2:18" s="2368" customFormat="1">
      <c r="B45" s="2394"/>
      <c r="C45" s="2394"/>
      <c r="D45" s="2394"/>
      <c r="E45" s="2394"/>
      <c r="F45" s="2394"/>
      <c r="G45" s="2395"/>
      <c r="H45" s="2394"/>
      <c r="I45" s="2395"/>
      <c r="J45" s="2394"/>
      <c r="K45" s="2394"/>
      <c r="L45" s="2395"/>
      <c r="M45" s="2394"/>
      <c r="N45" s="2394"/>
      <c r="O45" s="2395"/>
      <c r="P45" s="2394"/>
      <c r="Q45" s="2394"/>
      <c r="R45" s="2396"/>
    </row>
    <row r="46" spans="2:18" s="2368" customFormat="1">
      <c r="B46" s="2394"/>
      <c r="C46" s="2394"/>
      <c r="D46" s="2394"/>
      <c r="E46" s="2394"/>
      <c r="F46" s="2394"/>
      <c r="G46" s="2395"/>
      <c r="H46" s="2394"/>
      <c r="I46" s="2395"/>
      <c r="J46" s="2394"/>
      <c r="K46" s="2394"/>
      <c r="L46" s="2395"/>
      <c r="M46" s="2394"/>
      <c r="N46" s="2394"/>
      <c r="O46" s="2395"/>
      <c r="P46" s="2394"/>
      <c r="Q46" s="2394"/>
      <c r="R46" s="2396"/>
    </row>
    <row r="47" spans="2:18" s="2368" customFormat="1">
      <c r="B47" s="2394"/>
      <c r="C47" s="2394"/>
      <c r="D47" s="2394"/>
      <c r="E47" s="2394"/>
      <c r="F47" s="2394"/>
      <c r="G47" s="2395"/>
      <c r="H47" s="2394"/>
      <c r="I47" s="2395"/>
      <c r="J47" s="2394"/>
      <c r="K47" s="2394"/>
      <c r="L47" s="2395"/>
      <c r="M47" s="2394"/>
      <c r="N47" s="2394"/>
      <c r="O47" s="2395"/>
      <c r="P47" s="2394"/>
      <c r="Q47" s="2394"/>
      <c r="R47" s="2396"/>
    </row>
    <row r="48" spans="2:18" s="2368" customFormat="1">
      <c r="B48" s="2394"/>
      <c r="C48" s="2394"/>
      <c r="D48" s="2394"/>
      <c r="E48" s="2394"/>
      <c r="F48" s="2394"/>
      <c r="G48" s="2395"/>
      <c r="H48" s="2394"/>
      <c r="I48" s="2395"/>
      <c r="J48" s="2394"/>
      <c r="K48" s="2394"/>
      <c r="L48" s="2395"/>
      <c r="M48" s="2394"/>
      <c r="N48" s="2394"/>
      <c r="O48" s="2395"/>
      <c r="P48" s="2394"/>
      <c r="Q48" s="2394"/>
      <c r="R48" s="2396"/>
    </row>
    <row r="49" spans="2:18" s="2368" customFormat="1">
      <c r="B49" s="2394"/>
      <c r="C49" s="2394"/>
      <c r="D49" s="2394"/>
      <c r="E49" s="2394"/>
      <c r="F49" s="2394"/>
      <c r="G49" s="2395"/>
      <c r="H49" s="2394"/>
      <c r="I49" s="2395"/>
      <c r="J49" s="2394"/>
      <c r="K49" s="2394"/>
      <c r="L49" s="2395"/>
      <c r="M49" s="2394"/>
      <c r="N49" s="2394"/>
      <c r="O49" s="2395"/>
      <c r="P49" s="2394"/>
      <c r="Q49" s="2394"/>
      <c r="R49" s="2396"/>
    </row>
    <row r="50" spans="2:18" s="2368" customFormat="1">
      <c r="B50" s="2394"/>
      <c r="C50" s="2394"/>
      <c r="D50" s="2394"/>
      <c r="E50" s="2394"/>
      <c r="F50" s="2394"/>
      <c r="G50" s="2395"/>
      <c r="H50" s="2394"/>
      <c r="I50" s="2395"/>
      <c r="J50" s="2394"/>
      <c r="K50" s="2394"/>
      <c r="L50" s="2395"/>
      <c r="M50" s="2394"/>
      <c r="N50" s="2394"/>
      <c r="O50" s="2395"/>
      <c r="P50" s="2394"/>
      <c r="Q50" s="2394"/>
      <c r="R50" s="2396"/>
    </row>
    <row r="51" spans="2:18" s="2368" customFormat="1">
      <c r="B51" s="2394"/>
      <c r="C51" s="2394"/>
      <c r="D51" s="2394"/>
      <c r="E51" s="2394"/>
      <c r="F51" s="2394"/>
      <c r="G51" s="2395"/>
      <c r="H51" s="2394"/>
      <c r="I51" s="2395"/>
      <c r="J51" s="2394"/>
      <c r="K51" s="2394"/>
      <c r="L51" s="2395"/>
      <c r="M51" s="2394"/>
      <c r="N51" s="2394"/>
      <c r="O51" s="2395"/>
      <c r="P51" s="2394"/>
      <c r="Q51" s="2394"/>
      <c r="R51" s="2396"/>
    </row>
    <row r="52" spans="2:18" s="2368" customFormat="1">
      <c r="B52" s="2394"/>
      <c r="C52" s="2394"/>
      <c r="D52" s="2394"/>
      <c r="E52" s="2394"/>
      <c r="F52" s="2394"/>
      <c r="G52" s="2395"/>
      <c r="H52" s="2394"/>
      <c r="I52" s="2395"/>
      <c r="J52" s="2394"/>
      <c r="K52" s="2394"/>
      <c r="L52" s="2395"/>
      <c r="M52" s="2394"/>
      <c r="N52" s="2394"/>
      <c r="O52" s="2395"/>
      <c r="P52" s="2394"/>
      <c r="Q52" s="2394"/>
      <c r="R52" s="2396"/>
    </row>
    <row r="53" spans="2:18" s="2368" customFormat="1">
      <c r="B53" s="2394"/>
      <c r="C53" s="2394"/>
      <c r="D53" s="2394"/>
      <c r="E53" s="2394"/>
      <c r="F53" s="2394"/>
      <c r="G53" s="2395"/>
      <c r="H53" s="2394"/>
      <c r="I53" s="2395"/>
      <c r="J53" s="2394"/>
      <c r="K53" s="2394"/>
      <c r="L53" s="2395"/>
      <c r="M53" s="2394"/>
      <c r="N53" s="2394"/>
      <c r="O53" s="2395"/>
      <c r="P53" s="2394"/>
      <c r="Q53" s="2394"/>
      <c r="R53" s="2396"/>
    </row>
    <row r="54" spans="2:18" s="2368" customFormat="1">
      <c r="B54" s="2394"/>
      <c r="C54" s="2394"/>
      <c r="D54" s="2394"/>
      <c r="E54" s="2394"/>
      <c r="F54" s="2394"/>
      <c r="G54" s="2395"/>
      <c r="H54" s="2394"/>
      <c r="I54" s="2395"/>
      <c r="J54" s="2394"/>
      <c r="K54" s="2394"/>
      <c r="L54" s="2395"/>
      <c r="M54" s="2394"/>
      <c r="N54" s="2394"/>
      <c r="O54" s="2395"/>
      <c r="P54" s="2394"/>
      <c r="Q54" s="2394"/>
      <c r="R54" s="2396"/>
    </row>
    <row r="55" spans="2:18" s="2368" customFormat="1">
      <c r="B55" s="2394"/>
      <c r="C55" s="2394"/>
      <c r="D55" s="2394"/>
      <c r="E55" s="2394"/>
      <c r="F55" s="2394"/>
      <c r="G55" s="2395"/>
      <c r="H55" s="2394"/>
      <c r="I55" s="2395"/>
      <c r="J55" s="2394"/>
      <c r="K55" s="2394"/>
      <c r="L55" s="2395"/>
      <c r="M55" s="2394"/>
      <c r="N55" s="2394"/>
      <c r="O55" s="2395"/>
      <c r="P55" s="2394"/>
      <c r="Q55" s="2394"/>
      <c r="R55" s="2396"/>
    </row>
    <row r="56" spans="2:18" s="2368" customFormat="1">
      <c r="B56" s="2394"/>
      <c r="C56" s="2394"/>
      <c r="D56" s="2394"/>
      <c r="E56" s="2394"/>
      <c r="F56" s="2394"/>
      <c r="G56" s="2395"/>
      <c r="H56" s="2394"/>
      <c r="I56" s="2395"/>
      <c r="J56" s="2394"/>
      <c r="K56" s="2394"/>
      <c r="L56" s="2395"/>
      <c r="M56" s="2394"/>
      <c r="N56" s="2394"/>
      <c r="O56" s="2395"/>
      <c r="P56" s="2394"/>
      <c r="Q56" s="2394"/>
      <c r="R56" s="2396"/>
    </row>
    <row r="57" spans="2:18" s="2368" customFormat="1">
      <c r="B57" s="2394"/>
      <c r="C57" s="2394"/>
      <c r="D57" s="2394"/>
      <c r="E57" s="2394"/>
      <c r="F57" s="2394"/>
      <c r="G57" s="2395"/>
      <c r="H57" s="2394"/>
      <c r="I57" s="2395"/>
      <c r="J57" s="2394"/>
      <c r="K57" s="2394"/>
      <c r="L57" s="2395"/>
      <c r="M57" s="2394"/>
      <c r="N57" s="2394"/>
      <c r="O57" s="2395"/>
      <c r="P57" s="2394"/>
      <c r="Q57" s="2394"/>
      <c r="R57" s="2396"/>
    </row>
    <row r="58" spans="2:18" s="2368" customFormat="1">
      <c r="B58" s="2394"/>
      <c r="C58" s="2394"/>
      <c r="D58" s="2394"/>
      <c r="E58" s="2394"/>
      <c r="F58" s="2394"/>
      <c r="G58" s="2395"/>
      <c r="H58" s="2394"/>
      <c r="I58" s="2395"/>
      <c r="J58" s="2394"/>
      <c r="K58" s="2394"/>
      <c r="L58" s="2395"/>
      <c r="M58" s="2394"/>
      <c r="N58" s="2394"/>
      <c r="O58" s="2395"/>
      <c r="P58" s="2394"/>
      <c r="Q58" s="2394"/>
      <c r="R58" s="2396"/>
    </row>
    <row r="59" spans="2:18" s="2368" customFormat="1">
      <c r="B59" s="2394"/>
      <c r="C59" s="2394"/>
      <c r="D59" s="2394"/>
      <c r="E59" s="2394"/>
      <c r="F59" s="2394"/>
      <c r="G59" s="2395"/>
      <c r="H59" s="2394"/>
      <c r="I59" s="2395"/>
      <c r="J59" s="2394"/>
      <c r="K59" s="2394"/>
      <c r="L59" s="2395"/>
      <c r="M59" s="2394"/>
      <c r="N59" s="2394"/>
      <c r="O59" s="2395"/>
      <c r="P59" s="2394"/>
      <c r="Q59" s="2394"/>
      <c r="R59" s="2396"/>
    </row>
    <row r="60" spans="2:18" s="2368" customFormat="1">
      <c r="B60" s="2394"/>
      <c r="C60" s="2394"/>
      <c r="D60" s="2394"/>
      <c r="E60" s="2394"/>
      <c r="F60" s="2394"/>
      <c r="G60" s="2395"/>
      <c r="H60" s="2394"/>
      <c r="I60" s="2395"/>
      <c r="J60" s="2394"/>
      <c r="K60" s="2394"/>
      <c r="L60" s="2395"/>
      <c r="M60" s="2394"/>
      <c r="N60" s="2394"/>
      <c r="O60" s="2395"/>
      <c r="P60" s="2394"/>
      <c r="Q60" s="2394"/>
      <c r="R60" s="2396"/>
    </row>
    <row r="61" spans="2:18" s="2368" customFormat="1">
      <c r="B61" s="2394"/>
      <c r="C61" s="2394"/>
      <c r="D61" s="2394"/>
      <c r="E61" s="2394"/>
      <c r="F61" s="2394"/>
      <c r="G61" s="2395"/>
      <c r="H61" s="2394"/>
      <c r="I61" s="2395"/>
      <c r="J61" s="2394"/>
      <c r="K61" s="2394"/>
      <c r="L61" s="2395"/>
      <c r="M61" s="2394"/>
      <c r="N61" s="2394"/>
      <c r="O61" s="2395"/>
      <c r="P61" s="2394"/>
      <c r="Q61" s="2394"/>
      <c r="R61" s="2396"/>
    </row>
    <row r="62" spans="2:18" s="2368" customFormat="1">
      <c r="B62" s="2394"/>
      <c r="C62" s="2394"/>
      <c r="D62" s="2394"/>
      <c r="E62" s="2394"/>
      <c r="F62" s="2394"/>
      <c r="G62" s="2395"/>
      <c r="H62" s="2394"/>
      <c r="I62" s="2395"/>
      <c r="J62" s="2394"/>
      <c r="K62" s="2394"/>
      <c r="L62" s="2395"/>
      <c r="M62" s="2394"/>
      <c r="N62" s="2394"/>
      <c r="O62" s="2395"/>
      <c r="P62" s="2394"/>
      <c r="Q62" s="2394"/>
      <c r="R62" s="2396"/>
    </row>
    <row r="63" spans="2:18" s="2368" customFormat="1">
      <c r="B63" s="2394"/>
      <c r="C63" s="2394"/>
      <c r="D63" s="2394"/>
      <c r="E63" s="2394"/>
      <c r="F63" s="2394"/>
      <c r="G63" s="2395"/>
      <c r="H63" s="2394"/>
      <c r="I63" s="2395"/>
      <c r="J63" s="2394"/>
      <c r="K63" s="2394"/>
      <c r="L63" s="2395"/>
      <c r="M63" s="2394"/>
      <c r="N63" s="2394"/>
      <c r="O63" s="2395"/>
      <c r="P63" s="2394"/>
      <c r="Q63" s="2394"/>
      <c r="R63" s="2396"/>
    </row>
    <row r="64" spans="2:18" s="2368" customFormat="1">
      <c r="B64" s="2394"/>
      <c r="C64" s="2394"/>
      <c r="D64" s="2394"/>
      <c r="E64" s="2394"/>
      <c r="F64" s="2394"/>
      <c r="G64" s="2395"/>
      <c r="H64" s="2394"/>
      <c r="I64" s="2395"/>
      <c r="J64" s="2394"/>
      <c r="K64" s="2394"/>
      <c r="L64" s="2395"/>
      <c r="M64" s="2394"/>
      <c r="N64" s="2394"/>
      <c r="O64" s="2395"/>
      <c r="P64" s="2394"/>
      <c r="Q64" s="2394"/>
      <c r="R64" s="2396"/>
    </row>
    <row r="65" spans="2:18" s="2368" customFormat="1">
      <c r="B65" s="2394"/>
      <c r="C65" s="2394"/>
      <c r="D65" s="2394"/>
      <c r="E65" s="2394"/>
      <c r="F65" s="2394"/>
      <c r="G65" s="2395"/>
      <c r="H65" s="2394"/>
      <c r="I65" s="2395"/>
      <c r="J65" s="2394"/>
      <c r="K65" s="2394"/>
      <c r="L65" s="2395"/>
      <c r="M65" s="2394"/>
      <c r="N65" s="2394"/>
      <c r="O65" s="2395"/>
      <c r="P65" s="2394"/>
      <c r="Q65" s="2394"/>
      <c r="R65" s="2396"/>
    </row>
    <row r="66" spans="2:18" s="2368" customFormat="1">
      <c r="B66" s="2394"/>
      <c r="C66" s="2394"/>
      <c r="D66" s="2394"/>
      <c r="E66" s="2394"/>
      <c r="F66" s="2394"/>
      <c r="G66" s="2395"/>
      <c r="H66" s="2394"/>
      <c r="I66" s="2395"/>
      <c r="J66" s="2394"/>
      <c r="K66" s="2394"/>
      <c r="L66" s="2395"/>
      <c r="M66" s="2394"/>
      <c r="N66" s="2394"/>
      <c r="O66" s="2395"/>
      <c r="P66" s="2394"/>
      <c r="Q66" s="2394"/>
      <c r="R66" s="2396"/>
    </row>
    <row r="67" spans="2:18" s="2368" customFormat="1">
      <c r="B67" s="2394"/>
      <c r="C67" s="2394"/>
      <c r="D67" s="2394"/>
      <c r="E67" s="2394"/>
      <c r="F67" s="2394"/>
      <c r="G67" s="2395"/>
      <c r="H67" s="2394"/>
      <c r="I67" s="2395"/>
      <c r="J67" s="2394"/>
      <c r="K67" s="2394"/>
      <c r="L67" s="2395"/>
      <c r="M67" s="2394"/>
      <c r="N67" s="2394"/>
      <c r="O67" s="2395"/>
      <c r="P67" s="2394"/>
      <c r="Q67" s="2394"/>
      <c r="R67" s="2396"/>
    </row>
    <row r="68" spans="2:18" s="2368" customFormat="1">
      <c r="B68" s="2394"/>
      <c r="C68" s="2394"/>
      <c r="D68" s="2394"/>
      <c r="E68" s="2394"/>
      <c r="F68" s="2394"/>
      <c r="G68" s="2395"/>
      <c r="H68" s="2394"/>
      <c r="I68" s="2395"/>
      <c r="J68" s="2394"/>
      <c r="K68" s="2394"/>
      <c r="L68" s="2395"/>
      <c r="M68" s="2394"/>
      <c r="N68" s="2394"/>
      <c r="O68" s="2395"/>
      <c r="P68" s="2394"/>
      <c r="Q68" s="2394"/>
      <c r="R68" s="2396"/>
    </row>
    <row r="69" spans="2:18" s="2368" customFormat="1">
      <c r="B69" s="2394"/>
      <c r="C69" s="2394"/>
      <c r="D69" s="2394"/>
      <c r="E69" s="2394"/>
      <c r="F69" s="2394"/>
      <c r="G69" s="2395"/>
      <c r="H69" s="2394"/>
      <c r="I69" s="2395"/>
      <c r="J69" s="2394"/>
      <c r="K69" s="2394"/>
      <c r="L69" s="2395"/>
      <c r="M69" s="2394"/>
      <c r="N69" s="2394"/>
      <c r="O69" s="2395"/>
      <c r="P69" s="2394"/>
      <c r="Q69" s="2394"/>
      <c r="R69" s="2396"/>
    </row>
    <row r="70" spans="2:18" s="2368" customFormat="1">
      <c r="B70" s="2394"/>
      <c r="C70" s="2394"/>
      <c r="D70" s="2394"/>
      <c r="E70" s="2394"/>
      <c r="F70" s="2394"/>
      <c r="G70" s="2395"/>
      <c r="H70" s="2394"/>
      <c r="I70" s="2395"/>
      <c r="J70" s="2394"/>
      <c r="K70" s="2394"/>
      <c r="L70" s="2395"/>
      <c r="M70" s="2394"/>
      <c r="N70" s="2394"/>
      <c r="O70" s="2395"/>
      <c r="P70" s="2394"/>
      <c r="Q70" s="2394"/>
      <c r="R70" s="2396"/>
    </row>
    <row r="71" spans="2:18" s="2368" customFormat="1">
      <c r="B71" s="2394"/>
      <c r="C71" s="2394"/>
      <c r="D71" s="2394"/>
      <c r="E71" s="2394"/>
      <c r="F71" s="2394"/>
      <c r="G71" s="2395"/>
      <c r="H71" s="2394"/>
      <c r="I71" s="2395"/>
      <c r="J71" s="2394"/>
      <c r="K71" s="2394"/>
      <c r="L71" s="2395"/>
      <c r="M71" s="2394"/>
      <c r="N71" s="2394"/>
      <c r="O71" s="2395"/>
      <c r="P71" s="2394"/>
      <c r="Q71" s="2394"/>
      <c r="R71" s="2396"/>
    </row>
    <row r="72" spans="2:18" s="2368" customFormat="1">
      <c r="B72" s="2394"/>
      <c r="C72" s="2394"/>
      <c r="D72" s="2394"/>
      <c r="E72" s="2394"/>
      <c r="F72" s="2394"/>
      <c r="G72" s="2395"/>
      <c r="H72" s="2394"/>
      <c r="I72" s="2395"/>
      <c r="J72" s="2394"/>
      <c r="K72" s="2394"/>
      <c r="L72" s="2395"/>
      <c r="M72" s="2394"/>
      <c r="N72" s="2394"/>
      <c r="O72" s="2395"/>
      <c r="P72" s="2394"/>
      <c r="Q72" s="2394"/>
      <c r="R72" s="2396"/>
    </row>
    <row r="73" spans="2:18" s="2368" customFormat="1">
      <c r="B73" s="2394"/>
      <c r="C73" s="2394"/>
      <c r="D73" s="2394"/>
      <c r="E73" s="2394"/>
      <c r="F73" s="2394"/>
      <c r="G73" s="2395"/>
      <c r="H73" s="2394"/>
      <c r="I73" s="2395"/>
      <c r="J73" s="2394"/>
      <c r="K73" s="2394"/>
      <c r="L73" s="2395"/>
      <c r="M73" s="2394"/>
      <c r="N73" s="2394"/>
      <c r="O73" s="2395"/>
      <c r="P73" s="2394"/>
      <c r="Q73" s="2394"/>
      <c r="R73" s="2396"/>
    </row>
    <row r="74" spans="2:18" s="2368" customFormat="1">
      <c r="B74" s="2394"/>
      <c r="C74" s="2394"/>
      <c r="D74" s="2394"/>
      <c r="E74" s="2394"/>
      <c r="F74" s="2394"/>
      <c r="G74" s="2395"/>
      <c r="H74" s="2394"/>
      <c r="I74" s="2395"/>
      <c r="J74" s="2394"/>
      <c r="K74" s="2394"/>
      <c r="L74" s="2395"/>
      <c r="M74" s="2394"/>
      <c r="N74" s="2394"/>
      <c r="O74" s="2395"/>
      <c r="P74" s="2394"/>
      <c r="Q74" s="2394"/>
      <c r="R74" s="2396"/>
    </row>
    <row r="75" spans="2:18" s="2368" customFormat="1">
      <c r="B75" s="2394"/>
      <c r="C75" s="2394"/>
      <c r="D75" s="2394"/>
      <c r="E75" s="2394"/>
      <c r="F75" s="2394"/>
      <c r="G75" s="2395"/>
      <c r="H75" s="2394"/>
      <c r="I75" s="2395"/>
      <c r="J75" s="2394"/>
      <c r="K75" s="2394"/>
      <c r="L75" s="2395"/>
      <c r="M75" s="2394"/>
      <c r="N75" s="2394"/>
      <c r="O75" s="2395"/>
      <c r="P75" s="2394"/>
      <c r="Q75" s="2394"/>
      <c r="R75" s="2396"/>
    </row>
    <row r="76" spans="2:18" s="2368" customFormat="1">
      <c r="B76" s="2394"/>
      <c r="C76" s="2394"/>
      <c r="D76" s="2394"/>
      <c r="E76" s="2394"/>
      <c r="F76" s="2394"/>
      <c r="G76" s="2395"/>
      <c r="H76" s="2394"/>
      <c r="I76" s="2395"/>
      <c r="J76" s="2394"/>
      <c r="K76" s="2394"/>
      <c r="L76" s="2395"/>
      <c r="M76" s="2394"/>
      <c r="N76" s="2394"/>
      <c r="O76" s="2395"/>
      <c r="P76" s="2394"/>
      <c r="Q76" s="2394"/>
      <c r="R76" s="2396"/>
    </row>
    <row r="77" spans="2:18" s="2368" customFormat="1">
      <c r="B77" s="2394"/>
      <c r="C77" s="2394"/>
      <c r="D77" s="2394"/>
      <c r="E77" s="2394"/>
      <c r="F77" s="2394"/>
      <c r="G77" s="2395"/>
      <c r="H77" s="2394"/>
      <c r="I77" s="2395"/>
      <c r="J77" s="2394"/>
      <c r="K77" s="2394"/>
      <c r="L77" s="2395"/>
      <c r="M77" s="2394"/>
      <c r="N77" s="2394"/>
      <c r="O77" s="2395"/>
      <c r="P77" s="2394"/>
      <c r="Q77" s="2394"/>
      <c r="R77" s="2396"/>
    </row>
    <row r="78" spans="2:18" s="2368" customFormat="1">
      <c r="B78" s="2394"/>
      <c r="C78" s="2394"/>
      <c r="D78" s="2394"/>
      <c r="E78" s="2394"/>
      <c r="F78" s="2394"/>
      <c r="G78" s="2395"/>
      <c r="H78" s="2394"/>
      <c r="I78" s="2395"/>
      <c r="J78" s="2394"/>
      <c r="K78" s="2394"/>
      <c r="L78" s="2395"/>
      <c r="M78" s="2394"/>
      <c r="N78" s="2394"/>
      <c r="O78" s="2395"/>
      <c r="P78" s="2394"/>
      <c r="Q78" s="2394"/>
      <c r="R78" s="2396"/>
    </row>
    <row r="79" spans="2:18" s="2368" customFormat="1">
      <c r="B79" s="2394"/>
      <c r="C79" s="2394"/>
      <c r="D79" s="2394"/>
      <c r="E79" s="2394"/>
      <c r="F79" s="2394"/>
      <c r="G79" s="2395"/>
      <c r="H79" s="2394"/>
      <c r="I79" s="2395"/>
      <c r="J79" s="2394"/>
      <c r="K79" s="2394"/>
      <c r="L79" s="2395"/>
      <c r="M79" s="2394"/>
      <c r="N79" s="2394"/>
      <c r="O79" s="2395"/>
      <c r="P79" s="2394"/>
      <c r="Q79" s="2394"/>
      <c r="R79" s="2396"/>
    </row>
    <row r="80" spans="2:18" s="2368" customFormat="1">
      <c r="B80" s="2394"/>
      <c r="C80" s="2394"/>
      <c r="D80" s="2394"/>
      <c r="E80" s="2394"/>
      <c r="F80" s="2394"/>
      <c r="G80" s="2395"/>
      <c r="H80" s="2394"/>
      <c r="I80" s="2395"/>
      <c r="J80" s="2394"/>
      <c r="K80" s="2394"/>
      <c r="L80" s="2395"/>
      <c r="M80" s="2394"/>
      <c r="N80" s="2394"/>
      <c r="O80" s="2395"/>
      <c r="P80" s="2394"/>
      <c r="Q80" s="2394"/>
      <c r="R80" s="2396"/>
    </row>
    <row r="81" spans="2:18" s="2368" customFormat="1">
      <c r="B81" s="2394"/>
      <c r="C81" s="2394"/>
      <c r="D81" s="2394"/>
      <c r="E81" s="2394"/>
      <c r="F81" s="2394"/>
      <c r="G81" s="2395"/>
      <c r="H81" s="2394"/>
      <c r="I81" s="2395"/>
      <c r="J81" s="2394"/>
      <c r="K81" s="2394"/>
      <c r="L81" s="2395"/>
      <c r="M81" s="2394"/>
      <c r="N81" s="2394"/>
      <c r="O81" s="2395"/>
      <c r="P81" s="2394"/>
      <c r="Q81" s="2394"/>
      <c r="R81" s="2396"/>
    </row>
    <row r="82" spans="2:18" s="2368" customFormat="1">
      <c r="B82" s="2394"/>
      <c r="C82" s="2394"/>
      <c r="D82" s="2394"/>
      <c r="E82" s="2394"/>
      <c r="F82" s="2394"/>
      <c r="G82" s="2395"/>
      <c r="H82" s="2394"/>
      <c r="I82" s="2395"/>
      <c r="J82" s="2394"/>
      <c r="K82" s="2394"/>
      <c r="L82" s="2395"/>
      <c r="M82" s="2394"/>
      <c r="N82" s="2394"/>
      <c r="O82" s="2395"/>
      <c r="P82" s="2394"/>
      <c r="Q82" s="2394"/>
      <c r="R82" s="2396"/>
    </row>
    <row r="83" spans="2:18" s="2368" customFormat="1">
      <c r="B83" s="2394"/>
      <c r="C83" s="2394"/>
      <c r="D83" s="2394"/>
      <c r="E83" s="2394"/>
      <c r="F83" s="2394"/>
      <c r="G83" s="2395"/>
      <c r="H83" s="2394"/>
      <c r="I83" s="2395"/>
      <c r="J83" s="2394"/>
      <c r="K83" s="2394"/>
      <c r="L83" s="2395"/>
      <c r="M83" s="2394"/>
      <c r="N83" s="2394"/>
      <c r="O83" s="2395"/>
      <c r="P83" s="2394"/>
      <c r="Q83" s="2394"/>
      <c r="R83" s="2396"/>
    </row>
    <row r="84" spans="2:18" s="2368" customFormat="1">
      <c r="B84" s="2394"/>
      <c r="C84" s="2394"/>
      <c r="D84" s="2394"/>
      <c r="E84" s="2394"/>
      <c r="F84" s="2394"/>
      <c r="G84" s="2395"/>
      <c r="H84" s="2394"/>
      <c r="I84" s="2395"/>
      <c r="J84" s="2394"/>
      <c r="K84" s="2394"/>
      <c r="L84" s="2395"/>
      <c r="M84" s="2394"/>
      <c r="N84" s="2394"/>
      <c r="O84" s="2395"/>
      <c r="P84" s="2394"/>
      <c r="Q84" s="2394"/>
      <c r="R84" s="2396"/>
    </row>
    <row r="85" spans="2:18" s="2368" customFormat="1">
      <c r="B85" s="2394"/>
      <c r="C85" s="2394"/>
      <c r="D85" s="2394"/>
      <c r="E85" s="2394"/>
      <c r="F85" s="2394"/>
      <c r="G85" s="2395"/>
      <c r="H85" s="2394"/>
      <c r="I85" s="2395"/>
      <c r="J85" s="2394"/>
      <c r="K85" s="2394"/>
      <c r="L85" s="2395"/>
      <c r="M85" s="2394"/>
      <c r="N85" s="2394"/>
      <c r="O85" s="2395"/>
      <c r="P85" s="2394"/>
      <c r="Q85" s="2394"/>
      <c r="R85" s="2396"/>
    </row>
    <row r="86" spans="2:18" s="2368" customFormat="1">
      <c r="B86" s="2394"/>
      <c r="C86" s="2394"/>
      <c r="D86" s="2394"/>
      <c r="E86" s="2394"/>
      <c r="F86" s="2394"/>
      <c r="G86" s="2395"/>
      <c r="H86" s="2394"/>
      <c r="I86" s="2395"/>
      <c r="J86" s="2394"/>
      <c r="K86" s="2394"/>
      <c r="L86" s="2395"/>
      <c r="M86" s="2394"/>
      <c r="N86" s="2394"/>
      <c r="O86" s="2395"/>
      <c r="P86" s="2394"/>
      <c r="Q86" s="2394"/>
      <c r="R86" s="2396"/>
    </row>
    <row r="87" spans="2:18" s="2368" customFormat="1">
      <c r="B87" s="2394"/>
      <c r="C87" s="2394"/>
      <c r="D87" s="2394"/>
      <c r="E87" s="2394"/>
      <c r="F87" s="2394"/>
      <c r="G87" s="2395"/>
      <c r="H87" s="2394"/>
      <c r="I87" s="2395"/>
      <c r="J87" s="2394"/>
      <c r="K87" s="2394"/>
      <c r="L87" s="2395"/>
      <c r="M87" s="2394"/>
      <c r="N87" s="2394"/>
      <c r="O87" s="2395"/>
      <c r="P87" s="2394"/>
      <c r="Q87" s="2394"/>
      <c r="R87" s="2396"/>
    </row>
    <row r="88" spans="2:18" s="2368" customFormat="1">
      <c r="B88" s="2394"/>
      <c r="C88" s="2394"/>
      <c r="D88" s="2394"/>
      <c r="E88" s="2394"/>
      <c r="F88" s="2394"/>
      <c r="G88" s="2395"/>
      <c r="H88" s="2394"/>
      <c r="I88" s="2395"/>
      <c r="J88" s="2394"/>
      <c r="K88" s="2394"/>
      <c r="L88" s="2395"/>
      <c r="M88" s="2394"/>
      <c r="N88" s="2394"/>
      <c r="O88" s="2395"/>
      <c r="P88" s="2394"/>
      <c r="Q88" s="2394"/>
      <c r="R88" s="2396"/>
    </row>
    <row r="89" spans="2:18" s="2368" customFormat="1">
      <c r="B89" s="2394"/>
      <c r="C89" s="2394"/>
      <c r="D89" s="2394"/>
      <c r="E89" s="2394"/>
      <c r="F89" s="2394"/>
      <c r="G89" s="2395"/>
      <c r="H89" s="2394"/>
      <c r="I89" s="2395"/>
      <c r="J89" s="2394"/>
      <c r="K89" s="2394"/>
      <c r="L89" s="2395"/>
      <c r="M89" s="2394"/>
      <c r="N89" s="2394"/>
      <c r="O89" s="2395"/>
      <c r="P89" s="2394"/>
      <c r="Q89" s="2394"/>
      <c r="R89" s="2396"/>
    </row>
    <row r="90" spans="2:18" s="2368" customFormat="1">
      <c r="B90" s="2394"/>
      <c r="C90" s="2394"/>
      <c r="D90" s="2394"/>
      <c r="E90" s="2394"/>
      <c r="F90" s="2394"/>
      <c r="G90" s="2395"/>
      <c r="H90" s="2394"/>
      <c r="I90" s="2395"/>
      <c r="J90" s="2394"/>
      <c r="K90" s="2394"/>
      <c r="L90" s="2395"/>
      <c r="M90" s="2394"/>
      <c r="N90" s="2394"/>
      <c r="O90" s="2395"/>
      <c r="P90" s="2394"/>
      <c r="Q90" s="2394"/>
      <c r="R90" s="2396"/>
    </row>
    <row r="91" spans="2:18" s="2368" customFormat="1">
      <c r="B91" s="2394"/>
      <c r="C91" s="2394"/>
      <c r="D91" s="2394"/>
      <c r="E91" s="2394"/>
      <c r="F91" s="2394"/>
      <c r="G91" s="2395"/>
      <c r="H91" s="2394"/>
      <c r="I91" s="2395"/>
      <c r="J91" s="2394"/>
      <c r="K91" s="2394"/>
      <c r="L91" s="2395"/>
      <c r="M91" s="2394"/>
      <c r="N91" s="2394"/>
      <c r="O91" s="2395"/>
      <c r="P91" s="2394"/>
      <c r="Q91" s="2394"/>
      <c r="R91" s="2396"/>
    </row>
    <row r="92" spans="2:18" s="2368" customFormat="1">
      <c r="B92" s="2394"/>
      <c r="C92" s="2394"/>
      <c r="D92" s="2394"/>
      <c r="E92" s="2394"/>
      <c r="F92" s="2394"/>
      <c r="G92" s="2395"/>
      <c r="H92" s="2394"/>
      <c r="I92" s="2395"/>
      <c r="J92" s="2394"/>
      <c r="K92" s="2394"/>
      <c r="L92" s="2395"/>
      <c r="M92" s="2394"/>
      <c r="N92" s="2394"/>
      <c r="O92" s="2395"/>
      <c r="P92" s="2394"/>
      <c r="Q92" s="2394"/>
      <c r="R92" s="2396"/>
    </row>
    <row r="93" spans="2:18" s="2368" customFormat="1">
      <c r="B93" s="2394"/>
      <c r="C93" s="2394"/>
      <c r="D93" s="2394"/>
      <c r="E93" s="2394"/>
      <c r="F93" s="2394"/>
      <c r="G93" s="2395"/>
      <c r="H93" s="2394"/>
      <c r="I93" s="2395"/>
      <c r="J93" s="2394"/>
      <c r="K93" s="2394"/>
      <c r="L93" s="2395"/>
      <c r="M93" s="2394"/>
      <c r="N93" s="2394"/>
      <c r="O93" s="2395"/>
      <c r="P93" s="2394"/>
      <c r="Q93" s="2394"/>
      <c r="R93" s="2396"/>
    </row>
    <row r="94" spans="2:18" s="2368" customFormat="1">
      <c r="B94" s="2394"/>
      <c r="C94" s="2394"/>
      <c r="D94" s="2394"/>
      <c r="E94" s="2394"/>
      <c r="F94" s="2394"/>
      <c r="G94" s="2395"/>
      <c r="H94" s="2394"/>
      <c r="I94" s="2395"/>
      <c r="J94" s="2394"/>
      <c r="K94" s="2394"/>
      <c r="L94" s="2395"/>
      <c r="M94" s="2394"/>
      <c r="N94" s="2394"/>
      <c r="O94" s="2395"/>
      <c r="P94" s="2394"/>
      <c r="Q94" s="2394"/>
      <c r="R94" s="2396"/>
    </row>
    <row r="95" spans="2:18" s="2368" customFormat="1">
      <c r="B95" s="2394"/>
      <c r="C95" s="2394"/>
      <c r="D95" s="2394"/>
      <c r="E95" s="2394"/>
      <c r="F95" s="2394"/>
      <c r="G95" s="2395"/>
      <c r="H95" s="2394"/>
      <c r="I95" s="2395"/>
      <c r="J95" s="2394"/>
      <c r="K95" s="2394"/>
      <c r="L95" s="2395"/>
      <c r="M95" s="2394"/>
      <c r="N95" s="2394"/>
      <c r="O95" s="2395"/>
      <c r="P95" s="2394"/>
      <c r="Q95" s="2394"/>
      <c r="R95" s="2396"/>
    </row>
    <row r="96" spans="2:18" s="2368" customFormat="1">
      <c r="B96" s="2394"/>
      <c r="C96" s="2394"/>
      <c r="D96" s="2394"/>
      <c r="E96" s="2394"/>
      <c r="F96" s="2394"/>
      <c r="G96" s="2395"/>
      <c r="H96" s="2394"/>
      <c r="I96" s="2395"/>
      <c r="J96" s="2394"/>
      <c r="K96" s="2394"/>
      <c r="L96" s="2395"/>
      <c r="M96" s="2394"/>
      <c r="N96" s="2394"/>
      <c r="O96" s="2395"/>
      <c r="P96" s="2394"/>
      <c r="Q96" s="2394"/>
      <c r="R96" s="2396"/>
    </row>
    <row r="97" spans="2:18" s="2368" customFormat="1">
      <c r="B97" s="2394"/>
      <c r="C97" s="2394"/>
      <c r="D97" s="2394"/>
      <c r="E97" s="2394"/>
      <c r="F97" s="2394"/>
      <c r="G97" s="2395"/>
      <c r="H97" s="2394"/>
      <c r="I97" s="2395"/>
      <c r="J97" s="2394"/>
      <c r="K97" s="2394"/>
      <c r="L97" s="2395"/>
      <c r="M97" s="2394"/>
      <c r="N97" s="2394"/>
      <c r="O97" s="2395"/>
      <c r="P97" s="2394"/>
      <c r="Q97" s="2394"/>
      <c r="R97" s="2396"/>
    </row>
    <row r="98" spans="2:18" s="2368" customFormat="1">
      <c r="B98" s="2394"/>
      <c r="C98" s="2394"/>
      <c r="D98" s="2394"/>
      <c r="E98" s="2394"/>
      <c r="F98" s="2394"/>
      <c r="G98" s="2395"/>
      <c r="H98" s="2394"/>
      <c r="I98" s="2395"/>
      <c r="J98" s="2394"/>
      <c r="K98" s="2394"/>
      <c r="L98" s="2395"/>
      <c r="M98" s="2394"/>
      <c r="N98" s="2394"/>
      <c r="O98" s="2395"/>
      <c r="P98" s="2394"/>
      <c r="Q98" s="2394"/>
      <c r="R98" s="2396"/>
    </row>
    <row r="99" spans="2:18" s="2368" customFormat="1">
      <c r="B99" s="2394"/>
      <c r="C99" s="2394"/>
      <c r="D99" s="2394"/>
      <c r="E99" s="2394"/>
      <c r="F99" s="2394"/>
      <c r="G99" s="2395"/>
      <c r="H99" s="2394"/>
      <c r="I99" s="2395"/>
      <c r="J99" s="2394"/>
      <c r="K99" s="2394"/>
      <c r="L99" s="2395"/>
      <c r="M99" s="2394"/>
      <c r="N99" s="2394"/>
      <c r="O99" s="2395"/>
      <c r="P99" s="2394"/>
      <c r="Q99" s="2394"/>
      <c r="R99" s="2396"/>
    </row>
    <row r="100" spans="2:18" s="2368" customFormat="1">
      <c r="B100" s="2394"/>
      <c r="C100" s="2394"/>
      <c r="D100" s="2394"/>
      <c r="E100" s="2394"/>
      <c r="F100" s="2394"/>
      <c r="G100" s="2395"/>
      <c r="H100" s="2394"/>
      <c r="I100" s="2395"/>
      <c r="J100" s="2394"/>
      <c r="K100" s="2394"/>
      <c r="L100" s="2395"/>
      <c r="M100" s="2394"/>
      <c r="N100" s="2394"/>
      <c r="O100" s="2395"/>
      <c r="P100" s="2394"/>
      <c r="Q100" s="2394"/>
      <c r="R100" s="2396"/>
    </row>
    <row r="101" spans="2:18" s="2368" customFormat="1">
      <c r="B101" s="2394"/>
      <c r="C101" s="2394"/>
      <c r="D101" s="2394"/>
      <c r="E101" s="2394"/>
      <c r="F101" s="2394"/>
      <c r="G101" s="2395"/>
      <c r="H101" s="2394"/>
      <c r="I101" s="2395"/>
      <c r="J101" s="2394"/>
      <c r="K101" s="2394"/>
      <c r="L101" s="2395"/>
      <c r="M101" s="2394"/>
      <c r="N101" s="2394"/>
      <c r="O101" s="2395"/>
      <c r="P101" s="2394"/>
      <c r="Q101" s="2394"/>
      <c r="R101" s="2396"/>
    </row>
    <row r="102" spans="2:18" s="2368" customFormat="1">
      <c r="B102" s="2394"/>
      <c r="C102" s="2394"/>
      <c r="D102" s="2394"/>
      <c r="E102" s="2394"/>
      <c r="F102" s="2394"/>
      <c r="G102" s="2395"/>
      <c r="H102" s="2394"/>
      <c r="I102" s="2395"/>
      <c r="J102" s="2394"/>
      <c r="K102" s="2394"/>
      <c r="L102" s="2395"/>
      <c r="M102" s="2394"/>
      <c r="N102" s="2394"/>
      <c r="O102" s="2395"/>
      <c r="P102" s="2394"/>
      <c r="Q102" s="2394"/>
      <c r="R102" s="2396"/>
    </row>
    <row r="103" spans="2:18" s="2368" customFormat="1">
      <c r="B103" s="2394"/>
      <c r="C103" s="2394"/>
      <c r="D103" s="2394"/>
      <c r="E103" s="2394"/>
      <c r="F103" s="2394"/>
      <c r="G103" s="2395"/>
      <c r="H103" s="2394"/>
      <c r="I103" s="2395"/>
      <c r="J103" s="2394"/>
      <c r="K103" s="2394"/>
      <c r="L103" s="2395"/>
      <c r="M103" s="2394"/>
      <c r="N103" s="2394"/>
      <c r="O103" s="2395"/>
      <c r="P103" s="2394"/>
      <c r="Q103" s="2394"/>
      <c r="R103" s="2396"/>
    </row>
    <row r="104" spans="2:18" s="2368" customFormat="1">
      <c r="B104" s="2394"/>
      <c r="C104" s="2394"/>
      <c r="D104" s="2394"/>
      <c r="E104" s="2394"/>
      <c r="F104" s="2394"/>
      <c r="G104" s="2395"/>
      <c r="H104" s="2394"/>
      <c r="I104" s="2395"/>
      <c r="J104" s="2394"/>
      <c r="K104" s="2394"/>
      <c r="L104" s="2395"/>
      <c r="M104" s="2394"/>
      <c r="N104" s="2394"/>
      <c r="O104" s="2395"/>
      <c r="P104" s="2394"/>
      <c r="Q104" s="2394"/>
      <c r="R104" s="2396"/>
    </row>
    <row r="105" spans="2:18" s="2368" customFormat="1">
      <c r="B105" s="2394"/>
      <c r="C105" s="2394"/>
      <c r="D105" s="2394"/>
      <c r="E105" s="2394"/>
      <c r="F105" s="2394"/>
      <c r="G105" s="2395"/>
      <c r="H105" s="2394"/>
      <c r="I105" s="2395"/>
      <c r="J105" s="2394"/>
      <c r="K105" s="2394"/>
      <c r="L105" s="2395"/>
      <c r="M105" s="2394"/>
      <c r="N105" s="2394"/>
      <c r="O105" s="2395"/>
      <c r="P105" s="2394"/>
      <c r="Q105" s="2394"/>
      <c r="R105" s="2396"/>
    </row>
    <row r="106" spans="2:18" s="2368" customFormat="1">
      <c r="B106" s="2394"/>
      <c r="C106" s="2394"/>
      <c r="D106" s="2394"/>
      <c r="E106" s="2394"/>
      <c r="F106" s="2394"/>
      <c r="G106" s="2395"/>
      <c r="H106" s="2394"/>
      <c r="I106" s="2395"/>
      <c r="J106" s="2394"/>
      <c r="K106" s="2394"/>
      <c r="L106" s="2395"/>
      <c r="M106" s="2394"/>
      <c r="N106" s="2394"/>
      <c r="O106" s="2395"/>
      <c r="P106" s="2394"/>
      <c r="Q106" s="2394"/>
      <c r="R106" s="2396"/>
    </row>
    <row r="107" spans="2:18" s="2368" customFormat="1">
      <c r="B107" s="2394"/>
      <c r="C107" s="2394"/>
      <c r="D107" s="2394"/>
      <c r="E107" s="2394"/>
      <c r="F107" s="2394"/>
      <c r="G107" s="2395"/>
      <c r="H107" s="2394"/>
      <c r="I107" s="2395"/>
      <c r="J107" s="2394"/>
      <c r="K107" s="2394"/>
      <c r="L107" s="2395"/>
      <c r="M107" s="2394"/>
      <c r="N107" s="2394"/>
      <c r="O107" s="2395"/>
      <c r="P107" s="2394"/>
      <c r="Q107" s="2394"/>
      <c r="R107" s="2396"/>
    </row>
    <row r="108" spans="2:18" s="2368" customFormat="1">
      <c r="B108" s="2394"/>
      <c r="C108" s="2394"/>
      <c r="D108" s="2394"/>
      <c r="E108" s="2394"/>
      <c r="F108" s="2394"/>
      <c r="G108" s="2395"/>
      <c r="H108" s="2394"/>
      <c r="I108" s="2395"/>
      <c r="J108" s="2394"/>
      <c r="K108" s="2394"/>
      <c r="L108" s="2395"/>
      <c r="M108" s="2394"/>
      <c r="N108" s="2394"/>
      <c r="O108" s="2395"/>
      <c r="P108" s="2394"/>
      <c r="Q108" s="2394"/>
      <c r="R108" s="2396"/>
    </row>
    <row r="109" spans="2:18" s="2368" customFormat="1">
      <c r="B109" s="2394"/>
      <c r="C109" s="2394"/>
      <c r="D109" s="2394"/>
      <c r="E109" s="2394"/>
      <c r="F109" s="2394"/>
      <c r="G109" s="2395"/>
      <c r="H109" s="2394"/>
      <c r="I109" s="2395"/>
      <c r="J109" s="2394"/>
      <c r="K109" s="2394"/>
      <c r="L109" s="2395"/>
      <c r="M109" s="2394"/>
      <c r="N109" s="2394"/>
      <c r="O109" s="2395"/>
      <c r="P109" s="2394"/>
      <c r="Q109" s="2394"/>
      <c r="R109" s="2396"/>
    </row>
    <row r="110" spans="2:18" s="2368" customFormat="1">
      <c r="B110" s="2394"/>
      <c r="C110" s="2394"/>
      <c r="D110" s="2394"/>
      <c r="E110" s="2394"/>
      <c r="F110" s="2394"/>
      <c r="G110" s="2395"/>
      <c r="H110" s="2394"/>
      <c r="I110" s="2395"/>
      <c r="J110" s="2394"/>
      <c r="K110" s="2394"/>
      <c r="L110" s="2395"/>
      <c r="M110" s="2394"/>
      <c r="N110" s="2394"/>
      <c r="O110" s="2395"/>
      <c r="P110" s="2394"/>
      <c r="Q110" s="2394"/>
      <c r="R110" s="2396"/>
    </row>
    <row r="111" spans="2:18" s="2368" customFormat="1">
      <c r="B111" s="2394"/>
      <c r="C111" s="2394"/>
      <c r="D111" s="2394"/>
      <c r="E111" s="2394"/>
      <c r="F111" s="2394"/>
      <c r="G111" s="2395"/>
      <c r="H111" s="2394"/>
      <c r="I111" s="2395"/>
      <c r="J111" s="2394"/>
      <c r="K111" s="2394"/>
      <c r="L111" s="2395"/>
      <c r="M111" s="2394"/>
      <c r="N111" s="2394"/>
      <c r="O111" s="2395"/>
      <c r="P111" s="2394"/>
      <c r="Q111" s="2394"/>
      <c r="R111" s="2396"/>
    </row>
    <row r="112" spans="2:18" s="2368" customFormat="1">
      <c r="B112" s="2394"/>
      <c r="C112" s="2394"/>
      <c r="D112" s="2394"/>
      <c r="E112" s="2394"/>
      <c r="F112" s="2394"/>
      <c r="G112" s="2395"/>
      <c r="H112" s="2394"/>
      <c r="I112" s="2395"/>
      <c r="J112" s="2394"/>
      <c r="K112" s="2394"/>
      <c r="L112" s="2395"/>
      <c r="M112" s="2394"/>
      <c r="N112" s="2394"/>
      <c r="O112" s="2395"/>
      <c r="P112" s="2394"/>
      <c r="Q112" s="2394"/>
      <c r="R112" s="2396"/>
    </row>
    <row r="113" spans="2:18" s="2368" customFormat="1">
      <c r="B113" s="2394"/>
      <c r="C113" s="2394"/>
      <c r="D113" s="2394"/>
      <c r="E113" s="2394"/>
      <c r="F113" s="2394"/>
      <c r="G113" s="2395"/>
      <c r="H113" s="2394"/>
      <c r="I113" s="2395"/>
      <c r="J113" s="2394"/>
      <c r="K113" s="2394"/>
      <c r="L113" s="2395"/>
      <c r="M113" s="2394"/>
      <c r="N113" s="2394"/>
      <c r="O113" s="2395"/>
      <c r="P113" s="2394"/>
      <c r="Q113" s="2394"/>
      <c r="R113" s="2396"/>
    </row>
    <row r="114" spans="2:18" s="2368" customFormat="1">
      <c r="B114" s="2394"/>
      <c r="C114" s="2394"/>
      <c r="D114" s="2394"/>
      <c r="E114" s="2394"/>
      <c r="F114" s="2394"/>
      <c r="G114" s="2395"/>
      <c r="H114" s="2394"/>
      <c r="I114" s="2395"/>
      <c r="J114" s="2394"/>
      <c r="K114" s="2394"/>
      <c r="L114" s="2395"/>
      <c r="M114" s="2394"/>
      <c r="N114" s="2394"/>
      <c r="O114" s="2395"/>
      <c r="P114" s="2394"/>
      <c r="Q114" s="2394"/>
      <c r="R114" s="2396"/>
    </row>
    <row r="115" spans="2:18" s="2368" customFormat="1">
      <c r="B115" s="2394"/>
      <c r="C115" s="2394"/>
      <c r="D115" s="2394"/>
      <c r="E115" s="2394"/>
      <c r="F115" s="2394"/>
      <c r="G115" s="2395"/>
      <c r="H115" s="2394"/>
      <c r="I115" s="2395"/>
      <c r="J115" s="2394"/>
      <c r="K115" s="2394"/>
      <c r="L115" s="2395"/>
      <c r="M115" s="2394"/>
      <c r="N115" s="2394"/>
      <c r="O115" s="2395"/>
      <c r="P115" s="2394"/>
      <c r="Q115" s="2394"/>
      <c r="R115" s="2396"/>
    </row>
    <row r="116" spans="2:18" s="2368" customFormat="1">
      <c r="B116" s="2394"/>
      <c r="C116" s="2394"/>
      <c r="D116" s="2394"/>
      <c r="E116" s="2394"/>
      <c r="F116" s="2394"/>
      <c r="G116" s="2395"/>
      <c r="H116" s="2394"/>
      <c r="I116" s="2395"/>
      <c r="J116" s="2394"/>
      <c r="K116" s="2394"/>
      <c r="L116" s="2395"/>
      <c r="M116" s="2394"/>
      <c r="N116" s="2394"/>
      <c r="O116" s="2395"/>
      <c r="P116" s="2394"/>
      <c r="Q116" s="2394"/>
      <c r="R116" s="2396"/>
    </row>
    <row r="117" spans="2:18" s="2368" customFormat="1">
      <c r="B117" s="2394"/>
      <c r="C117" s="2394"/>
      <c r="D117" s="2394"/>
      <c r="E117" s="2394"/>
      <c r="F117" s="2394"/>
      <c r="G117" s="2395"/>
      <c r="H117" s="2394"/>
      <c r="I117" s="2395"/>
      <c r="J117" s="2394"/>
      <c r="K117" s="2394"/>
      <c r="L117" s="2395"/>
      <c r="M117" s="2394"/>
      <c r="N117" s="2394"/>
      <c r="O117" s="2395"/>
      <c r="P117" s="2394"/>
      <c r="Q117" s="2394"/>
      <c r="R117" s="2396"/>
    </row>
    <row r="118" spans="2:18" s="2368" customFormat="1">
      <c r="B118" s="2394"/>
      <c r="C118" s="2394"/>
      <c r="D118" s="2394"/>
      <c r="E118" s="2394"/>
      <c r="F118" s="2394"/>
      <c r="G118" s="2395"/>
      <c r="H118" s="2394"/>
      <c r="I118" s="2395"/>
      <c r="J118" s="2394"/>
      <c r="K118" s="2394"/>
      <c r="L118" s="2395"/>
      <c r="M118" s="2394"/>
      <c r="N118" s="2394"/>
      <c r="O118" s="2395"/>
      <c r="P118" s="2394"/>
      <c r="Q118" s="2394"/>
      <c r="R118" s="2396"/>
    </row>
    <row r="119" spans="2:18" s="2368" customFormat="1">
      <c r="B119" s="2394"/>
      <c r="C119" s="2394"/>
      <c r="D119" s="2394"/>
      <c r="E119" s="2394"/>
      <c r="F119" s="2394"/>
      <c r="G119" s="2395"/>
      <c r="H119" s="2394"/>
      <c r="I119" s="2395"/>
      <c r="J119" s="2394"/>
      <c r="K119" s="2394"/>
      <c r="L119" s="2395"/>
      <c r="M119" s="2394"/>
      <c r="N119" s="2394"/>
      <c r="O119" s="2395"/>
      <c r="P119" s="2394"/>
      <c r="Q119" s="2394"/>
      <c r="R119" s="2396"/>
    </row>
    <row r="120" spans="2:18" s="2368" customFormat="1">
      <c r="B120" s="2394"/>
      <c r="C120" s="2394"/>
      <c r="D120" s="2394"/>
      <c r="E120" s="2394"/>
      <c r="F120" s="2394"/>
      <c r="G120" s="2395"/>
      <c r="H120" s="2394"/>
      <c r="I120" s="2395"/>
      <c r="J120" s="2394"/>
      <c r="K120" s="2394"/>
      <c r="L120" s="2395"/>
      <c r="M120" s="2394"/>
      <c r="N120" s="2394"/>
      <c r="O120" s="2395"/>
      <c r="P120" s="2394"/>
      <c r="Q120" s="2394"/>
      <c r="R120" s="2396"/>
    </row>
    <row r="121" spans="2:18" s="2368" customFormat="1">
      <c r="B121" s="2394"/>
      <c r="C121" s="2394"/>
      <c r="D121" s="2394"/>
      <c r="E121" s="2394"/>
      <c r="F121" s="2394"/>
      <c r="G121" s="2395"/>
      <c r="H121" s="2394"/>
      <c r="I121" s="2395"/>
      <c r="J121" s="2394"/>
      <c r="K121" s="2394"/>
      <c r="L121" s="2395"/>
      <c r="M121" s="2394"/>
      <c r="N121" s="2394"/>
      <c r="O121" s="2395"/>
      <c r="P121" s="2394"/>
      <c r="Q121" s="2394"/>
      <c r="R121" s="2396"/>
    </row>
    <row r="122" spans="2:18" s="2368" customFormat="1">
      <c r="B122" s="2394"/>
      <c r="C122" s="2394"/>
      <c r="D122" s="2394"/>
      <c r="E122" s="2394"/>
      <c r="F122" s="2394"/>
      <c r="G122" s="2395"/>
      <c r="H122" s="2394"/>
      <c r="I122" s="2395"/>
      <c r="J122" s="2394"/>
      <c r="K122" s="2394"/>
      <c r="L122" s="2395"/>
      <c r="M122" s="2394"/>
      <c r="N122" s="2394"/>
      <c r="O122" s="2395"/>
      <c r="P122" s="2394"/>
      <c r="Q122" s="2394"/>
      <c r="R122" s="2396"/>
    </row>
    <row r="123" spans="2:18" s="2368" customFormat="1">
      <c r="B123" s="2394"/>
      <c r="C123" s="2394"/>
      <c r="D123" s="2394"/>
      <c r="E123" s="2394"/>
      <c r="F123" s="2394"/>
      <c r="G123" s="2395"/>
      <c r="H123" s="2394"/>
      <c r="I123" s="2395"/>
      <c r="J123" s="2394"/>
      <c r="K123" s="2394"/>
      <c r="L123" s="2395"/>
      <c r="M123" s="2394"/>
      <c r="N123" s="2394"/>
      <c r="O123" s="2395"/>
      <c r="P123" s="2394"/>
      <c r="Q123" s="2394"/>
      <c r="R123" s="2396"/>
    </row>
    <row r="124" spans="2:18" s="2368" customFormat="1">
      <c r="B124" s="2394"/>
      <c r="C124" s="2394"/>
      <c r="D124" s="2394"/>
      <c r="E124" s="2394"/>
      <c r="F124" s="2394"/>
      <c r="G124" s="2395"/>
      <c r="H124" s="2394"/>
      <c r="I124" s="2395"/>
      <c r="J124" s="2394"/>
      <c r="K124" s="2394"/>
      <c r="L124" s="2395"/>
      <c r="M124" s="2394"/>
      <c r="N124" s="2394"/>
      <c r="O124" s="2395"/>
      <c r="P124" s="2394"/>
      <c r="Q124" s="2394"/>
      <c r="R124" s="2396"/>
    </row>
    <row r="125" spans="2:18" s="2368" customFormat="1">
      <c r="B125" s="2394"/>
      <c r="C125" s="2394"/>
      <c r="D125" s="2394"/>
      <c r="E125" s="2394"/>
      <c r="F125" s="2394"/>
      <c r="G125" s="2395"/>
      <c r="H125" s="2394"/>
      <c r="I125" s="2395"/>
      <c r="J125" s="2394"/>
      <c r="K125" s="2394"/>
      <c r="L125" s="2395"/>
      <c r="M125" s="2394"/>
      <c r="N125" s="2394"/>
      <c r="O125" s="2395"/>
      <c r="P125" s="2394"/>
      <c r="Q125" s="2394"/>
      <c r="R125" s="2396"/>
    </row>
    <row r="126" spans="2:18" s="2368" customFormat="1">
      <c r="B126" s="2394"/>
      <c r="C126" s="2394"/>
      <c r="D126" s="2394"/>
      <c r="E126" s="2394"/>
      <c r="F126" s="2394"/>
      <c r="G126" s="2395"/>
      <c r="H126" s="2394"/>
      <c r="I126" s="2395"/>
      <c r="J126" s="2394"/>
      <c r="K126" s="2394"/>
      <c r="L126" s="2395"/>
      <c r="M126" s="2394"/>
      <c r="N126" s="2394"/>
      <c r="O126" s="2395"/>
      <c r="P126" s="2394"/>
      <c r="Q126" s="2394"/>
      <c r="R126" s="2396"/>
    </row>
    <row r="127" spans="2:18" s="2368" customFormat="1">
      <c r="B127" s="2394"/>
      <c r="C127" s="2394"/>
      <c r="D127" s="2394"/>
      <c r="E127" s="2394"/>
      <c r="F127" s="2394"/>
      <c r="G127" s="2395"/>
      <c r="H127" s="2394"/>
      <c r="I127" s="2395"/>
      <c r="J127" s="2394"/>
      <c r="K127" s="2394"/>
      <c r="L127" s="2395"/>
      <c r="M127" s="2394"/>
      <c r="N127" s="2394"/>
      <c r="O127" s="2395"/>
      <c r="P127" s="2394"/>
      <c r="Q127" s="2394"/>
      <c r="R127" s="2396"/>
    </row>
    <row r="128" spans="2:18" s="2368" customFormat="1">
      <c r="B128" s="2394"/>
      <c r="C128" s="2394"/>
      <c r="D128" s="2394"/>
      <c r="E128" s="2394"/>
      <c r="F128" s="2394"/>
      <c r="G128" s="2395"/>
      <c r="H128" s="2394"/>
      <c r="I128" s="2395"/>
      <c r="J128" s="2394"/>
      <c r="K128" s="2394"/>
      <c r="L128" s="2395"/>
      <c r="M128" s="2394"/>
      <c r="N128" s="2394"/>
      <c r="O128" s="2395"/>
      <c r="P128" s="2394"/>
      <c r="Q128" s="2394"/>
      <c r="R128" s="2396"/>
    </row>
    <row r="129" spans="2:18" s="2368" customFormat="1">
      <c r="B129" s="2394"/>
      <c r="C129" s="2394"/>
      <c r="D129" s="2394"/>
      <c r="E129" s="2394"/>
      <c r="F129" s="2394"/>
      <c r="G129" s="2395"/>
      <c r="H129" s="2394"/>
      <c r="I129" s="2395"/>
      <c r="J129" s="2394"/>
      <c r="K129" s="2394"/>
      <c r="L129" s="2395"/>
      <c r="M129" s="2394"/>
      <c r="N129" s="2394"/>
      <c r="O129" s="2395"/>
      <c r="P129" s="2394"/>
      <c r="Q129" s="2394"/>
      <c r="R129" s="2396"/>
    </row>
    <row r="130" spans="2:18" s="2368" customFormat="1">
      <c r="B130" s="2394"/>
      <c r="C130" s="2394"/>
      <c r="D130" s="2394"/>
      <c r="E130" s="2394"/>
      <c r="F130" s="2394"/>
      <c r="G130" s="2395"/>
      <c r="H130" s="2394"/>
      <c r="I130" s="2395"/>
      <c r="J130" s="2394"/>
      <c r="K130" s="2394"/>
      <c r="L130" s="2395"/>
      <c r="M130" s="2394"/>
      <c r="N130" s="2394"/>
      <c r="O130" s="2395"/>
      <c r="P130" s="2394"/>
      <c r="Q130" s="2394"/>
      <c r="R130" s="2396"/>
    </row>
    <row r="131" spans="2:18" s="2368" customFormat="1">
      <c r="B131" s="2394"/>
      <c r="C131" s="2394"/>
      <c r="D131" s="2394"/>
      <c r="E131" s="2394"/>
      <c r="F131" s="2394"/>
      <c r="G131" s="2395"/>
      <c r="H131" s="2394"/>
      <c r="I131" s="2395"/>
      <c r="J131" s="2394"/>
      <c r="K131" s="2394"/>
      <c r="L131" s="2395"/>
      <c r="M131" s="2394"/>
      <c r="N131" s="2394"/>
      <c r="O131" s="2395"/>
      <c r="P131" s="2394"/>
      <c r="Q131" s="2394"/>
      <c r="R131" s="2396"/>
    </row>
    <row r="132" spans="2:18" s="2368" customFormat="1">
      <c r="B132" s="2394"/>
      <c r="C132" s="2394"/>
      <c r="D132" s="2394"/>
      <c r="E132" s="2394"/>
      <c r="F132" s="2394"/>
      <c r="G132" s="2395"/>
      <c r="H132" s="2394"/>
      <c r="I132" s="2395"/>
      <c r="J132" s="2394"/>
      <c r="K132" s="2394"/>
      <c r="L132" s="2395"/>
      <c r="M132" s="2394"/>
      <c r="N132" s="2394"/>
      <c r="O132" s="2395"/>
      <c r="P132" s="2394"/>
      <c r="Q132" s="2394"/>
      <c r="R132" s="2396"/>
    </row>
    <row r="133" spans="2:18" s="2368" customFormat="1">
      <c r="B133" s="2394"/>
      <c r="C133" s="2394"/>
      <c r="D133" s="2394"/>
      <c r="E133" s="2394"/>
      <c r="F133" s="2394"/>
      <c r="G133" s="2395"/>
      <c r="H133" s="2394"/>
      <c r="I133" s="2395"/>
      <c r="J133" s="2394"/>
      <c r="K133" s="2394"/>
      <c r="L133" s="2395"/>
      <c r="M133" s="2394"/>
      <c r="N133" s="2394"/>
      <c r="O133" s="2395"/>
      <c r="P133" s="2394"/>
      <c r="Q133" s="2394"/>
      <c r="R133" s="2396"/>
    </row>
    <row r="134" spans="2:18" s="2368" customFormat="1">
      <c r="B134" s="2394"/>
      <c r="C134" s="2394"/>
      <c r="D134" s="2394"/>
      <c r="E134" s="2394"/>
      <c r="F134" s="2394"/>
      <c r="G134" s="2395"/>
      <c r="H134" s="2394"/>
      <c r="I134" s="2395"/>
      <c r="J134" s="2394"/>
      <c r="K134" s="2394"/>
      <c r="L134" s="2395"/>
      <c r="M134" s="2394"/>
      <c r="N134" s="2394"/>
      <c r="O134" s="2395"/>
      <c r="P134" s="2394"/>
      <c r="Q134" s="2394"/>
      <c r="R134" s="2396"/>
    </row>
    <row r="135" spans="2:18" s="2368" customFormat="1">
      <c r="B135" s="2394"/>
      <c r="C135" s="2394"/>
      <c r="D135" s="2394"/>
      <c r="E135" s="2394"/>
      <c r="F135" s="2394"/>
      <c r="G135" s="2395"/>
      <c r="H135" s="2394"/>
      <c r="I135" s="2395"/>
      <c r="J135" s="2394"/>
      <c r="K135" s="2394"/>
      <c r="L135" s="2395"/>
      <c r="M135" s="2394"/>
      <c r="N135" s="2394"/>
      <c r="O135" s="2395"/>
      <c r="P135" s="2394"/>
      <c r="Q135" s="2394"/>
      <c r="R135" s="2396"/>
    </row>
    <row r="136" spans="2:18" s="2368" customFormat="1">
      <c r="B136" s="2394"/>
      <c r="C136" s="2394"/>
      <c r="D136" s="2394"/>
      <c r="E136" s="2394"/>
      <c r="F136" s="2394"/>
      <c r="G136" s="2395"/>
      <c r="H136" s="2394"/>
      <c r="I136" s="2395"/>
      <c r="J136" s="2394"/>
      <c r="K136" s="2394"/>
      <c r="L136" s="2395"/>
      <c r="M136" s="2394"/>
      <c r="N136" s="2394"/>
      <c r="O136" s="2395"/>
      <c r="P136" s="2394"/>
      <c r="Q136" s="2394"/>
      <c r="R136" s="2396"/>
    </row>
    <row r="137" spans="2:18" s="2368" customFormat="1">
      <c r="B137" s="2394"/>
      <c r="C137" s="2394"/>
      <c r="D137" s="2394"/>
      <c r="E137" s="2394"/>
      <c r="F137" s="2394"/>
      <c r="G137" s="2395"/>
      <c r="H137" s="2394"/>
      <c r="I137" s="2395"/>
      <c r="J137" s="2394"/>
      <c r="K137" s="2394"/>
      <c r="L137" s="2395"/>
      <c r="M137" s="2394"/>
      <c r="N137" s="2394"/>
      <c r="O137" s="2395"/>
      <c r="P137" s="2394"/>
      <c r="Q137" s="2394"/>
      <c r="R137" s="2396"/>
    </row>
    <row r="138" spans="2:18" s="2368" customFormat="1">
      <c r="B138" s="2394"/>
      <c r="C138" s="2394"/>
      <c r="D138" s="2394"/>
      <c r="E138" s="2394"/>
      <c r="F138" s="2394"/>
      <c r="G138" s="2395"/>
      <c r="H138" s="2394"/>
      <c r="I138" s="2395"/>
      <c r="J138" s="2394"/>
      <c r="K138" s="2394"/>
      <c r="L138" s="2395"/>
      <c r="M138" s="2394"/>
      <c r="N138" s="2394"/>
      <c r="O138" s="2395"/>
      <c r="P138" s="2394"/>
      <c r="Q138" s="2394"/>
      <c r="R138" s="2396"/>
    </row>
    <row r="139" spans="2:18" s="2368" customFormat="1">
      <c r="B139" s="2394"/>
      <c r="C139" s="2394"/>
      <c r="D139" s="2394"/>
      <c r="E139" s="2394"/>
      <c r="F139" s="2394"/>
      <c r="G139" s="2395"/>
      <c r="H139" s="2394"/>
      <c r="I139" s="2395"/>
      <c r="J139" s="2394"/>
      <c r="K139" s="2394"/>
      <c r="L139" s="2395"/>
      <c r="M139" s="2394"/>
      <c r="N139" s="2394"/>
      <c r="O139" s="2395"/>
      <c r="P139" s="2394"/>
      <c r="Q139" s="2394"/>
      <c r="R139" s="2396"/>
    </row>
    <row r="140" spans="2:18" s="2368" customFormat="1">
      <c r="B140" s="2394"/>
      <c r="C140" s="2394"/>
      <c r="D140" s="2394"/>
      <c r="E140" s="2394"/>
      <c r="F140" s="2394"/>
      <c r="G140" s="2395"/>
      <c r="H140" s="2394"/>
      <c r="I140" s="2395"/>
      <c r="J140" s="2394"/>
      <c r="K140" s="2394"/>
      <c r="L140" s="2395"/>
      <c r="M140" s="2394"/>
      <c r="N140" s="2394"/>
      <c r="O140" s="2395"/>
      <c r="P140" s="2394"/>
      <c r="Q140" s="2394"/>
      <c r="R140" s="2396"/>
    </row>
    <row r="141" spans="2:18" s="2368" customFormat="1">
      <c r="B141" s="2394"/>
      <c r="C141" s="2394"/>
      <c r="D141" s="2394"/>
      <c r="E141" s="2394"/>
      <c r="F141" s="2394"/>
      <c r="G141" s="2395"/>
      <c r="H141" s="2394"/>
      <c r="I141" s="2395"/>
      <c r="J141" s="2394"/>
      <c r="K141" s="2394"/>
      <c r="L141" s="2395"/>
      <c r="M141" s="2394"/>
      <c r="N141" s="2394"/>
      <c r="O141" s="2395"/>
      <c r="P141" s="2394"/>
      <c r="Q141" s="2394"/>
      <c r="R141" s="2396"/>
    </row>
    <row r="142" spans="2:18" s="2368" customFormat="1">
      <c r="B142" s="2394"/>
      <c r="C142" s="2394"/>
      <c r="D142" s="2394"/>
      <c r="E142" s="2394"/>
      <c r="F142" s="2394"/>
      <c r="G142" s="2395"/>
      <c r="H142" s="2394"/>
      <c r="I142" s="2395"/>
      <c r="J142" s="2394"/>
      <c r="K142" s="2394"/>
      <c r="L142" s="2395"/>
      <c r="M142" s="2394"/>
      <c r="N142" s="2394"/>
      <c r="O142" s="2395"/>
      <c r="P142" s="2394"/>
      <c r="Q142" s="2394"/>
      <c r="R142" s="2396"/>
    </row>
    <row r="143" spans="2:18" s="2368" customFormat="1">
      <c r="B143" s="2394"/>
      <c r="C143" s="2394"/>
      <c r="D143" s="2394"/>
      <c r="E143" s="2394"/>
      <c r="F143" s="2394"/>
      <c r="G143" s="2395"/>
      <c r="H143" s="2394"/>
      <c r="I143" s="2395"/>
      <c r="J143" s="2394"/>
      <c r="K143" s="2394"/>
      <c r="L143" s="2395"/>
      <c r="M143" s="2394"/>
      <c r="N143" s="2394"/>
      <c r="O143" s="2395"/>
      <c r="P143" s="2394"/>
      <c r="Q143" s="2394"/>
      <c r="R143" s="2396"/>
    </row>
    <row r="144" spans="2:18" s="2368" customFormat="1">
      <c r="B144" s="2394"/>
      <c r="C144" s="2394"/>
      <c r="D144" s="2394"/>
      <c r="E144" s="2394"/>
      <c r="F144" s="2394"/>
      <c r="G144" s="2395"/>
      <c r="H144" s="2394"/>
      <c r="I144" s="2395"/>
      <c r="J144" s="2394"/>
      <c r="K144" s="2394"/>
      <c r="L144" s="2395"/>
      <c r="M144" s="2394"/>
      <c r="N144" s="2394"/>
      <c r="O144" s="2395"/>
      <c r="P144" s="2394"/>
      <c r="Q144" s="2394"/>
      <c r="R144" s="2396"/>
    </row>
    <row r="145" spans="2:18" s="2368" customFormat="1">
      <c r="B145" s="2394"/>
      <c r="C145" s="2394"/>
      <c r="D145" s="2394"/>
      <c r="E145" s="2394"/>
      <c r="F145" s="2394"/>
      <c r="G145" s="2395"/>
      <c r="H145" s="2394"/>
      <c r="I145" s="2395"/>
      <c r="J145" s="2394"/>
      <c r="K145" s="2394"/>
      <c r="L145" s="2395"/>
      <c r="M145" s="2394"/>
      <c r="N145" s="2394"/>
      <c r="O145" s="2395"/>
      <c r="P145" s="2394"/>
      <c r="Q145" s="2394"/>
      <c r="R145" s="2396"/>
    </row>
    <row r="146" spans="2:18" s="2368" customFormat="1">
      <c r="B146" s="2394"/>
      <c r="C146" s="2394"/>
      <c r="D146" s="2394"/>
      <c r="E146" s="2394"/>
      <c r="F146" s="2394"/>
      <c r="G146" s="2395"/>
      <c r="H146" s="2394"/>
      <c r="I146" s="2395"/>
      <c r="J146" s="2394"/>
      <c r="K146" s="2394"/>
      <c r="L146" s="2395"/>
      <c r="M146" s="2394"/>
      <c r="N146" s="2394"/>
      <c r="O146" s="2395"/>
      <c r="P146" s="2394"/>
      <c r="Q146" s="2394"/>
      <c r="R146" s="2396"/>
    </row>
    <row r="147" spans="2:18" s="2368" customFormat="1">
      <c r="B147" s="2394"/>
      <c r="C147" s="2394"/>
      <c r="D147" s="2394"/>
      <c r="E147" s="2394"/>
      <c r="F147" s="2394"/>
      <c r="G147" s="2395"/>
      <c r="H147" s="2394"/>
      <c r="I147" s="2395"/>
      <c r="J147" s="2394"/>
      <c r="K147" s="2394"/>
      <c r="L147" s="2395"/>
      <c r="M147" s="2394"/>
      <c r="N147" s="2394"/>
      <c r="O147" s="2395"/>
      <c r="P147" s="2394"/>
      <c r="Q147" s="2394"/>
      <c r="R147" s="2396"/>
    </row>
    <row r="148" spans="2:18" s="2368" customFormat="1">
      <c r="B148" s="2394"/>
      <c r="C148" s="2394"/>
      <c r="D148" s="2394"/>
      <c r="E148" s="2394"/>
      <c r="F148" s="2394"/>
      <c r="G148" s="2395"/>
      <c r="H148" s="2394"/>
      <c r="I148" s="2395"/>
      <c r="J148" s="2394"/>
      <c r="K148" s="2394"/>
      <c r="L148" s="2395"/>
      <c r="M148" s="2394"/>
      <c r="N148" s="2394"/>
      <c r="O148" s="2395"/>
      <c r="P148" s="2394"/>
      <c r="Q148" s="2394"/>
      <c r="R148" s="2396"/>
    </row>
    <row r="149" spans="2:18" s="2368" customFormat="1">
      <c r="B149" s="2394"/>
      <c r="C149" s="2394"/>
      <c r="D149" s="2394"/>
      <c r="E149" s="2394"/>
      <c r="F149" s="2394"/>
      <c r="G149" s="2395"/>
      <c r="H149" s="2394"/>
      <c r="I149" s="2395"/>
      <c r="J149" s="2394"/>
      <c r="K149" s="2394"/>
      <c r="L149" s="2395"/>
      <c r="M149" s="2394"/>
      <c r="N149" s="2394"/>
      <c r="O149" s="2395"/>
      <c r="P149" s="2394"/>
      <c r="Q149" s="2394"/>
      <c r="R149" s="2396"/>
    </row>
    <row r="150" spans="2:18" s="2368" customFormat="1">
      <c r="B150" s="2394"/>
      <c r="C150" s="2394"/>
      <c r="D150" s="2394"/>
      <c r="E150" s="2394"/>
      <c r="F150" s="2394"/>
      <c r="G150" s="2395"/>
      <c r="H150" s="2394"/>
      <c r="I150" s="2395"/>
      <c r="J150" s="2394"/>
      <c r="K150" s="2394"/>
      <c r="L150" s="2395"/>
      <c r="M150" s="2394"/>
      <c r="N150" s="2394"/>
      <c r="O150" s="2395"/>
      <c r="P150" s="2394"/>
      <c r="Q150" s="2394"/>
      <c r="R150" s="2396"/>
    </row>
    <row r="151" spans="2:18" s="2368" customFormat="1">
      <c r="B151" s="2394"/>
      <c r="C151" s="2394"/>
      <c r="D151" s="2394"/>
      <c r="E151" s="2394"/>
      <c r="F151" s="2394"/>
      <c r="G151" s="2395"/>
      <c r="H151" s="2394"/>
      <c r="I151" s="2395"/>
      <c r="J151" s="2394"/>
      <c r="K151" s="2394"/>
      <c r="L151" s="2395"/>
      <c r="M151" s="2394"/>
      <c r="N151" s="2394"/>
      <c r="O151" s="2395"/>
      <c r="P151" s="2394"/>
      <c r="Q151" s="2394"/>
      <c r="R151" s="2396"/>
    </row>
    <row r="152" spans="2:18" s="2368" customFormat="1">
      <c r="B152" s="2394"/>
      <c r="C152" s="2394"/>
      <c r="D152" s="2394"/>
      <c r="E152" s="2394"/>
      <c r="F152" s="2394"/>
      <c r="G152" s="2395"/>
      <c r="H152" s="2394"/>
      <c r="I152" s="2395"/>
      <c r="J152" s="2394"/>
      <c r="K152" s="2394"/>
      <c r="L152" s="2395"/>
      <c r="M152" s="2394"/>
      <c r="N152" s="2394"/>
      <c r="O152" s="2395"/>
      <c r="P152" s="2394"/>
      <c r="Q152" s="2394"/>
      <c r="R152" s="2396"/>
    </row>
    <row r="153" spans="2:18" s="2368" customFormat="1">
      <c r="B153" s="2394"/>
      <c r="C153" s="2394"/>
      <c r="D153" s="2394"/>
      <c r="E153" s="2394"/>
      <c r="F153" s="2394"/>
      <c r="G153" s="2395"/>
      <c r="H153" s="2394"/>
      <c r="I153" s="2395"/>
      <c r="J153" s="2394"/>
      <c r="K153" s="2394"/>
      <c r="L153" s="2395"/>
      <c r="M153" s="2394"/>
      <c r="N153" s="2394"/>
      <c r="O153" s="2395"/>
      <c r="P153" s="2394"/>
      <c r="Q153" s="2394"/>
      <c r="R153" s="2396"/>
    </row>
    <row r="154" spans="2:18" s="2368" customFormat="1">
      <c r="B154" s="2394"/>
      <c r="C154" s="2394"/>
      <c r="D154" s="2394"/>
      <c r="E154" s="2394"/>
      <c r="F154" s="2394"/>
      <c r="G154" s="2395"/>
      <c r="H154" s="2394"/>
      <c r="I154" s="2395"/>
      <c r="J154" s="2394"/>
      <c r="K154" s="2394"/>
      <c r="L154" s="2395"/>
      <c r="M154" s="2394"/>
      <c r="N154" s="2394"/>
      <c r="O154" s="2395"/>
      <c r="P154" s="2394"/>
      <c r="Q154" s="2394"/>
      <c r="R154" s="2396"/>
    </row>
    <row r="155" spans="2:18" s="2368" customFormat="1">
      <c r="B155" s="2394"/>
      <c r="C155" s="2394"/>
      <c r="D155" s="2394"/>
      <c r="E155" s="2394"/>
      <c r="F155" s="2394"/>
      <c r="G155" s="2395"/>
      <c r="H155" s="2394"/>
      <c r="I155" s="2395"/>
      <c r="J155" s="2394"/>
      <c r="K155" s="2394"/>
      <c r="L155" s="2395"/>
      <c r="M155" s="2394"/>
      <c r="N155" s="2394"/>
      <c r="O155" s="2395"/>
      <c r="P155" s="2394"/>
      <c r="Q155" s="2394"/>
      <c r="R155" s="2396"/>
    </row>
    <row r="156" spans="2:18" s="2368" customFormat="1">
      <c r="B156" s="2394"/>
      <c r="C156" s="2394"/>
      <c r="D156" s="2394"/>
      <c r="E156" s="2394"/>
      <c r="F156" s="2394"/>
      <c r="G156" s="2395"/>
      <c r="H156" s="2394"/>
      <c r="I156" s="2395"/>
      <c r="J156" s="2394"/>
      <c r="K156" s="2394"/>
      <c r="L156" s="2395"/>
      <c r="M156" s="2394"/>
      <c r="N156" s="2394"/>
      <c r="O156" s="2395"/>
      <c r="P156" s="2394"/>
      <c r="Q156" s="2394"/>
      <c r="R156" s="2396"/>
    </row>
    <row r="157" spans="2:18" s="2368" customFormat="1">
      <c r="B157" s="2394"/>
      <c r="C157" s="2394"/>
      <c r="D157" s="2394"/>
      <c r="E157" s="2394"/>
      <c r="F157" s="2394"/>
      <c r="G157" s="2395"/>
      <c r="H157" s="2394"/>
      <c r="I157" s="2395"/>
      <c r="J157" s="2394"/>
      <c r="K157" s="2394"/>
      <c r="L157" s="2395"/>
      <c r="M157" s="2394"/>
      <c r="N157" s="2394"/>
      <c r="O157" s="2395"/>
      <c r="P157" s="2394"/>
      <c r="Q157" s="2394"/>
      <c r="R157" s="2396"/>
    </row>
    <row r="158" spans="2:18" s="2368" customFormat="1">
      <c r="B158" s="2394"/>
      <c r="C158" s="2394"/>
      <c r="D158" s="2394"/>
      <c r="E158" s="2394"/>
      <c r="F158" s="2394"/>
      <c r="G158" s="2395"/>
      <c r="H158" s="2394"/>
      <c r="I158" s="2395"/>
      <c r="J158" s="2394"/>
      <c r="K158" s="2394"/>
      <c r="L158" s="2395"/>
      <c r="M158" s="2394"/>
      <c r="N158" s="2394"/>
      <c r="O158" s="2395"/>
      <c r="P158" s="2394"/>
      <c r="Q158" s="2394"/>
      <c r="R158" s="2396"/>
    </row>
    <row r="159" spans="2:18" s="2368" customFormat="1">
      <c r="B159" s="2394"/>
      <c r="C159" s="2394"/>
      <c r="D159" s="2394"/>
      <c r="E159" s="2394"/>
      <c r="F159" s="2394"/>
      <c r="G159" s="2395"/>
      <c r="H159" s="2394"/>
      <c r="I159" s="2395"/>
      <c r="J159" s="2394"/>
      <c r="K159" s="2394"/>
      <c r="L159" s="2395"/>
      <c r="M159" s="2394"/>
      <c r="N159" s="2394"/>
      <c r="O159" s="2395"/>
      <c r="P159" s="2394"/>
      <c r="Q159" s="2394"/>
      <c r="R159" s="2396"/>
    </row>
    <row r="160" spans="2:18" s="2368" customFormat="1">
      <c r="B160" s="2394"/>
      <c r="C160" s="2394"/>
      <c r="D160" s="2394"/>
      <c r="E160" s="2394"/>
      <c r="F160" s="2394"/>
      <c r="G160" s="2395"/>
      <c r="H160" s="2394"/>
      <c r="I160" s="2395"/>
      <c r="J160" s="2394"/>
      <c r="K160" s="2394"/>
      <c r="L160" s="2395"/>
      <c r="M160" s="2394"/>
      <c r="N160" s="2394"/>
      <c r="O160" s="2395"/>
      <c r="P160" s="2394"/>
      <c r="Q160" s="2394"/>
      <c r="R160" s="2396"/>
    </row>
    <row r="161" spans="2:18" s="2368" customFormat="1">
      <c r="B161" s="2394"/>
      <c r="C161" s="2394"/>
      <c r="D161" s="2394"/>
      <c r="E161" s="2394"/>
      <c r="F161" s="2394"/>
      <c r="G161" s="2395"/>
      <c r="H161" s="2394"/>
      <c r="I161" s="2395"/>
      <c r="J161" s="2394"/>
      <c r="K161" s="2394"/>
      <c r="L161" s="2395"/>
      <c r="M161" s="2394"/>
      <c r="N161" s="2394"/>
      <c r="O161" s="2395"/>
      <c r="P161" s="2394"/>
      <c r="Q161" s="2394"/>
      <c r="R161" s="2396"/>
    </row>
    <row r="162" spans="2:18" s="2368" customFormat="1">
      <c r="B162" s="2394"/>
      <c r="C162" s="2394"/>
      <c r="D162" s="2394"/>
      <c r="E162" s="2394"/>
      <c r="F162" s="2394"/>
      <c r="G162" s="2395"/>
      <c r="H162" s="2394"/>
      <c r="I162" s="2395"/>
      <c r="J162" s="2394"/>
      <c r="K162" s="2394"/>
      <c r="L162" s="2395"/>
      <c r="M162" s="2394"/>
      <c r="N162" s="2394"/>
      <c r="O162" s="2395"/>
      <c r="P162" s="2394"/>
      <c r="Q162" s="2394"/>
      <c r="R162" s="2396"/>
    </row>
    <row r="163" spans="2:18" s="2368" customFormat="1">
      <c r="B163" s="2394"/>
      <c r="C163" s="2394"/>
      <c r="D163" s="2394"/>
      <c r="E163" s="2394"/>
      <c r="F163" s="2394"/>
      <c r="G163" s="2395"/>
      <c r="H163" s="2394"/>
      <c r="I163" s="2395"/>
      <c r="J163" s="2394"/>
      <c r="K163" s="2394"/>
      <c r="L163" s="2395"/>
      <c r="M163" s="2394"/>
      <c r="N163" s="2394"/>
      <c r="O163" s="2395"/>
      <c r="P163" s="2394"/>
      <c r="Q163" s="2394"/>
      <c r="R163" s="2396"/>
    </row>
    <row r="164" spans="2:18" s="2368" customFormat="1">
      <c r="B164" s="2394"/>
      <c r="C164" s="2394"/>
      <c r="D164" s="2394"/>
      <c r="E164" s="2394"/>
      <c r="F164" s="2394"/>
      <c r="G164" s="2395"/>
      <c r="H164" s="2394"/>
      <c r="I164" s="2395"/>
      <c r="J164" s="2394"/>
      <c r="K164" s="2394"/>
      <c r="L164" s="2395"/>
      <c r="M164" s="2394"/>
      <c r="N164" s="2394"/>
      <c r="O164" s="2395"/>
      <c r="P164" s="2394"/>
      <c r="Q164" s="2394"/>
      <c r="R164" s="2396"/>
    </row>
    <row r="165" spans="2:18" s="2368" customFormat="1">
      <c r="B165" s="2394"/>
      <c r="C165" s="2394"/>
      <c r="D165" s="2394"/>
      <c r="E165" s="2394"/>
      <c r="F165" s="2394"/>
      <c r="G165" s="2395"/>
      <c r="H165" s="2394"/>
      <c r="I165" s="2395"/>
      <c r="J165" s="2394"/>
      <c r="K165" s="2394"/>
      <c r="L165" s="2395"/>
      <c r="M165" s="2394"/>
      <c r="N165" s="2394"/>
      <c r="O165" s="2395"/>
      <c r="P165" s="2394"/>
      <c r="Q165" s="2394"/>
      <c r="R165" s="2396"/>
    </row>
    <row r="166" spans="2:18" s="2368" customFormat="1">
      <c r="B166" s="2394"/>
      <c r="C166" s="2394"/>
      <c r="D166" s="2394"/>
      <c r="E166" s="2394"/>
      <c r="F166" s="2394"/>
      <c r="G166" s="2395"/>
      <c r="H166" s="2394"/>
      <c r="I166" s="2395"/>
      <c r="J166" s="2394"/>
      <c r="K166" s="2394"/>
      <c r="L166" s="2395"/>
      <c r="M166" s="2394"/>
      <c r="N166" s="2394"/>
      <c r="O166" s="2395"/>
      <c r="P166" s="2394"/>
      <c r="Q166" s="2394"/>
      <c r="R166" s="2396"/>
    </row>
    <row r="167" spans="2:18" s="2368" customFormat="1">
      <c r="B167" s="2394"/>
      <c r="C167" s="2394"/>
      <c r="D167" s="2394"/>
      <c r="E167" s="2394"/>
      <c r="F167" s="2394"/>
      <c r="G167" s="2395"/>
      <c r="H167" s="2394"/>
      <c r="I167" s="2395"/>
      <c r="J167" s="2394"/>
      <c r="K167" s="2394"/>
      <c r="L167" s="2395"/>
      <c r="M167" s="2394"/>
      <c r="N167" s="2394"/>
      <c r="O167" s="2395"/>
      <c r="P167" s="2394"/>
      <c r="Q167" s="2394"/>
      <c r="R167" s="2396"/>
    </row>
    <row r="168" spans="2:18" s="2368" customFormat="1">
      <c r="B168" s="2394"/>
      <c r="C168" s="2394"/>
      <c r="D168" s="2394"/>
      <c r="E168" s="2394"/>
      <c r="F168" s="2394"/>
      <c r="G168" s="2395"/>
      <c r="H168" s="2394"/>
      <c r="I168" s="2395"/>
      <c r="J168" s="2394"/>
      <c r="K168" s="2394"/>
      <c r="L168" s="2395"/>
      <c r="M168" s="2394"/>
      <c r="N168" s="2394"/>
      <c r="O168" s="2395"/>
      <c r="P168" s="2394"/>
      <c r="Q168" s="2394"/>
      <c r="R168" s="2396"/>
    </row>
    <row r="169" spans="2:18" s="2368" customFormat="1">
      <c r="B169" s="2394"/>
      <c r="C169" s="2394"/>
      <c r="D169" s="2394"/>
      <c r="E169" s="2394"/>
      <c r="F169" s="2394"/>
      <c r="G169" s="2395"/>
      <c r="H169" s="2394"/>
      <c r="I169" s="2395"/>
      <c r="J169" s="2394"/>
      <c r="K169" s="2394"/>
      <c r="L169" s="2395"/>
      <c r="M169" s="2394"/>
      <c r="N169" s="2394"/>
      <c r="O169" s="2395"/>
      <c r="P169" s="2394"/>
      <c r="Q169" s="2394"/>
      <c r="R169" s="2396"/>
    </row>
    <row r="170" spans="2:18" s="2368" customFormat="1">
      <c r="B170" s="2394"/>
      <c r="C170" s="2394"/>
      <c r="D170" s="2394"/>
      <c r="E170" s="2394"/>
      <c r="F170" s="2394"/>
      <c r="G170" s="2395"/>
      <c r="H170" s="2394"/>
      <c r="I170" s="2395"/>
      <c r="J170" s="2394"/>
      <c r="K170" s="2394"/>
      <c r="L170" s="2395"/>
      <c r="M170" s="2394"/>
      <c r="N170" s="2394"/>
      <c r="O170" s="2395"/>
      <c r="P170" s="2394"/>
      <c r="Q170" s="2394"/>
      <c r="R170" s="2396"/>
    </row>
    <row r="171" spans="2:18" s="2368" customFormat="1">
      <c r="B171" s="2394"/>
      <c r="C171" s="2394"/>
      <c r="D171" s="2394"/>
      <c r="E171" s="2394"/>
      <c r="F171" s="2394"/>
      <c r="G171" s="2395"/>
      <c r="H171" s="2394"/>
      <c r="I171" s="2395"/>
      <c r="J171" s="2394"/>
      <c r="K171" s="2394"/>
      <c r="L171" s="2395"/>
      <c r="M171" s="2394"/>
      <c r="N171" s="2394"/>
      <c r="O171" s="2395"/>
      <c r="P171" s="2394"/>
      <c r="Q171" s="2394"/>
      <c r="R171" s="2396"/>
    </row>
    <row r="172" spans="2:18" s="2368" customFormat="1">
      <c r="B172" s="2394"/>
      <c r="C172" s="2394"/>
      <c r="D172" s="2394"/>
      <c r="E172" s="2394"/>
      <c r="F172" s="2394"/>
      <c r="G172" s="2395"/>
      <c r="H172" s="2394"/>
      <c r="I172" s="2395"/>
      <c r="J172" s="2394"/>
      <c r="K172" s="2394"/>
      <c r="L172" s="2395"/>
      <c r="M172" s="2394"/>
      <c r="N172" s="2394"/>
      <c r="O172" s="2395"/>
      <c r="P172" s="2394"/>
      <c r="Q172" s="2394"/>
      <c r="R172" s="2396"/>
    </row>
    <row r="173" spans="2:18" s="2368" customFormat="1">
      <c r="B173" s="2394"/>
      <c r="C173" s="2394"/>
      <c r="D173" s="2394"/>
      <c r="E173" s="2394"/>
      <c r="F173" s="2394"/>
      <c r="G173" s="2395"/>
      <c r="H173" s="2394"/>
      <c r="I173" s="2395"/>
      <c r="J173" s="2394"/>
      <c r="K173" s="2394"/>
      <c r="L173" s="2395"/>
      <c r="M173" s="2394"/>
      <c r="N173" s="2394"/>
      <c r="O173" s="2395"/>
      <c r="P173" s="2394"/>
      <c r="Q173" s="2394"/>
      <c r="R173" s="2396"/>
    </row>
    <row r="174" spans="2:18" s="2368" customFormat="1">
      <c r="B174" s="2394"/>
      <c r="C174" s="2394"/>
      <c r="D174" s="2394"/>
      <c r="E174" s="2394"/>
      <c r="F174" s="2394"/>
      <c r="G174" s="2395"/>
      <c r="H174" s="2394"/>
      <c r="I174" s="2395"/>
      <c r="J174" s="2394"/>
      <c r="K174" s="2394"/>
      <c r="L174" s="2395"/>
      <c r="M174" s="2394"/>
      <c r="N174" s="2394"/>
      <c r="O174" s="2395"/>
      <c r="P174" s="2394"/>
      <c r="Q174" s="2394"/>
      <c r="R174" s="2396"/>
    </row>
    <row r="175" spans="2:18" s="2368" customFormat="1">
      <c r="B175" s="2394"/>
      <c r="C175" s="2394"/>
      <c r="D175" s="2394"/>
      <c r="E175" s="2394"/>
      <c r="F175" s="2394"/>
      <c r="G175" s="2395"/>
      <c r="H175" s="2394"/>
      <c r="I175" s="2395"/>
      <c r="J175" s="2394"/>
      <c r="K175" s="2394"/>
      <c r="L175" s="2395"/>
      <c r="M175" s="2394"/>
      <c r="N175" s="2394"/>
      <c r="O175" s="2395"/>
      <c r="P175" s="2394"/>
      <c r="Q175" s="2394"/>
      <c r="R175" s="2396"/>
    </row>
    <row r="176" spans="2:18" s="2368" customFormat="1">
      <c r="B176" s="2394"/>
      <c r="C176" s="2394"/>
      <c r="D176" s="2394"/>
      <c r="E176" s="2394"/>
      <c r="F176" s="2394"/>
      <c r="G176" s="2395"/>
      <c r="H176" s="2394"/>
      <c r="I176" s="2395"/>
      <c r="J176" s="2394"/>
      <c r="K176" s="2394"/>
      <c r="L176" s="2395"/>
      <c r="M176" s="2394"/>
      <c r="N176" s="2394"/>
      <c r="O176" s="2395"/>
      <c r="P176" s="2394"/>
      <c r="Q176" s="2394"/>
      <c r="R176" s="2396"/>
    </row>
    <row r="177" spans="1:18" s="2368" customFormat="1">
      <c r="B177" s="2394"/>
      <c r="C177" s="2394"/>
      <c r="D177" s="2394"/>
      <c r="E177" s="2394"/>
      <c r="F177" s="2394"/>
      <c r="G177" s="2395"/>
      <c r="H177" s="2394"/>
      <c r="I177" s="2395"/>
      <c r="J177" s="2394"/>
      <c r="K177" s="2394"/>
      <c r="L177" s="2395"/>
      <c r="M177" s="2394"/>
      <c r="N177" s="2394"/>
      <c r="O177" s="2395"/>
      <c r="P177" s="2394"/>
      <c r="Q177" s="2394"/>
      <c r="R177" s="2396"/>
    </row>
    <row r="178" spans="1:18" s="2368" customFormat="1">
      <c r="B178" s="2394"/>
      <c r="C178" s="2394"/>
      <c r="D178" s="2394"/>
      <c r="E178" s="2394"/>
      <c r="F178" s="2394"/>
      <c r="G178" s="2395"/>
      <c r="H178" s="2394"/>
      <c r="I178" s="2395"/>
      <c r="J178" s="2394"/>
      <c r="K178" s="2394"/>
      <c r="L178" s="2395"/>
      <c r="M178" s="2394"/>
      <c r="N178" s="2394"/>
      <c r="O178" s="2395"/>
      <c r="P178" s="2394"/>
      <c r="Q178" s="2394"/>
      <c r="R178" s="2396"/>
    </row>
    <row r="179" spans="1:18" s="2368" customFormat="1">
      <c r="B179" s="2394"/>
      <c r="C179" s="2394"/>
      <c r="D179" s="2394"/>
      <c r="E179" s="2394"/>
      <c r="F179" s="2394"/>
      <c r="G179" s="2395"/>
      <c r="H179" s="2394"/>
      <c r="I179" s="2395"/>
      <c r="J179" s="2394"/>
      <c r="K179" s="2394"/>
      <c r="L179" s="2395"/>
      <c r="M179" s="2394"/>
      <c r="N179" s="2394"/>
      <c r="O179" s="2395"/>
      <c r="P179" s="2394"/>
      <c r="Q179" s="2394"/>
      <c r="R179" s="2396"/>
    </row>
    <row r="180" spans="1:18" s="2368" customFormat="1">
      <c r="B180" s="2394"/>
      <c r="C180" s="2394"/>
      <c r="D180" s="2394"/>
      <c r="E180" s="2394"/>
      <c r="F180" s="2394"/>
      <c r="G180" s="2395"/>
      <c r="H180" s="2394"/>
      <c r="I180" s="2395"/>
      <c r="J180" s="2394"/>
      <c r="K180" s="2394"/>
      <c r="L180" s="2395"/>
      <c r="M180" s="2394"/>
      <c r="N180" s="2394"/>
      <c r="O180" s="2395"/>
      <c r="P180" s="2394"/>
      <c r="Q180" s="2394"/>
      <c r="R180" s="2396"/>
    </row>
    <row r="181" spans="1:18" s="2368" customFormat="1">
      <c r="B181" s="2394"/>
      <c r="C181" s="2394"/>
      <c r="D181" s="2394"/>
      <c r="E181" s="2394"/>
      <c r="F181" s="2394"/>
      <c r="G181" s="2395"/>
      <c r="H181" s="2394"/>
      <c r="I181" s="2395"/>
      <c r="J181" s="2394"/>
      <c r="K181" s="2394"/>
      <c r="L181" s="2395"/>
      <c r="M181" s="2394"/>
      <c r="N181" s="2394"/>
      <c r="O181" s="2395"/>
      <c r="P181" s="2394"/>
      <c r="Q181" s="2394"/>
      <c r="R181" s="2396"/>
    </row>
    <row r="182" spans="1:18" s="2368" customFormat="1">
      <c r="B182" s="2394"/>
      <c r="C182" s="2394"/>
      <c r="D182" s="2394"/>
      <c r="E182" s="2394"/>
      <c r="F182" s="2394"/>
      <c r="G182" s="2395"/>
      <c r="H182" s="2394"/>
      <c r="I182" s="2395"/>
      <c r="J182" s="2394"/>
      <c r="K182" s="2394"/>
      <c r="L182" s="2395"/>
      <c r="M182" s="2394"/>
      <c r="N182" s="2394"/>
      <c r="O182" s="2395"/>
      <c r="P182" s="2394"/>
      <c r="Q182" s="2394"/>
      <c r="R182" s="2396"/>
    </row>
    <row r="183" spans="1:18" s="2368" customFormat="1">
      <c r="B183" s="2394"/>
      <c r="C183" s="2394"/>
      <c r="D183" s="2394"/>
      <c r="E183" s="2394"/>
      <c r="F183" s="2394"/>
      <c r="G183" s="2395"/>
      <c r="H183" s="2394"/>
      <c r="I183" s="2395"/>
      <c r="J183" s="2394"/>
      <c r="K183" s="2394"/>
      <c r="L183" s="2395"/>
      <c r="M183" s="2394"/>
      <c r="N183" s="2394"/>
      <c r="O183" s="2395"/>
      <c r="P183" s="2394"/>
      <c r="Q183" s="2394"/>
      <c r="R183" s="2396"/>
    </row>
    <row r="184" spans="1:18" s="2368" customFormat="1">
      <c r="B184" s="2394"/>
      <c r="C184" s="2394"/>
      <c r="D184" s="2394"/>
      <c r="E184" s="2394"/>
      <c r="F184" s="2394"/>
      <c r="G184" s="2395"/>
      <c r="H184" s="2394"/>
      <c r="I184" s="2395"/>
      <c r="J184" s="2394"/>
      <c r="K184" s="2394"/>
      <c r="L184" s="2395"/>
      <c r="M184" s="2394"/>
      <c r="N184" s="2394"/>
      <c r="O184" s="2395"/>
      <c r="P184" s="2394"/>
      <c r="Q184" s="2394"/>
      <c r="R184" s="2396"/>
    </row>
    <row r="185" spans="1:18" s="2368"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8"/>
      <c r="B186" s="2394"/>
      <c r="C186" s="2394"/>
      <c r="E186" s="2394"/>
      <c r="F186" s="2394"/>
      <c r="G186" s="2395"/>
    </row>
    <row r="187" spans="1:18">
      <c r="A187" s="2368"/>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47850.3</v>
      </c>
      <c r="C1" s="1744"/>
      <c r="D1" s="1744"/>
      <c r="E1" s="1744"/>
      <c r="F1" s="1744"/>
      <c r="G1" s="1742"/>
    </row>
    <row r="2" spans="1:10" ht="16.5">
      <c r="A2" s="1745" t="s">
        <v>1353</v>
      </c>
      <c r="B2" s="1745">
        <f>SUM(C14:C23)</f>
        <v>34445.57</v>
      </c>
      <c r="C2" s="1744"/>
      <c r="D2" s="1744"/>
      <c r="E2" s="1744"/>
      <c r="F2" s="1744"/>
      <c r="G2" s="1742"/>
    </row>
    <row r="3" spans="1:10" ht="16.5">
      <c r="A3" s="1745" t="s">
        <v>1362</v>
      </c>
      <c r="B3" s="1746">
        <f>项目基本情况!D3</f>
        <v>43116</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81054</v>
      </c>
      <c r="C5" s="1745">
        <f ca="1">ROUND(B5*10000/$B$1,0)</f>
        <v>16939</v>
      </c>
      <c r="D5" s="1745">
        <f ca="1">ROUND(B5*10000/$B$2,0)</f>
        <v>23531</v>
      </c>
      <c r="E5" s="1744"/>
      <c r="F5" s="1742"/>
      <c r="G5" s="1742"/>
    </row>
    <row r="6" spans="1:10" ht="16.5">
      <c r="A6" s="1745" t="s">
        <v>1356</v>
      </c>
      <c r="B6" s="1745">
        <f>SUM(G14:G23)</f>
        <v>0</v>
      </c>
      <c r="C6" s="1745">
        <f>ROUND(B6*10000/$B$1,0)</f>
        <v>0</v>
      </c>
      <c r="D6" s="1745">
        <f>ROUND(B6*10000/$B$2,0)</f>
        <v>0</v>
      </c>
      <c r="E6" s="1744"/>
      <c r="F6" s="1742"/>
      <c r="G6" s="1742"/>
    </row>
    <row r="7" spans="1:10" ht="16.5">
      <c r="A7" s="1745" t="s">
        <v>1364</v>
      </c>
      <c r="B7" s="1745">
        <f ca="1">SUM(H14:H23)</f>
        <v>81054</v>
      </c>
      <c r="C7" s="1745">
        <f ca="1">ROUND(B7*10000/$B$1,0)</f>
        <v>16939</v>
      </c>
      <c r="D7" s="1745">
        <f ca="1">ROUND(B7*10000/$B$2,0)</f>
        <v>23531</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47850.3</v>
      </c>
      <c r="C14" s="1743">
        <f>结果表!C118</f>
        <v>34445.57</v>
      </c>
      <c r="D14" s="1743">
        <f ca="1">结果表!H118</f>
        <v>81054</v>
      </c>
      <c r="E14" s="1743">
        <f ca="1">ROUND(D14*10000/B14,0)</f>
        <v>16939</v>
      </c>
      <c r="F14" s="1743">
        <f ca="1">ROUND(D14*10000/C14,0)</f>
        <v>23531</v>
      </c>
      <c r="G14" s="1743" t="str">
        <f>结果表!D122</f>
        <v>——</v>
      </c>
      <c r="H14" s="1743">
        <f ca="1">结果表!D124</f>
        <v>81054</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I100" sqref="I100"/>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6" t="s">
        <v>2106</v>
      </c>
      <c r="B1" s="2417"/>
      <c r="C1" s="2418" t="s">
        <v>3049</v>
      </c>
      <c r="D1" s="2417"/>
      <c r="E1" s="2417"/>
      <c r="F1" s="2419" t="s">
        <v>2107</v>
      </c>
      <c r="G1" s="2072" t="s">
        <v>3040</v>
      </c>
      <c r="H1" s="2420" t="str">
        <f>IF(G1="现房","——","估价对象范围")</f>
        <v>——</v>
      </c>
      <c r="I1" s="2421" t="s">
        <v>3250</v>
      </c>
    </row>
    <row r="2" spans="1:12" ht="21.75" customHeight="1" thickBot="1">
      <c r="A2" s="3231" t="str">
        <f>项目基本情况!S2</f>
        <v>北京市顺义区天竺镇府前二街1号4幢等8幢房地产</v>
      </c>
      <c r="B2" s="3232"/>
      <c r="C2" s="3232"/>
      <c r="D2" s="3232"/>
      <c r="E2" s="3232"/>
      <c r="F2" s="3232"/>
      <c r="G2" s="3232"/>
      <c r="H2" s="3232"/>
      <c r="I2" s="3233"/>
    </row>
    <row r="3" spans="1:12" ht="12.75">
      <c r="A3" s="3234" t="s">
        <v>2108</v>
      </c>
      <c r="B3" s="3235"/>
      <c r="C3" s="3235"/>
      <c r="D3" s="3235"/>
      <c r="E3" s="3235"/>
      <c r="F3" s="3235"/>
      <c r="G3" s="3235"/>
      <c r="H3" s="3235"/>
      <c r="I3" s="3235"/>
    </row>
    <row r="4" spans="1:12" ht="14.25">
      <c r="A4" s="2424" t="s">
        <v>2109</v>
      </c>
      <c r="B4" s="2425" t="s">
        <v>2110</v>
      </c>
      <c r="C4" s="2426" t="s">
        <v>3249</v>
      </c>
      <c r="D4" s="2426" t="s">
        <v>3230</v>
      </c>
      <c r="E4" s="3215" t="s">
        <v>2111</v>
      </c>
      <c r="F4" s="3228"/>
      <c r="G4" s="3228"/>
      <c r="H4" s="3228"/>
      <c r="I4" s="3216"/>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206" t="s">
        <v>2112</v>
      </c>
      <c r="B5" s="3132">
        <v>25</v>
      </c>
      <c r="C5" s="3236"/>
      <c r="D5" s="3224"/>
      <c r="E5" s="139" t="s">
        <v>2113</v>
      </c>
      <c r="F5" s="2428"/>
      <c r="G5" s="2428"/>
      <c r="H5" s="2428"/>
      <c r="I5" s="1833"/>
    </row>
    <row r="6" spans="1:12" ht="12.75">
      <c r="A6" s="3206"/>
      <c r="B6" s="3132"/>
      <c r="C6" s="3238"/>
      <c r="D6" s="3224"/>
      <c r="E6" s="139" t="s">
        <v>2114</v>
      </c>
      <c r="F6" s="2428"/>
      <c r="G6" s="2428"/>
      <c r="H6" s="2428"/>
      <c r="I6" s="1833"/>
    </row>
    <row r="7" spans="1:12" ht="12.75">
      <c r="A7" s="3206"/>
      <c r="B7" s="3132"/>
      <c r="C7" s="3237"/>
      <c r="D7" s="3224"/>
      <c r="E7" s="139" t="s">
        <v>2115</v>
      </c>
      <c r="F7" s="2428"/>
      <c r="G7" s="2428"/>
      <c r="H7" s="2428"/>
      <c r="I7" s="1833"/>
    </row>
    <row r="8" spans="1:12" ht="12.75">
      <c r="A8" s="3206" t="s">
        <v>2116</v>
      </c>
      <c r="B8" s="3132">
        <v>15</v>
      </c>
      <c r="C8" s="3236"/>
      <c r="D8" s="3224"/>
      <c r="E8" s="139" t="s">
        <v>2117</v>
      </c>
      <c r="F8" s="2428"/>
      <c r="G8" s="2428"/>
      <c r="H8" s="2428"/>
      <c r="I8" s="1833"/>
    </row>
    <row r="9" spans="1:12" ht="12.75">
      <c r="A9" s="3206"/>
      <c r="B9" s="3132"/>
      <c r="C9" s="3237"/>
      <c r="D9" s="3224"/>
      <c r="E9" s="139" t="s">
        <v>2118</v>
      </c>
      <c r="F9" s="2428"/>
      <c r="G9" s="2428"/>
      <c r="H9" s="2428"/>
      <c r="I9" s="1833"/>
    </row>
    <row r="10" spans="1:12" ht="12.75">
      <c r="A10" s="3206" t="s">
        <v>2119</v>
      </c>
      <c r="B10" s="3132">
        <v>15</v>
      </c>
      <c r="C10" s="3236"/>
      <c r="D10" s="3224"/>
      <c r="E10" s="139" t="s">
        <v>2120</v>
      </c>
      <c r="F10" s="2428"/>
      <c r="G10" s="2428"/>
      <c r="H10" s="2428"/>
      <c r="I10" s="1833"/>
    </row>
    <row r="11" spans="1:12" ht="12.75">
      <c r="A11" s="3206"/>
      <c r="B11" s="3132"/>
      <c r="C11" s="3237"/>
      <c r="D11" s="3224"/>
      <c r="E11" s="139" t="s">
        <v>2121</v>
      </c>
      <c r="F11" s="2428"/>
      <c r="G11" s="2428"/>
      <c r="H11" s="2428"/>
      <c r="I11" s="1833"/>
    </row>
    <row r="12" spans="1:12" ht="12.75">
      <c r="A12" s="3206" t="s">
        <v>2122</v>
      </c>
      <c r="B12" s="3132">
        <v>15</v>
      </c>
      <c r="C12" s="3236"/>
      <c r="D12" s="3224"/>
      <c r="E12" s="139" t="s">
        <v>2123</v>
      </c>
      <c r="F12" s="2428"/>
      <c r="G12" s="2428"/>
      <c r="H12" s="2428"/>
      <c r="I12" s="1833"/>
    </row>
    <row r="13" spans="1:12" ht="12.75">
      <c r="A13" s="3206"/>
      <c r="B13" s="3132"/>
      <c r="C13" s="3237"/>
      <c r="D13" s="3224"/>
      <c r="E13" s="139" t="s">
        <v>2124</v>
      </c>
      <c r="F13" s="2428"/>
      <c r="G13" s="2428"/>
      <c r="H13" s="2428"/>
      <c r="I13" s="1833"/>
    </row>
    <row r="14" spans="1:12" ht="12.75">
      <c r="A14" s="3206" t="s">
        <v>2125</v>
      </c>
      <c r="B14" s="3132">
        <v>30</v>
      </c>
      <c r="C14" s="3236">
        <v>3</v>
      </c>
      <c r="D14" s="3224">
        <v>7</v>
      </c>
      <c r="E14" s="139" t="s">
        <v>2126</v>
      </c>
      <c r="F14" s="2428"/>
      <c r="G14" s="2428"/>
      <c r="H14" s="2428"/>
      <c r="I14" s="1833"/>
    </row>
    <row r="15" spans="1:12" ht="12.75">
      <c r="A15" s="3206"/>
      <c r="B15" s="3132"/>
      <c r="C15" s="3238"/>
      <c r="D15" s="3224"/>
      <c r="E15" s="139" t="s">
        <v>2127</v>
      </c>
      <c r="F15" s="2428"/>
      <c r="G15" s="2428"/>
      <c r="H15" s="2428"/>
      <c r="I15" s="1833"/>
    </row>
    <row r="16" spans="1:12" ht="12.75">
      <c r="A16" s="3206"/>
      <c r="B16" s="3132"/>
      <c r="C16" s="3237"/>
      <c r="D16" s="3224"/>
      <c r="E16" s="139" t="s">
        <v>2128</v>
      </c>
      <c r="F16" s="2428"/>
      <c r="G16" s="2428"/>
      <c r="H16" s="2428"/>
      <c r="I16" s="1833"/>
    </row>
    <row r="17" spans="1:35" ht="15">
      <c r="A17" s="2429" t="s">
        <v>2129</v>
      </c>
      <c r="B17" s="64"/>
      <c r="C17" s="140">
        <f>SUM(C5:C16)</f>
        <v>3</v>
      </c>
      <c r="D17" s="140">
        <f>SUM(D5:D16)</f>
        <v>7</v>
      </c>
      <c r="E17" s="137"/>
      <c r="F17" s="137"/>
      <c r="G17" s="137"/>
      <c r="H17" s="137"/>
      <c r="I17" s="137"/>
      <c r="K17" s="2427"/>
      <c r="L17" s="2430" t="s">
        <v>2130</v>
      </c>
      <c r="M17" s="2430" t="s">
        <v>2131</v>
      </c>
    </row>
    <row r="18" spans="1:35" ht="15.75" thickBot="1">
      <c r="A18" s="2431" t="s">
        <v>2132</v>
      </c>
      <c r="B18" s="2432"/>
      <c r="C18" s="141">
        <f>ROUND(C17/SUM(C17:D17),2)</f>
        <v>0.3</v>
      </c>
      <c r="D18" s="141">
        <f>1-C18</f>
        <v>0.7</v>
      </c>
      <c r="E18" s="137"/>
      <c r="F18" s="137"/>
      <c r="G18" s="137"/>
      <c r="H18" s="137"/>
      <c r="I18" s="137"/>
      <c r="K18" s="2427" t="s">
        <v>2133</v>
      </c>
      <c r="L18" s="2427">
        <f>IF(C1="",'数据-汇总表'!E3,SUMIF(项目类型,C1,'数据-汇总表'!E17:E26)+SUMIF(项目类型,C1,'数据-汇总表'!I17:I26))</f>
        <v>47850.3</v>
      </c>
      <c r="M18" s="2427">
        <f>IF(C1="",'数据-汇总表'!E3,SUMIF(项目类型,C1,'数据-汇总表'!E17:E26))</f>
        <v>47850.3</v>
      </c>
    </row>
    <row r="19" spans="1:35" ht="15">
      <c r="A19" s="2433" t="s">
        <v>2134</v>
      </c>
      <c r="B19" s="2434" t="s">
        <v>2135</v>
      </c>
      <c r="C19" s="142">
        <f ca="1">SUMIF(INDIRECT("'"&amp;C4&amp;"'"&amp;"!A:A"),结果表!B19,INDIRECT("'"&amp;C4&amp;"'"&amp;"!B:B"))</f>
        <v>33072</v>
      </c>
      <c r="D19" s="143">
        <f ca="1">SUMIF(INDIRECT("'"&amp;D4&amp;"'"&amp;"!A:A"),结果表!B19,INDIRECT("'"&amp;D4&amp;"'"&amp;"!B:B"))</f>
        <v>101617</v>
      </c>
      <c r="E19" s="2433" t="s">
        <v>2136</v>
      </c>
      <c r="F19" s="2434" t="s">
        <v>2135</v>
      </c>
      <c r="G19" s="144">
        <f ca="1">ROUND(C19*$C$18+D19*$D$18,0)</f>
        <v>81054</v>
      </c>
      <c r="H19" s="2435" t="s">
        <v>2137</v>
      </c>
      <c r="I19" s="137"/>
      <c r="K19" s="2427" t="s">
        <v>2138</v>
      </c>
      <c r="L19" s="2427">
        <f>IF(C1="",'数据-汇总表'!D3,SUMIF(项目类型,C1,'数据-汇总表'!D17:D26)+SUMIF(项目类型,C1,'数据-汇总表'!H17:H27))</f>
        <v>34445.57</v>
      </c>
      <c r="M19" s="2427">
        <f>IF(C1="",'数据-汇总表'!D3,SUMIF(项目类型,C1,'数据-汇总表'!D17:D26))</f>
        <v>34445.57</v>
      </c>
    </row>
    <row r="20" spans="1:35" ht="15">
      <c r="A20" s="2436"/>
      <c r="B20" s="1249" t="s">
        <v>2139</v>
      </c>
      <c r="C20" s="145">
        <f ca="1">SUMIF(INDIRECT("'"&amp;C4&amp;"'"&amp;"!A:A"),结果表!B20,INDIRECT("'"&amp;C4&amp;"'"&amp;"!B:B"))</f>
        <v>6912</v>
      </c>
      <c r="D20" s="146">
        <f ca="1">SUMIF(INDIRECT("'"&amp;D4&amp;"'"&amp;"!A:A"),结果表!B20,INDIRECT("'"&amp;D4&amp;"'"&amp;"!B:B"))</f>
        <v>21236</v>
      </c>
      <c r="E20" s="2436"/>
      <c r="F20" s="1249" t="s">
        <v>2139</v>
      </c>
      <c r="G20" s="147">
        <f ca="1">ROUND(C20*$C$18+D20*$D$18,0)</f>
        <v>16939</v>
      </c>
      <c r="H20" s="982" t="s">
        <v>2140</v>
      </c>
      <c r="I20" s="137"/>
    </row>
    <row r="21" spans="1:35" ht="15" customHeight="1" thickBot="1">
      <c r="A21" s="1002"/>
      <c r="B21" s="2437" t="s">
        <v>2141</v>
      </c>
      <c r="C21" s="788">
        <f ca="1">ROUND(C19*10000/L19,0)</f>
        <v>9601</v>
      </c>
      <c r="D21" s="789">
        <f ca="1">ROUND(D19*10000/L19,0)</f>
        <v>29501</v>
      </c>
      <c r="E21" s="1002"/>
      <c r="F21" s="2437" t="s">
        <v>2141</v>
      </c>
      <c r="G21" s="148">
        <f ca="1">ROUND(G19*10000/L19,0)</f>
        <v>23531</v>
      </c>
      <c r="H21" s="2438" t="s">
        <v>2140</v>
      </c>
      <c r="I21" s="137"/>
    </row>
    <row r="22" spans="1:35" ht="15" thickBot="1">
      <c r="A22" s="2282" t="s">
        <v>2142</v>
      </c>
      <c r="B22" s="2439"/>
      <c r="C22" s="2440"/>
      <c r="D22" s="790">
        <f ca="1">IF(C19&lt;D19,D19/C19-1,C19/D19-1)</f>
        <v>2.0725991775520076</v>
      </c>
      <c r="E22" s="137"/>
      <c r="F22" s="137"/>
      <c r="G22" s="137"/>
      <c r="H22" s="137"/>
      <c r="I22" s="137"/>
    </row>
    <row r="23" spans="1:35" ht="13.5" hidden="1" thickBot="1">
      <c r="A23" s="2417"/>
      <c r="B23" s="2417"/>
      <c r="C23" s="2417"/>
      <c r="D23" s="2417"/>
      <c r="E23" s="137"/>
      <c r="F23" s="137"/>
      <c r="G23" s="137"/>
      <c r="H23" s="137"/>
      <c r="I23" s="137"/>
    </row>
    <row r="24" spans="1:35" ht="14.25" hidden="1">
      <c r="A24" s="3245" t="s">
        <v>2143</v>
      </c>
      <c r="B24" s="2434" t="s">
        <v>2135</v>
      </c>
      <c r="C24" s="144">
        <f>IF(B30=0,0,D30)</f>
        <v>0</v>
      </c>
      <c r="D24" s="2441"/>
      <c r="E24" s="137"/>
      <c r="F24" s="137"/>
      <c r="G24" s="137"/>
      <c r="H24" s="137"/>
      <c r="I24" s="137"/>
    </row>
    <row r="25" spans="1:35" ht="14.25" hidden="1">
      <c r="A25" s="3246"/>
      <c r="B25" s="1249" t="s">
        <v>2139</v>
      </c>
      <c r="C25" s="149">
        <f>IF(B30=0,0,C30)</f>
        <v>0</v>
      </c>
      <c r="D25" s="2442"/>
      <c r="E25" s="137"/>
      <c r="F25" s="137"/>
      <c r="G25" s="137"/>
      <c r="H25" s="137"/>
      <c r="I25" s="137"/>
    </row>
    <row r="26" spans="1:35" ht="13.5" hidden="1" customHeight="1">
      <c r="A26" s="2443" t="s">
        <v>2144</v>
      </c>
      <c r="B26" s="150" t="s">
        <v>2145</v>
      </c>
      <c r="C26" s="150" t="s">
        <v>2146</v>
      </c>
      <c r="D26" s="151" t="s">
        <v>2147</v>
      </c>
      <c r="E26" s="137"/>
      <c r="F26" s="137"/>
      <c r="G26" s="137"/>
      <c r="H26" s="137"/>
      <c r="I26" s="137"/>
    </row>
    <row r="27" spans="1:35" ht="14.25" hidden="1">
      <c r="A27" s="2443"/>
      <c r="B27" s="150">
        <v>0</v>
      </c>
      <c r="C27" s="150">
        <v>0</v>
      </c>
      <c r="D27" s="151">
        <f>ROUND(C27*B27/10000,0)</f>
        <v>0</v>
      </c>
      <c r="E27" s="137"/>
      <c r="F27" s="137"/>
      <c r="G27" s="137"/>
      <c r="H27" s="137"/>
      <c r="I27" s="137"/>
    </row>
    <row r="28" spans="1:35" ht="14.25" hidden="1">
      <c r="A28" s="2443"/>
      <c r="B28" s="150"/>
      <c r="C28" s="150"/>
      <c r="D28" s="151"/>
      <c r="E28" s="137"/>
      <c r="F28" s="137"/>
      <c r="G28" s="137"/>
      <c r="H28" s="137"/>
      <c r="I28" s="137"/>
    </row>
    <row r="29" spans="1:35" ht="14.25" hidden="1">
      <c r="A29" s="2443"/>
      <c r="B29" s="150"/>
      <c r="C29" s="150"/>
      <c r="D29" s="151"/>
      <c r="E29" s="137"/>
      <c r="F29" s="137"/>
      <c r="G29" s="137"/>
      <c r="H29" s="137"/>
      <c r="I29" s="137"/>
    </row>
    <row r="30" spans="1:35" ht="14.25" hidden="1">
      <c r="A30" s="150" t="s">
        <v>2148</v>
      </c>
      <c r="B30" s="150"/>
      <c r="C30" s="150"/>
      <c r="D30" s="150"/>
      <c r="E30" s="2925" t="s">
        <v>3023</v>
      </c>
      <c r="F30" s="137"/>
      <c r="G30" s="137"/>
      <c r="H30" s="137"/>
      <c r="I30" s="137"/>
    </row>
    <row r="31" spans="1:35" s="2445" customFormat="1" ht="15" hidden="1"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2149</v>
      </c>
      <c r="B32" s="2447"/>
      <c r="C32" s="152">
        <f ca="1">IF(D32="总价",G19-C24,G20-C25)</f>
        <v>81054</v>
      </c>
      <c r="D32" s="2448" t="s">
        <v>2150</v>
      </c>
      <c r="E32" s="137"/>
      <c r="F32" s="137"/>
      <c r="G32" s="137"/>
      <c r="H32" s="137"/>
      <c r="I32" s="137"/>
    </row>
    <row r="33" spans="1:15" ht="15">
      <c r="A33" s="959" t="s">
        <v>2151</v>
      </c>
      <c r="B33" s="2449"/>
      <c r="C33" s="2450" t="s">
        <v>3300</v>
      </c>
      <c r="D33" s="2451" t="s">
        <v>3230</v>
      </c>
      <c r="E33" s="2452" t="s">
        <v>2152</v>
      </c>
      <c r="F33" s="2453" t="str">
        <f>IF(D32="楼面单价","取值（单价）","取值（总价）")</f>
        <v>取值（总价）</v>
      </c>
      <c r="G33" s="137"/>
      <c r="H33" s="137"/>
      <c r="I33" s="137"/>
    </row>
    <row r="34" spans="1:15" ht="15">
      <c r="A34" s="2454"/>
      <c r="B34" s="2455" t="s">
        <v>2153</v>
      </c>
      <c r="C34" s="156">
        <f ca="1">IF(C33="自定义",F34,C32-C35)</f>
        <v>47984</v>
      </c>
      <c r="D34" s="1057">
        <f ca="1">IF(C33="自定义",ROUND(C34/C32,3),IF(C33="收益比率",SUMIF(INDIRECT("'"&amp;D33&amp;"'"&amp;"!b:b"),"土地收益比率",INDIRECT("'"&amp;D33&amp;"'"&amp;"!c:c")),SUMIF(INDIRECT("'"&amp;D33&amp;"'"&amp;"!b:b"),"土地成本比率",INDIRECT("'"&amp;D33&amp;"'"&amp;"!c:c"))))</f>
        <v>0.59200000000000008</v>
      </c>
      <c r="E34" s="2456" t="s">
        <v>2154</v>
      </c>
      <c r="F34" s="1738"/>
      <c r="G34" s="137"/>
      <c r="H34" s="137"/>
      <c r="I34" s="137"/>
    </row>
    <row r="35" spans="1:15" ht="15.75" thickBot="1">
      <c r="A35" s="2457"/>
      <c r="B35" s="2458" t="s">
        <v>2155</v>
      </c>
      <c r="C35" s="1443">
        <f ca="1">IF(C33="自定义",F35,ROUND(C32*D35,0))</f>
        <v>33070</v>
      </c>
      <c r="D35" s="1444">
        <f ca="1">IF(C33="自定义",ROUND(C35/C32,3),IF(C33="收益比率",SUMIF(INDIRECT("'"&amp;D33&amp;"'"&amp;"!b:b"),"建筑物收益比率",INDIRECT("'"&amp;D33&amp;"'"&amp;"!c:c")),SUMIF(INDIRECT("'"&amp;D33&amp;"'"&amp;"!b:b"),"建筑物成本比率",INDIRECT("'"&amp;D33&amp;"'"&amp;"!c:c"))))</f>
        <v>0.40799999999999997</v>
      </c>
      <c r="E35" s="2459" t="s">
        <v>2156</v>
      </c>
      <c r="F35" s="162"/>
      <c r="G35" s="137"/>
      <c r="H35" s="137"/>
      <c r="I35" s="137"/>
    </row>
    <row r="36" spans="1:15" ht="15.75" thickBot="1">
      <c r="A36" s="3225" t="s">
        <v>2157</v>
      </c>
      <c r="B36" s="2460" t="s">
        <v>2158</v>
      </c>
      <c r="C36" s="153">
        <v>55000</v>
      </c>
      <c r="D36" s="2461" t="s">
        <v>3299</v>
      </c>
      <c r="E36" s="2462"/>
      <c r="F36" s="2463"/>
      <c r="G36" s="137"/>
      <c r="H36" s="137"/>
      <c r="I36" s="137"/>
    </row>
    <row r="37" spans="1:15" ht="15.75" thickBot="1">
      <c r="A37" s="3226"/>
      <c r="B37" s="2268" t="s">
        <v>2159</v>
      </c>
      <c r="C37" s="155">
        <v>0</v>
      </c>
      <c r="D37" s="1394"/>
      <c r="E37" s="1394"/>
      <c r="F37" s="2463"/>
      <c r="G37" s="137"/>
      <c r="H37" s="137"/>
      <c r="I37" s="137"/>
    </row>
    <row r="38" spans="1:15" ht="15.75" thickBot="1">
      <c r="A38" s="3227"/>
      <c r="B38" s="2464" t="s">
        <v>2160</v>
      </c>
      <c r="C38" s="726">
        <v>0</v>
      </c>
      <c r="D38" s="2465" t="s">
        <v>2161</v>
      </c>
      <c r="E38" s="1394"/>
      <c r="F38" s="2463"/>
      <c r="G38" s="137"/>
      <c r="H38" s="137"/>
      <c r="I38" s="137"/>
    </row>
    <row r="39" spans="1:15" ht="15" hidden="1">
      <c r="A39" s="2436" t="s">
        <v>2162</v>
      </c>
      <c r="B39" s="2466" t="s">
        <v>2163</v>
      </c>
      <c r="C39" s="2467" t="s">
        <v>2164</v>
      </c>
      <c r="D39" s="2467" t="s">
        <v>2165</v>
      </c>
      <c r="E39" s="2468" t="s">
        <v>2166</v>
      </c>
      <c r="F39" s="2463"/>
      <c r="G39" s="137"/>
      <c r="H39" s="137"/>
      <c r="I39" s="137"/>
    </row>
    <row r="40" spans="1:15" ht="14.25" hidden="1">
      <c r="A40" s="2469" t="s">
        <v>2167</v>
      </c>
      <c r="B40" s="157"/>
      <c r="C40" s="158"/>
      <c r="D40" s="158"/>
      <c r="E40" s="159"/>
      <c r="F40" s="2463"/>
      <c r="G40" s="137"/>
      <c r="H40" s="137"/>
      <c r="I40" s="137"/>
    </row>
    <row r="41" spans="1:15" ht="14.25" hidden="1">
      <c r="A41" s="2469" t="s">
        <v>2168</v>
      </c>
      <c r="B41" s="157"/>
      <c r="C41" s="158"/>
      <c r="D41" s="158"/>
      <c r="E41" s="159"/>
      <c r="F41" s="2463"/>
      <c r="G41" s="137"/>
      <c r="H41" s="137"/>
      <c r="I41" s="137"/>
    </row>
    <row r="42" spans="1:15" ht="15" hidden="1" thickBot="1">
      <c r="A42" s="2470"/>
      <c r="B42" s="160"/>
      <c r="C42" s="161"/>
      <c r="D42" s="161"/>
      <c r="E42" s="162"/>
      <c r="F42" s="2463"/>
      <c r="G42" s="137"/>
      <c r="H42" s="137"/>
      <c r="I42" s="137"/>
    </row>
    <row r="43" spans="1:15" ht="12.75" hidden="1">
      <c r="A43" s="2167"/>
      <c r="B43" s="2167"/>
      <c r="C43" s="2167"/>
      <c r="D43" s="2167"/>
      <c r="E43" s="2167"/>
      <c r="F43" s="2471"/>
      <c r="G43" s="2471"/>
      <c r="H43" s="2471"/>
      <c r="I43" s="2472"/>
    </row>
    <row r="44" spans="1:15" ht="18.75" hidden="1">
      <c r="A44" s="2473" t="s">
        <v>2169</v>
      </c>
      <c r="B44" s="2474"/>
      <c r="C44" s="2474"/>
      <c r="D44" s="2475"/>
      <c r="E44" s="2475"/>
      <c r="F44" s="2476"/>
      <c r="G44" s="2476"/>
      <c r="H44" s="2476"/>
      <c r="I44" s="2476"/>
      <c r="J44" s="2477" t="s">
        <v>2170</v>
      </c>
      <c r="K44" s="2478"/>
      <c r="L44" s="2478"/>
      <c r="M44" s="2478"/>
      <c r="N44" s="2478"/>
      <c r="O44" s="2478"/>
    </row>
    <row r="45" spans="1:15" ht="14.25" hidden="1" customHeight="1" thickBot="1">
      <c r="A45" s="3242" t="s">
        <v>2171</v>
      </c>
      <c r="B45" s="3243"/>
      <c r="C45" s="3244"/>
      <c r="D45" s="163">
        <f ca="1">ROUND(H101*F45,0)</f>
        <v>81054</v>
      </c>
      <c r="E45" s="164" t="s">
        <v>2172</v>
      </c>
      <c r="F45" s="165">
        <v>1</v>
      </c>
      <c r="G45" s="166" t="s">
        <v>2173</v>
      </c>
      <c r="H45" s="137"/>
      <c r="I45" s="137"/>
      <c r="J45" s="3161" t="s">
        <v>2174</v>
      </c>
      <c r="K45" s="3161"/>
      <c r="L45" s="3161"/>
      <c r="M45" s="3161"/>
      <c r="N45" s="3161"/>
      <c r="O45" s="3161"/>
    </row>
    <row r="46" spans="1:15" ht="14.25" hidden="1" customHeight="1">
      <c r="A46" s="3239" t="s">
        <v>2175</v>
      </c>
      <c r="B46" s="3240"/>
      <c r="C46" s="3240"/>
      <c r="D46" s="3240"/>
      <c r="E46" s="3240"/>
      <c r="F46" s="3240"/>
      <c r="G46" s="3241"/>
      <c r="H46" s="2479"/>
      <c r="I46" s="167"/>
      <c r="J46" s="1811">
        <v>1</v>
      </c>
      <c r="K46" s="3161" t="s">
        <v>2176</v>
      </c>
      <c r="L46" s="3161"/>
      <c r="M46" s="3162"/>
      <c r="N46" s="3162"/>
      <c r="O46" s="3162"/>
    </row>
    <row r="47" spans="1:15" ht="12" hidden="1" customHeight="1">
      <c r="A47" s="168" t="s">
        <v>2177</v>
      </c>
      <c r="B47" s="169"/>
      <c r="C47" s="170"/>
      <c r="D47" s="171" t="s">
        <v>2178</v>
      </c>
      <c r="E47" s="24" t="s">
        <v>2179</v>
      </c>
      <c r="F47" s="172" t="s">
        <v>2180</v>
      </c>
      <c r="G47" s="173" t="s">
        <v>2181</v>
      </c>
      <c r="H47" s="2479"/>
      <c r="I47" s="167"/>
      <c r="J47" s="1811">
        <v>2</v>
      </c>
      <c r="K47" s="3161" t="s">
        <v>2182</v>
      </c>
      <c r="L47" s="3161"/>
      <c r="M47" s="3163">
        <f>'数据-取费表'!B2</f>
        <v>43116</v>
      </c>
      <c r="N47" s="3163"/>
      <c r="O47" s="3163"/>
    </row>
    <row r="48" spans="1:15" ht="25.5" hidden="1">
      <c r="A48" s="3229" t="s">
        <v>2183</v>
      </c>
      <c r="B48" s="3230"/>
      <c r="C48" s="3230"/>
      <c r="D48" s="139">
        <f>IF(H48="情况1",0,IF(H48="情况2",D52,IF(H48="情况3",D53,IF(H48="情况4",D54))))</f>
        <v>0</v>
      </c>
      <c r="E48" s="1800" t="str">
        <f>IF(H48="情况4","(销售额-原购置价)×税（费）率","销售额×税（费）率")</f>
        <v>销售额×税（费）率</v>
      </c>
      <c r="F48" s="174" t="str">
        <f>IF(H48="情况1","免征",'数据-取费表'!B41)</f>
        <v>免征</v>
      </c>
      <c r="G48" s="2480" t="s">
        <v>2184</v>
      </c>
      <c r="H48" s="2481" t="s">
        <v>2185</v>
      </c>
      <c r="I48" s="2479"/>
      <c r="J48" s="1811">
        <v>3</v>
      </c>
      <c r="K48" s="3161" t="s">
        <v>2186</v>
      </c>
      <c r="L48" s="3161"/>
      <c r="M48" s="3164">
        <f ca="1">H101</f>
        <v>81054</v>
      </c>
      <c r="N48" s="3164"/>
      <c r="O48" s="3164"/>
    </row>
    <row r="49" spans="1:35" ht="25.5" hidden="1" customHeight="1">
      <c r="A49" s="175" t="s">
        <v>2187</v>
      </c>
      <c r="B49" s="3209" t="s">
        <v>2188</v>
      </c>
      <c r="C49" s="3209"/>
      <c r="D49" s="176">
        <v>0</v>
      </c>
      <c r="E49" s="23" t="s">
        <v>2189</v>
      </c>
      <c r="F49" s="28" t="s">
        <v>34</v>
      </c>
      <c r="G49" s="3190"/>
      <c r="H49" s="137"/>
      <c r="I49" s="2482"/>
      <c r="J49" s="1811">
        <v>4</v>
      </c>
      <c r="K49" s="3161" t="str">
        <f>IF(项目基本情况!E8="房地产抵押价值","房地产抵押价值","抵押担保权已注销时的房地产抵押价值")</f>
        <v>抵押担保权已注销时的房地产抵押价值</v>
      </c>
      <c r="L49" s="3161"/>
      <c r="M49" s="3164">
        <f ca="1">IF(项目基本情况!E8="房地产抵押价值",H107,H109)</f>
        <v>81054</v>
      </c>
      <c r="N49" s="3164"/>
      <c r="O49" s="3164"/>
    </row>
    <row r="50" spans="1:35" ht="25.5" hidden="1" customHeight="1">
      <c r="A50" s="177"/>
      <c r="B50" s="3209" t="s">
        <v>2190</v>
      </c>
      <c r="C50" s="3209"/>
      <c r="D50" s="178"/>
      <c r="E50" s="31"/>
      <c r="F50" s="179"/>
      <c r="G50" s="3191"/>
      <c r="H50" s="137"/>
      <c r="I50" s="2482"/>
      <c r="J50" s="3161" t="s">
        <v>2191</v>
      </c>
      <c r="K50" s="3161"/>
      <c r="L50" s="3161"/>
      <c r="M50" s="3161"/>
      <c r="N50" s="3161"/>
      <c r="O50" s="3161"/>
    </row>
    <row r="51" spans="1:35" ht="12" hidden="1" customHeight="1">
      <c r="A51" s="180"/>
      <c r="B51" s="3209" t="s">
        <v>2192</v>
      </c>
      <c r="C51" s="3209"/>
      <c r="D51" s="181"/>
      <c r="E51" s="30"/>
      <c r="F51" s="179"/>
      <c r="G51" s="3192"/>
      <c r="H51" s="137"/>
      <c r="I51" s="2482"/>
      <c r="J51" s="2483" t="s">
        <v>2193</v>
      </c>
      <c r="K51" s="3161" t="s">
        <v>2194</v>
      </c>
      <c r="L51" s="3161"/>
      <c r="M51" s="2483" t="s">
        <v>2195</v>
      </c>
      <c r="N51" s="2483" t="s">
        <v>2196</v>
      </c>
      <c r="O51" s="2483" t="s">
        <v>2197</v>
      </c>
    </row>
    <row r="52" spans="1:35" ht="24" hidden="1" customHeight="1">
      <c r="A52" s="182" t="s">
        <v>2198</v>
      </c>
      <c r="B52" s="3209" t="s">
        <v>2199</v>
      </c>
      <c r="C52" s="3209"/>
      <c r="D52" s="181">
        <f ca="1">ROUND(D45*'数据-取费表'!B41/(1+'数据-取费表'!C42),0)</f>
        <v>4246</v>
      </c>
      <c r="E52" s="11" t="s">
        <v>2200</v>
      </c>
      <c r="F52" s="183">
        <f>'数据-取费表'!B41</f>
        <v>5.5000000000000007E-2</v>
      </c>
      <c r="G52" s="2484"/>
      <c r="H52" s="137"/>
      <c r="I52" s="2482"/>
      <c r="J52" s="1811">
        <v>1</v>
      </c>
      <c r="K52" s="3184" t="s">
        <v>2201</v>
      </c>
      <c r="L52" s="3184"/>
      <c r="M52" s="1753">
        <f>D48</f>
        <v>0</v>
      </c>
      <c r="N52" s="1811" t="str">
        <f>E48</f>
        <v>销售额×税（费）率</v>
      </c>
      <c r="O52" s="1754" t="str">
        <f>F48</f>
        <v>免征</v>
      </c>
    </row>
    <row r="53" spans="1:35" ht="12" hidden="1" customHeight="1">
      <c r="A53" s="182" t="s">
        <v>2202</v>
      </c>
      <c r="B53" s="3210" t="s">
        <v>2203</v>
      </c>
      <c r="C53" s="3211"/>
      <c r="D53" s="181">
        <f ca="1">ROUND(D45*'数据-取费表'!B41/(1+'数据-取费表'!C42),0)</f>
        <v>4246</v>
      </c>
      <c r="E53" s="11" t="s">
        <v>2200</v>
      </c>
      <c r="F53" s="183">
        <f>'数据-取费表'!B41</f>
        <v>5.5000000000000007E-2</v>
      </c>
      <c r="G53" s="2484"/>
      <c r="H53" s="137"/>
      <c r="I53" s="2482"/>
      <c r="J53" s="1811">
        <v>2</v>
      </c>
      <c r="K53" s="3184" t="s">
        <v>2204</v>
      </c>
      <c r="L53" s="3184"/>
      <c r="M53" s="1753">
        <f t="shared" ref="M53:O54" ca="1" si="0">D55</f>
        <v>41</v>
      </c>
      <c r="N53" s="1811" t="str">
        <f t="shared" si="0"/>
        <v>销售额×税（费）率</v>
      </c>
      <c r="O53" s="1754">
        <f t="shared" si="0"/>
        <v>5.0000000000000001E-4</v>
      </c>
    </row>
    <row r="54" spans="1:35" ht="12" hidden="1" customHeight="1">
      <c r="A54" s="182" t="s">
        <v>2205</v>
      </c>
      <c r="B54" s="3210" t="s">
        <v>2206</v>
      </c>
      <c r="C54" s="3211"/>
      <c r="D54" s="181">
        <f ca="1">C68</f>
        <v>4246</v>
      </c>
      <c r="E54" s="30" t="s">
        <v>2207</v>
      </c>
      <c r="F54" s="183">
        <f>'数据-取费表'!B41</f>
        <v>5.5000000000000007E-2</v>
      </c>
      <c r="G54" s="2484"/>
      <c r="H54" s="2485"/>
      <c r="I54" s="2482"/>
      <c r="J54" s="1811">
        <v>3</v>
      </c>
      <c r="K54" s="3184" t="s">
        <v>2208</v>
      </c>
      <c r="L54" s="3184"/>
      <c r="M54" s="1753">
        <f t="shared" ca="1" si="0"/>
        <v>45950</v>
      </c>
      <c r="N54" s="1811" t="str">
        <f t="shared" si="0"/>
        <v>增值额×税（费）率</v>
      </c>
      <c r="O54" s="1755" t="str">
        <f t="shared" si="0"/>
        <v>——</v>
      </c>
    </row>
    <row r="55" spans="1:35" ht="24" hidden="1" customHeight="1">
      <c r="A55" s="3248" t="s">
        <v>2209</v>
      </c>
      <c r="B55" s="3230"/>
      <c r="C55" s="3230"/>
      <c r="D55" s="184">
        <f ca="1">IF(H55="个人住宅",0,ROUND(D45*I55,0))</f>
        <v>41</v>
      </c>
      <c r="E55" s="11" t="s">
        <v>2210</v>
      </c>
      <c r="F55" s="183">
        <f>IF(H55="正常",I55,"免征")</f>
        <v>5.0000000000000001E-4</v>
      </c>
      <c r="G55" s="2484"/>
      <c r="H55" s="2481" t="s">
        <v>2211</v>
      </c>
      <c r="I55" s="185">
        <f>'数据-取费表'!B49</f>
        <v>5.0000000000000001E-4</v>
      </c>
      <c r="J55" s="1811" t="str">
        <f>IF(H59="非个人房产","",4)</f>
        <v/>
      </c>
      <c r="K55" s="3184" t="str">
        <f>IF(H59="非个人房产","——","个人所得税")</f>
        <v>——</v>
      </c>
      <c r="L55" s="3184"/>
      <c r="M55" s="1756" t="str">
        <f>D59</f>
        <v>——</v>
      </c>
      <c r="N55" s="1809" t="str">
        <f>E59</f>
        <v>——</v>
      </c>
      <c r="O55" s="1757" t="str">
        <f>F59</f>
        <v>——</v>
      </c>
    </row>
    <row r="56" spans="1:35" ht="24.75" hidden="1">
      <c r="A56" s="3248" t="s">
        <v>2212</v>
      </c>
      <c r="B56" s="3230"/>
      <c r="C56" s="3230"/>
      <c r="D56" s="184">
        <f ca="1">IF(H56="个人住宅",D57,D58)</f>
        <v>45950</v>
      </c>
      <c r="E56" s="11" t="s">
        <v>2213</v>
      </c>
      <c r="F56" s="183" t="str">
        <f>IF(H56="正常",F58,"免征")</f>
        <v>——</v>
      </c>
      <c r="G56" s="2486" t="s">
        <v>2214</v>
      </c>
      <c r="H56" s="2487" t="s">
        <v>2211</v>
      </c>
      <c r="I56" s="2488"/>
      <c r="J56" s="1811" t="str">
        <f>IF(项目基本情况!K6="上海银行",IF(J55="",4,J55+1),"")</f>
        <v/>
      </c>
      <c r="K56" s="3167" t="str">
        <f>IF(项目基本情况!K6="上海银行","其他处置费用","")</f>
        <v/>
      </c>
      <c r="L56" s="3168"/>
      <c r="M56" s="1753" t="str">
        <f>IF(项目基本情况!K6="上海银行",M69,"")</f>
        <v/>
      </c>
      <c r="N56" s="3170" t="str">
        <f>IF(项目基本情况!K6="上海银行","包含处置中涉及的律师、诉讼、拍卖、评估等费用","")</f>
        <v/>
      </c>
      <c r="O56" s="3171"/>
    </row>
    <row r="57" spans="1:35" ht="12.75" hidden="1">
      <c r="A57" s="182" t="s">
        <v>2187</v>
      </c>
      <c r="B57" s="3215" t="s">
        <v>2215</v>
      </c>
      <c r="C57" s="3216"/>
      <c r="D57" s="186">
        <v>0</v>
      </c>
      <c r="E57" s="23" t="s">
        <v>2189</v>
      </c>
      <c r="F57" s="154"/>
      <c r="G57" s="2484"/>
      <c r="H57" s="2488"/>
      <c r="I57" s="2488"/>
      <c r="J57" s="3184">
        <f>IF(AND(J55="",J56=""),4,IF(项目基本情况!K6="上海银行",结果表!J56+1,结果表!J55+1))</f>
        <v>4</v>
      </c>
      <c r="K57" s="3184" t="s">
        <v>2216</v>
      </c>
      <c r="L57" s="2489" t="s">
        <v>2217</v>
      </c>
      <c r="M57" s="1758"/>
      <c r="N57" s="1759">
        <f ca="1">SUMIF(M52:M56,"&lt;9e307")</f>
        <v>45991</v>
      </c>
      <c r="O57" s="2490"/>
      <c r="P57" s="1752">
        <f ca="1">N57/M49</f>
        <v>0.56741184889086294</v>
      </c>
    </row>
    <row r="58" spans="1:35" ht="24.75" hidden="1">
      <c r="A58" s="182" t="s">
        <v>2198</v>
      </c>
      <c r="B58" s="3215" t="s">
        <v>2218</v>
      </c>
      <c r="C58" s="3228"/>
      <c r="D58" s="184">
        <f ca="1">IF(H58="转让取得",C81,C97)</f>
        <v>45950</v>
      </c>
      <c r="E58" s="11" t="s">
        <v>2213</v>
      </c>
      <c r="F58" s="24" t="s">
        <v>34</v>
      </c>
      <c r="G58" s="2484"/>
      <c r="H58" s="2487" t="s">
        <v>2219</v>
      </c>
      <c r="I58" s="2488"/>
      <c r="J58" s="3184"/>
      <c r="K58" s="3184"/>
      <c r="L58" s="2489" t="s">
        <v>2220</v>
      </c>
      <c r="M58" s="1760"/>
      <c r="N58" s="2491" t="str">
        <f ca="1">NUMBERSTRING(INT(N57*10000),2)&amp;"元整"</f>
        <v>肆亿伍仟玖佰玖拾壹万元整</v>
      </c>
      <c r="O58" s="2492"/>
    </row>
    <row r="59" spans="1:35" ht="24.75" hidden="1" thickBot="1">
      <c r="A59" s="3188" t="s">
        <v>2221</v>
      </c>
      <c r="B59" s="3189"/>
      <c r="C59" s="3189"/>
      <c r="D59" s="187" t="str">
        <f>IF(H59="非个人房产","——",IF(H59="个人住宅",0,ROUND(D45*I59,0)))</f>
        <v>——</v>
      </c>
      <c r="E59" s="188" t="str">
        <f>IF(H59="非个人房产","——","销售额×税（费）率")</f>
        <v>——</v>
      </c>
      <c r="F59" s="189" t="str">
        <f>IF(H59="非个人房产","——",IF(H59="个人住宅","免征",I59))</f>
        <v>——</v>
      </c>
      <c r="G59" s="2493" t="s">
        <v>2214</v>
      </c>
      <c r="H59" s="2487" t="s">
        <v>2222</v>
      </c>
      <c r="I59" s="190">
        <v>0.01</v>
      </c>
      <c r="J59" s="3186">
        <f>J57+1</f>
        <v>5</v>
      </c>
      <c r="K59" s="3184" t="s">
        <v>2223</v>
      </c>
      <c r="L59" s="1811" t="s">
        <v>2217</v>
      </c>
      <c r="M59" s="1761"/>
      <c r="N59" s="1762">
        <f ca="1">M49-N57</f>
        <v>35063</v>
      </c>
      <c r="O59" s="2494"/>
    </row>
    <row r="60" spans="1:35" ht="12" hidden="1" customHeight="1">
      <c r="A60" s="2495"/>
      <c r="B60" s="2417"/>
      <c r="C60" s="2417"/>
      <c r="D60" s="2417"/>
      <c r="E60" s="2168"/>
      <c r="F60" s="2488"/>
      <c r="G60" s="2488"/>
      <c r="H60" s="2496"/>
      <c r="I60" s="137"/>
      <c r="J60" s="3187"/>
      <c r="K60" s="3184"/>
      <c r="L60" s="2489" t="s">
        <v>2220</v>
      </c>
      <c r="M60" s="1760"/>
      <c r="N60" s="2491" t="str">
        <f ca="1">NUMBERSTRING(INT(N59*10000),2)&amp;"元整"</f>
        <v>叁亿伍仟零陆拾叁万元整</v>
      </c>
      <c r="O60" s="2492"/>
    </row>
    <row r="61" spans="1:35" ht="13.5" hidden="1" thickBot="1">
      <c r="A61" s="3247" t="s">
        <v>2224</v>
      </c>
      <c r="B61" s="3247"/>
      <c r="C61" s="3247"/>
      <c r="D61" s="3247"/>
      <c r="E61" s="3247"/>
      <c r="F61" s="2488"/>
      <c r="G61" s="2488"/>
      <c r="H61" s="2496"/>
      <c r="I61" s="137"/>
      <c r="J61" s="1811">
        <f>J59+1</f>
        <v>6</v>
      </c>
      <c r="K61" s="3184" t="s">
        <v>2225</v>
      </c>
      <c r="L61" s="3184"/>
      <c r="M61" s="1763"/>
      <c r="N61" s="1764">
        <f ca="1">ROUND(N59*10000/'数据-汇总表'!E3,0)</f>
        <v>7328</v>
      </c>
      <c r="O61" s="2497"/>
    </row>
    <row r="62" spans="1:35" ht="12.75" hidden="1">
      <c r="A62" s="3204" t="s">
        <v>2226</v>
      </c>
      <c r="B62" s="3205"/>
      <c r="C62" s="1803"/>
      <c r="D62" s="1803" t="s">
        <v>2227</v>
      </c>
      <c r="E62" s="191" t="s">
        <v>2228</v>
      </c>
      <c r="F62" s="2488"/>
      <c r="G62" s="2488"/>
      <c r="H62" s="2496"/>
      <c r="I62" s="137"/>
    </row>
    <row r="63" spans="1:35" ht="12.75" hidden="1">
      <c r="A63" s="202" t="s">
        <v>775</v>
      </c>
      <c r="B63" s="192" t="s">
        <v>2229</v>
      </c>
      <c r="C63" s="193">
        <f ca="1">ROUND((C64+C65)/(1+'数据-取费表'!C42),0)</f>
        <v>77194</v>
      </c>
      <c r="D63" s="194"/>
      <c r="E63" s="195"/>
      <c r="F63" s="2488"/>
      <c r="G63" s="2488"/>
      <c r="H63" s="2496"/>
      <c r="I63" s="137"/>
      <c r="J63" s="3169" t="s">
        <v>2230</v>
      </c>
      <c r="K63" s="2498" t="s">
        <v>2231</v>
      </c>
      <c r="L63" s="1751">
        <f ca="1">IF(M49&gt;10000,M49*0.5%,IF(AND(M49&gt;1000,M49&lt;=10000),M49*1%,IF(AND(M49&gt;100,M49&lt;=1000),M49*3%,IF(AND(M49&gt;10,M49&lt;=100),M49*5%,M49*8%))))</f>
        <v>405.27</v>
      </c>
      <c r="M63" s="24">
        <f ca="1">ROUND(L63,1)</f>
        <v>405.3</v>
      </c>
      <c r="Z63" s="2422"/>
      <c r="AI63" s="2423"/>
    </row>
    <row r="64" spans="1:35" ht="14.25" hidden="1" customHeight="1">
      <c r="A64" s="196" t="s">
        <v>770</v>
      </c>
      <c r="B64" s="197" t="s">
        <v>2232</v>
      </c>
      <c r="C64" s="198">
        <f ca="1">D45</f>
        <v>81054</v>
      </c>
      <c r="D64" s="199" t="s">
        <v>32</v>
      </c>
      <c r="E64" s="200"/>
      <c r="F64" s="2488"/>
      <c r="G64" s="2488"/>
      <c r="H64" s="2496"/>
      <c r="I64" s="137"/>
      <c r="J64" s="3169"/>
      <c r="K64" s="2498" t="s">
        <v>2233</v>
      </c>
      <c r="L64" s="1751">
        <f ca="1">IF(M49&gt;2000,M49*0.5%,IF(AND(M49&gt;1000,M49&lt;=2000),M49*0.6%,IF(AND(M49&gt;500,M49&lt;=1000),M49*0.7%,IF(AND(M49&gt;200,M49&lt;=500),M49*0.8%,IF(AND(M49&gt;100,M49&lt;=200),M49*0.9%,IF(AND(M49&gt;50,M49&lt;=100),M49*1%,IF(AND(M49&gt;20,M49&lt;=50),M49*1.5%,IF(AND(M49&gt;10,M49&lt;=20),M49*2%,IF(AND(M49&gt;1,M49&lt;=10),M49*2.5%)))))))))</f>
        <v>405.27</v>
      </c>
      <c r="M64" s="24">
        <f t="shared" ref="M64:M65" ca="1" si="1">ROUND(L64,1)</f>
        <v>405.3</v>
      </c>
      <c r="N64" s="137" t="s">
        <v>2234</v>
      </c>
      <c r="Z64" s="2422"/>
      <c r="AI64" s="2423"/>
    </row>
    <row r="65" spans="1:35" ht="14.25" hidden="1" customHeight="1">
      <c r="A65" s="196" t="s">
        <v>771</v>
      </c>
      <c r="B65" s="197" t="s">
        <v>2235</v>
      </c>
      <c r="C65" s="201"/>
      <c r="D65" s="199"/>
      <c r="E65" s="200"/>
      <c r="F65" s="2488"/>
      <c r="G65" s="2488"/>
      <c r="H65" s="2496"/>
      <c r="I65" s="137"/>
      <c r="J65" s="3169"/>
      <c r="K65" s="2498" t="s">
        <v>2236</v>
      </c>
      <c r="L65" s="1751">
        <f ca="1">IF(M49&gt;1000,M49*0.1%,IF(AND(M49&gt;500,M49&lt;=1000),M49*0.5%,IF(AND(M49&gt;50,M49&lt;=500),M49*1%,IF(AND(M49&gt;1,M49&lt;=50),M49*1.5%))))</f>
        <v>81.054000000000002</v>
      </c>
      <c r="M65" s="24">
        <f t="shared" ca="1" si="1"/>
        <v>81.099999999999994</v>
      </c>
      <c r="N65" s="137" t="s">
        <v>2234</v>
      </c>
      <c r="Z65" s="2422"/>
      <c r="AI65" s="2423"/>
    </row>
    <row r="66" spans="1:35" ht="14.25" hidden="1" customHeight="1">
      <c r="A66" s="202" t="s">
        <v>772</v>
      </c>
      <c r="B66" s="203" t="s">
        <v>2237</v>
      </c>
      <c r="C66" s="204"/>
      <c r="D66" s="205" t="s">
        <v>32</v>
      </c>
      <c r="E66" s="1775" t="s">
        <v>1371</v>
      </c>
      <c r="F66" s="2488"/>
      <c r="G66" s="2488"/>
      <c r="H66" s="2496"/>
      <c r="I66" s="137"/>
      <c r="J66" s="3169"/>
      <c r="K66" s="2498" t="s">
        <v>2238</v>
      </c>
      <c r="L66" s="1751">
        <f ca="1">M49*0.5%</f>
        <v>405.27</v>
      </c>
      <c r="M66" s="24">
        <f ca="1">IF(L66&gt;0.5,0.5,ROUND(L66,0))</f>
        <v>0.5</v>
      </c>
      <c r="N66" s="137" t="s">
        <v>2239</v>
      </c>
      <c r="Z66" s="2422"/>
      <c r="AI66" s="2423"/>
    </row>
    <row r="67" spans="1:35" ht="14.25" hidden="1" customHeight="1">
      <c r="A67" s="202" t="s">
        <v>773</v>
      </c>
      <c r="B67" s="203" t="s">
        <v>2240</v>
      </c>
      <c r="C67" s="206">
        <f ca="1">C63-C66</f>
        <v>77194</v>
      </c>
      <c r="D67" s="199" t="s">
        <v>32</v>
      </c>
      <c r="E67" s="200"/>
      <c r="F67" s="2488"/>
      <c r="G67" s="2488"/>
      <c r="H67" s="2496"/>
      <c r="I67" s="137"/>
      <c r="J67" s="3169"/>
      <c r="K67" s="2498" t="s">
        <v>2241</v>
      </c>
      <c r="L67" s="1751">
        <f ca="1">IF(M49&gt;=10000,(8.25+(M49-10000)*0.01%),IF(AND(M49&gt;=8000,M49&lt;10000),(7.85+(M49-8000)*0.02%),IF(AND(M49&gt;=5000,M49&lt;8000),(6.65+(M49-5000)*0.04%),IF(AND(M49&gt;=2000,M49&lt;5000),(4.25+(PM49-2000)*0.08%),IF(AND(M49&gt;=1000,M49&lt;2000),(2.75+(M49-1000)*0.15%),IF(AND(M49&gt;=100,M49&lt;1000),(0.5+(M49-100)*0.25%),IF(AND(M49&gt;0,M49&lt;100),M49*0.5%)))))))</f>
        <v>15.355399999999999</v>
      </c>
      <c r="M67" s="24">
        <f ca="1">ROUND(L67*0.9,1)</f>
        <v>13.8</v>
      </c>
      <c r="Z67" s="2422"/>
      <c r="AI67" s="2423"/>
    </row>
    <row r="68" spans="1:35" ht="14.25" hidden="1" customHeight="1" thickBot="1">
      <c r="A68" s="207" t="s">
        <v>774</v>
      </c>
      <c r="B68" s="208" t="s">
        <v>2242</v>
      </c>
      <c r="C68" s="209">
        <f ca="1">IF(C67&lt;=0,0,ROUND(C67*D68,0))</f>
        <v>4246</v>
      </c>
      <c r="D68" s="210">
        <f>'数据-取费表'!B41</f>
        <v>5.5000000000000007E-2</v>
      </c>
      <c r="E68" s="211"/>
      <c r="F68" s="2488"/>
      <c r="G68" s="2488"/>
      <c r="H68" s="2496"/>
      <c r="I68" s="137"/>
      <c r="J68" s="3169"/>
      <c r="K68" s="2498" t="s">
        <v>2243</v>
      </c>
      <c r="L68" s="1751">
        <f ca="1">IF(M49&gt;10000,M49*0.5%,IF(AND(M49&gt;5000,M49&lt;=10000),M49*1%,IF(AND(M49&gt;1000,M49&lt;=5000),M49*2%,IF(AND(M49&gt;200,M49&lt;=1000),M49*3%,M49*5%))))</f>
        <v>405.27</v>
      </c>
      <c r="M68" s="24">
        <f ca="1">ROUND(L68,1)</f>
        <v>405.3</v>
      </c>
      <c r="Z68" s="2422"/>
      <c r="AI68" s="2423"/>
    </row>
    <row r="69" spans="1:35" s="2445" customFormat="1" ht="16.5" hidden="1" customHeight="1">
      <c r="A69" s="2499"/>
      <c r="B69" s="2500"/>
      <c r="C69" s="2501"/>
      <c r="D69" s="2502"/>
      <c r="E69" s="2503"/>
      <c r="F69" s="2168"/>
      <c r="G69" s="2168"/>
      <c r="H69" s="2167"/>
      <c r="I69" s="2417"/>
      <c r="J69" s="3169"/>
      <c r="K69" s="2498" t="s">
        <v>2244</v>
      </c>
      <c r="L69" s="2504"/>
      <c r="M69" s="24">
        <f ca="1">ROUND(SUM(M63:M68),0)</f>
        <v>1311</v>
      </c>
      <c r="N69" s="1752">
        <f ca="1">M69/M49</f>
        <v>1.6174402250351619E-2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hidden="1" thickBot="1">
      <c r="A70" s="3213" t="s">
        <v>2245</v>
      </c>
      <c r="B70" s="3214"/>
      <c r="C70" s="3214"/>
      <c r="D70" s="3214"/>
      <c r="E70" s="3214"/>
      <c r="F70" s="3214"/>
      <c r="G70" s="3214"/>
      <c r="H70" s="3214"/>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hidden="1">
      <c r="A71" s="3204" t="s">
        <v>2226</v>
      </c>
      <c r="B71" s="3205"/>
      <c r="C71" s="1803"/>
      <c r="D71" s="1803" t="s">
        <v>2227</v>
      </c>
      <c r="E71" s="212" t="s">
        <v>2228</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hidden="1">
      <c r="A72" s="202" t="s">
        <v>775</v>
      </c>
      <c r="B72" s="203" t="s">
        <v>2246</v>
      </c>
      <c r="C72" s="206">
        <f ca="1">ROUND(D45/(1+'数据-取费表'!C42),0)</f>
        <v>77194</v>
      </c>
      <c r="D72" s="199" t="s">
        <v>32</v>
      </c>
      <c r="E72" s="1802"/>
      <c r="F72" s="1796"/>
      <c r="G72" s="1796"/>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hidden="1">
      <c r="A73" s="202" t="s">
        <v>772</v>
      </c>
      <c r="B73" s="172" t="s">
        <v>2247</v>
      </c>
      <c r="C73" s="206">
        <f ca="1">C74+C78</f>
        <v>386</v>
      </c>
      <c r="D73" s="199" t="s">
        <v>32</v>
      </c>
      <c r="E73" s="1802"/>
      <c r="F73" s="1796"/>
      <c r="G73" s="1796"/>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hidden="1">
      <c r="A74" s="216" t="s">
        <v>770</v>
      </c>
      <c r="B74" s="197" t="s">
        <v>2248</v>
      </c>
      <c r="C74" s="199">
        <f>ROUND(IF(G77="2016年5月1日后购买",C75/(1+'数据-取费表'!C42)+C76+C77,C75+C76+C77),0)</f>
        <v>0</v>
      </c>
      <c r="D74" s="199" t="s">
        <v>32</v>
      </c>
      <c r="E74" s="1802"/>
      <c r="F74" s="1796"/>
      <c r="G74" s="1796"/>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hidden="1">
      <c r="A75" s="216" t="s">
        <v>776</v>
      </c>
      <c r="B75" s="197" t="s">
        <v>2249</v>
      </c>
      <c r="C75" s="217"/>
      <c r="D75" s="199" t="s">
        <v>32</v>
      </c>
      <c r="E75" s="218" t="s">
        <v>2250</v>
      </c>
      <c r="F75" s="2510" t="s">
        <v>2251</v>
      </c>
      <c r="G75" s="218" t="s">
        <v>2252</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hidden="1" customHeight="1">
      <c r="A76" s="216" t="s">
        <v>777</v>
      </c>
      <c r="B76" s="220" t="s">
        <v>2253</v>
      </c>
      <c r="C76" s="199">
        <f>IF(F75="购房发票",ROUND(C75*H75*D76,0),0)</f>
        <v>0</v>
      </c>
      <c r="D76" s="221">
        <v>0.05</v>
      </c>
      <c r="E76" s="3210" t="s">
        <v>2254</v>
      </c>
      <c r="F76" s="3209"/>
      <c r="G76" s="3209"/>
      <c r="H76" s="3212"/>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hidden="1" customHeight="1">
      <c r="A77" s="216" t="s">
        <v>778</v>
      </c>
      <c r="B77" s="197" t="s">
        <v>2255</v>
      </c>
      <c r="C77" s="199">
        <f>ROUND(IF(G77="个人住宅",0,IF(G77="2016年5月1日前购买",C75*D77,C75*D77/(1+'数据-取费表'!C42))),0)</f>
        <v>0</v>
      </c>
      <c r="D77" s="222">
        <f>'数据-取费表'!B48+'数据-取费表'!B49</f>
        <v>3.0499999999999999E-2</v>
      </c>
      <c r="E77" s="15" t="s">
        <v>2256</v>
      </c>
      <c r="F77" s="223"/>
      <c r="G77" s="2512" t="s">
        <v>2257</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hidden="1" customHeight="1">
      <c r="A78" s="216" t="s">
        <v>771</v>
      </c>
      <c r="B78" s="197" t="s">
        <v>2258</v>
      </c>
      <c r="C78" s="224">
        <f ca="1">ROUND(D45*D78/(1+'数据-取费表'!C42),0)</f>
        <v>386</v>
      </c>
      <c r="D78" s="225">
        <f>'数据-取费表'!B43</f>
        <v>5.000000000000001E-3</v>
      </c>
      <c r="E78" s="3201" t="s">
        <v>2259</v>
      </c>
      <c r="F78" s="3202"/>
      <c r="G78" s="3202"/>
      <c r="H78" s="3203"/>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hidden="1">
      <c r="A79" s="2514" t="s">
        <v>779</v>
      </c>
      <c r="B79" s="203" t="s">
        <v>2260</v>
      </c>
      <c r="C79" s="206">
        <f ca="1">C72-C73</f>
        <v>76808</v>
      </c>
      <c r="D79" s="199" t="s">
        <v>32</v>
      </c>
      <c r="E79" s="1802"/>
      <c r="F79" s="1796"/>
      <c r="G79" s="1796"/>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hidden="1">
      <c r="A80" s="2514" t="s">
        <v>780</v>
      </c>
      <c r="B80" s="203" t="s">
        <v>2261</v>
      </c>
      <c r="C80" s="226">
        <f ca="1">IF(C79&lt;=0,0,C79/C73)</f>
        <v>198.98445595854923</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hidden="1" thickBot="1">
      <c r="A81" s="2515" t="s">
        <v>781</v>
      </c>
      <c r="B81" s="208" t="s">
        <v>2262</v>
      </c>
      <c r="C81" s="227">
        <f ca="1">ROUND(IF(C79&lt;=0,0,IF(C80&gt;=200%,C79*60%-C73*35%,IF(C80&gt;=100%,C79*50%-C73*15%,IF(C80&gt;=50%,C79*40%-C73*5%,IF(C80&lt;50%,C79*30%,0))))),0)</f>
        <v>45950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hidden="1"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hidden="1" thickBot="1">
      <c r="A83" s="3213" t="s">
        <v>2263</v>
      </c>
      <c r="B83" s="3214"/>
      <c r="C83" s="3214"/>
      <c r="D83" s="3214"/>
      <c r="E83" s="3214"/>
      <c r="F83" s="3214"/>
      <c r="G83" s="3214"/>
      <c r="H83" s="3214"/>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hidden="1">
      <c r="A84" s="3204" t="s">
        <v>2226</v>
      </c>
      <c r="B84" s="3205"/>
      <c r="C84" s="1803"/>
      <c r="D84" s="1803" t="s">
        <v>2227</v>
      </c>
      <c r="E84" s="212" t="s">
        <v>2228</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hidden="1">
      <c r="A85" s="202" t="s">
        <v>775</v>
      </c>
      <c r="B85" s="203" t="s">
        <v>2246</v>
      </c>
      <c r="C85" s="206">
        <f ca="1">ROUND(D45/(1+'数据-取费表'!C42),0)</f>
        <v>77194</v>
      </c>
      <c r="D85" s="199" t="s">
        <v>32</v>
      </c>
      <c r="E85" s="1802"/>
      <c r="F85" s="1796"/>
      <c r="G85" s="1796"/>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hidden="1">
      <c r="A86" s="202" t="s">
        <v>772</v>
      </c>
      <c r="B86" s="172" t="s">
        <v>2247</v>
      </c>
      <c r="C86" s="206">
        <f ca="1">IF(H88="仅含出让金",C87+C90+C91+C92+C93+C94,C87+C91+C92+C93+C94)</f>
        <v>386</v>
      </c>
      <c r="D86" s="234"/>
      <c r="E86" s="1802"/>
      <c r="F86" s="1796"/>
      <c r="G86" s="1796"/>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hidden="1">
      <c r="A87" s="216" t="s">
        <v>770</v>
      </c>
      <c r="B87" s="197" t="s">
        <v>2264</v>
      </c>
      <c r="C87" s="224">
        <f>C88+C89</f>
        <v>0</v>
      </c>
      <c r="D87" s="225"/>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hidden="1">
      <c r="A88" s="216" t="s">
        <v>776</v>
      </c>
      <c r="B88" s="197" t="s">
        <v>2265</v>
      </c>
      <c r="C88" s="235"/>
      <c r="D88" s="225"/>
      <c r="E88" s="236" t="s">
        <v>2266</v>
      </c>
      <c r="F88" s="1799"/>
      <c r="G88" s="237" t="s">
        <v>2267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hidden="1">
      <c r="A89" s="216" t="s">
        <v>777</v>
      </c>
      <c r="B89" s="197" t="s">
        <v>2255</v>
      </c>
      <c r="C89" s="224">
        <f>ROUND(C88*D89,0)</f>
        <v>0</v>
      </c>
      <c r="D89" s="225">
        <f>'数据-取费表'!B48+'数据-取费表'!B49</f>
        <v>3.0499999999999999E-2</v>
      </c>
      <c r="E89" s="236" t="s">
        <v>2268</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hidden="1">
      <c r="A90" s="216" t="s">
        <v>771</v>
      </c>
      <c r="B90" s="197" t="s">
        <v>2269</v>
      </c>
      <c r="C90" s="235"/>
      <c r="D90" s="225"/>
      <c r="E90" s="236"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hidden="1" customHeight="1">
      <c r="A91" s="216" t="s">
        <v>2270</v>
      </c>
      <c r="B91" s="197" t="s">
        <v>2271</v>
      </c>
      <c r="C91" s="224">
        <f>IF(H91="——",成本法!C33,I91)</f>
        <v>0</v>
      </c>
      <c r="D91" s="225"/>
      <c r="E91" s="3201" t="s">
        <v>2272</v>
      </c>
      <c r="F91" s="3202"/>
      <c r="G91" s="3202"/>
      <c r="H91" s="2517" t="s">
        <v>2273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hidden="1" customHeight="1">
      <c r="A92" s="216" t="s">
        <v>2274</v>
      </c>
      <c r="B92" s="197" t="s">
        <v>2275</v>
      </c>
      <c r="C92" s="224">
        <f>ROUND((C87+C90+C91)*D92,0)</f>
        <v>0</v>
      </c>
      <c r="D92" s="225">
        <v>0.1</v>
      </c>
      <c r="E92" s="3201" t="s">
        <v>2276</v>
      </c>
      <c r="F92" s="3202"/>
      <c r="G92" s="3202"/>
      <c r="H92" s="3203"/>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hidden="1" customHeight="1">
      <c r="A93" s="216" t="s">
        <v>2277</v>
      </c>
      <c r="B93" s="197" t="s">
        <v>2258</v>
      </c>
      <c r="C93" s="224">
        <f ca="1">ROUND(D45*D93/(1+'数据-取费表'!C42),0)</f>
        <v>386</v>
      </c>
      <c r="D93" s="225">
        <f>'数据-取费表'!B43</f>
        <v>5.000000000000001E-3</v>
      </c>
      <c r="E93" s="3201" t="s">
        <v>2259</v>
      </c>
      <c r="F93" s="3202"/>
      <c r="G93" s="3202"/>
      <c r="H93" s="3203"/>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hidden="1" customHeight="1">
      <c r="A94" s="216" t="s">
        <v>2278</v>
      </c>
      <c r="B94" s="197" t="s">
        <v>2279</v>
      </c>
      <c r="C94" s="235">
        <f>ROUND((C87+C90+C91)*D94,0)</f>
        <v>0</v>
      </c>
      <c r="D94" s="225">
        <v>0.2</v>
      </c>
      <c r="E94" s="3249" t="s">
        <v>2280</v>
      </c>
      <c r="F94" s="3250"/>
      <c r="G94" s="3250"/>
      <c r="H94" s="3251"/>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hidden="1">
      <c r="A95" s="2514" t="s">
        <v>779</v>
      </c>
      <c r="B95" s="203" t="s">
        <v>2260</v>
      </c>
      <c r="C95" s="206">
        <f ca="1">ROUND(C85-C86,0)</f>
        <v>76808</v>
      </c>
      <c r="D95" s="199" t="s">
        <v>32</v>
      </c>
      <c r="E95" s="1802"/>
      <c r="F95" s="1796"/>
      <c r="G95" s="1796"/>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hidden="1">
      <c r="A96" s="2514" t="s">
        <v>780</v>
      </c>
      <c r="B96" s="203" t="s">
        <v>2261</v>
      </c>
      <c r="C96" s="226">
        <f ca="1">IF(C95&lt;=0,0,C95/C86)</f>
        <v>198.98445595854923</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hidden="1" thickBot="1">
      <c r="A97" s="2515" t="s">
        <v>781</v>
      </c>
      <c r="B97" s="208" t="s">
        <v>2262</v>
      </c>
      <c r="C97" s="227">
        <f ca="1">ROUND(IF(C95&lt;=0,0,IF(C96&gt;=200%,C95*60%-C86*35%,IF(C96&gt;=100%,C95*50%-C86*15%,IF(C96&gt;=50%,C95*40%-C86*5%,IF(C96&lt;50%,C95*30%,0))))),0)</f>
        <v>45950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hidden="1" customHeight="1">
      <c r="A98" s="2495"/>
      <c r="B98" s="2417"/>
      <c r="C98" s="2417"/>
      <c r="D98" s="2417"/>
      <c r="E98" s="2168"/>
      <c r="F98" s="2168"/>
      <c r="G98" s="2168"/>
      <c r="H98" s="2167"/>
      <c r="I98" s="137"/>
    </row>
    <row r="99" spans="1:35" ht="21.75" customHeight="1" thickBot="1">
      <c r="A99" s="2473" t="s">
        <v>2281</v>
      </c>
      <c r="B99" s="2417"/>
      <c r="C99" s="2417"/>
      <c r="D99" s="2417"/>
      <c r="E99" s="2168"/>
      <c r="F99" s="2168"/>
      <c r="G99" s="2168"/>
      <c r="H99" s="2167"/>
      <c r="I99" s="137"/>
    </row>
    <row r="100" spans="1:35" ht="18.75" customHeight="1">
      <c r="A100" s="3153" t="s">
        <v>2282</v>
      </c>
      <c r="B100" s="3154"/>
      <c r="C100" s="3154"/>
      <c r="D100" s="3185"/>
      <c r="E100" s="3154" t="s">
        <v>2283</v>
      </c>
      <c r="F100" s="3154"/>
      <c r="G100" s="3154"/>
      <c r="H100" s="3185"/>
      <c r="I100" s="137"/>
    </row>
    <row r="101" spans="1:35" ht="18.75" customHeight="1">
      <c r="A101" s="3193" t="s">
        <v>2284</v>
      </c>
      <c r="B101" s="3194"/>
      <c r="C101" s="735" t="str">
        <f>C4</f>
        <v>成本法</v>
      </c>
      <c r="D101" s="736" t="str">
        <f>D4</f>
        <v>收益法</v>
      </c>
      <c r="E101" s="3165" t="s">
        <v>2285</v>
      </c>
      <c r="F101" s="3166"/>
      <c r="G101" s="2519" t="s">
        <v>2286</v>
      </c>
      <c r="H101" s="1047">
        <f ca="1">H118</f>
        <v>81054</v>
      </c>
      <c r="I101" s="137"/>
    </row>
    <row r="102" spans="1:35" ht="18.75" customHeight="1">
      <c r="A102" s="3195" t="s">
        <v>2287</v>
      </c>
      <c r="B102" s="2519" t="s">
        <v>2286</v>
      </c>
      <c r="C102" s="735">
        <f ca="1">C19</f>
        <v>33072</v>
      </c>
      <c r="D102" s="736">
        <f ca="1">D19</f>
        <v>101617</v>
      </c>
      <c r="E102" s="3165"/>
      <c r="F102" s="3166"/>
      <c r="G102" s="2519" t="s">
        <v>2288</v>
      </c>
      <c r="H102" s="370">
        <f ca="1">I118</f>
        <v>16939</v>
      </c>
      <c r="I102" s="137"/>
    </row>
    <row r="103" spans="1:35" ht="42.75" customHeight="1">
      <c r="A103" s="3195"/>
      <c r="B103" s="2519" t="s">
        <v>2288</v>
      </c>
      <c r="C103" s="737">
        <f ca="1">C20</f>
        <v>6912</v>
      </c>
      <c r="D103" s="738">
        <f ca="1">D20</f>
        <v>21236</v>
      </c>
      <c r="E103" s="3159" t="s">
        <v>3298</v>
      </c>
      <c r="F103" s="3160"/>
      <c r="G103" s="2520" t="s">
        <v>2289</v>
      </c>
      <c r="H103" s="1047">
        <f>IF(D36="正常操作",H104+H105+H106,H105+H106)</f>
        <v>0</v>
      </c>
      <c r="I103" s="137"/>
    </row>
    <row r="104" spans="1:35" ht="18.75" customHeight="1">
      <c r="A104" s="3195" t="s">
        <v>2290</v>
      </c>
      <c r="B104" s="2521" t="s">
        <v>2286</v>
      </c>
      <c r="C104" s="739">
        <f ca="1">H118</f>
        <v>81054</v>
      </c>
      <c r="D104" s="740"/>
      <c r="E104" s="2268" t="s">
        <v>2291</v>
      </c>
      <c r="F104" s="2259"/>
      <c r="G104" s="2520" t="s">
        <v>2289</v>
      </c>
      <c r="H104" s="1048">
        <f>IF(D36="同一抵押权人同一抵押物续贷",C36&amp;"（未扣减，详见特别提示）",C36)</f>
        <v>55000</v>
      </c>
      <c r="I104" s="137"/>
    </row>
    <row r="105" spans="1:35" ht="18.75" customHeight="1" thickBot="1">
      <c r="A105" s="3207"/>
      <c r="B105" s="2522" t="s">
        <v>2288</v>
      </c>
      <c r="C105" s="741">
        <f ca="1">I118</f>
        <v>16939</v>
      </c>
      <c r="D105" s="742"/>
      <c r="E105" s="2268" t="s">
        <v>2292</v>
      </c>
      <c r="F105" s="2259"/>
      <c r="G105" s="2520" t="s">
        <v>2289</v>
      </c>
      <c r="H105" s="1048">
        <f>C37</f>
        <v>0</v>
      </c>
      <c r="I105" s="137"/>
    </row>
    <row r="106" spans="1:35" ht="18.75" customHeight="1">
      <c r="A106" s="2417" t="s">
        <v>2293</v>
      </c>
      <c r="B106" s="2417"/>
      <c r="C106" s="2417"/>
      <c r="D106" s="2417"/>
      <c r="E106" s="2523" t="s">
        <v>2294</v>
      </c>
      <c r="F106" s="2259"/>
      <c r="G106" s="2520" t="s">
        <v>2289</v>
      </c>
      <c r="H106" s="1048">
        <f>C38</f>
        <v>0</v>
      </c>
      <c r="I106" s="137"/>
    </row>
    <row r="107" spans="1:35" ht="18.75" hidden="1" customHeight="1">
      <c r="A107" s="137"/>
      <c r="B107" s="137"/>
      <c r="C107" s="137"/>
      <c r="D107" s="137"/>
      <c r="E107" s="3196" t="str">
        <f>IF(项目基本情况!E8="已注销","——","3.房地产抵押价值")</f>
        <v>——</v>
      </c>
      <c r="F107" s="3166"/>
      <c r="G107" s="2519" t="s">
        <v>2286</v>
      </c>
      <c r="H107" s="1047" t="str">
        <f>IF(E107="——","——",H101-H103)</f>
        <v>——</v>
      </c>
      <c r="I107" s="137"/>
    </row>
    <row r="108" spans="1:35" ht="18.75" hidden="1" customHeight="1">
      <c r="A108" s="137"/>
      <c r="B108" s="137"/>
      <c r="C108" s="137"/>
      <c r="D108" s="137"/>
      <c r="E108" s="3196"/>
      <c r="F108" s="3166"/>
      <c r="G108" s="2519" t="s">
        <v>2288</v>
      </c>
      <c r="H108" s="370" t="e">
        <f>ROUND(H107*10000/'数据-汇总表'!E3,0)</f>
        <v>#VALUE!</v>
      </c>
      <c r="I108" s="137"/>
    </row>
    <row r="109" spans="1:35" ht="18.75" customHeight="1">
      <c r="A109" s="137"/>
      <c r="B109" s="137"/>
      <c r="C109" s="137"/>
      <c r="D109" s="137"/>
      <c r="E109" s="3196" t="str">
        <f>IF(项目基本情况!E8="已注销及未注销","4.抵押担保权已注销时的房地产抵押价值",IF(项目基本情况!E8="已注销","3.抵押担保权已注销时的房地产抵押价值","——"))</f>
        <v>3.抵押担保权已注销时的房地产抵押价值</v>
      </c>
      <c r="F109" s="3166"/>
      <c r="G109" s="2519" t="s">
        <v>2286</v>
      </c>
      <c r="H109" s="347">
        <f ca="1">IF(E109="——","——",H101-H105-H106)</f>
        <v>81054</v>
      </c>
      <c r="I109" s="137"/>
    </row>
    <row r="110" spans="1:35" ht="18.75" customHeight="1" thickBot="1">
      <c r="A110" s="137"/>
      <c r="B110" s="137"/>
      <c r="C110" s="137"/>
      <c r="D110" s="137"/>
      <c r="E110" s="3196"/>
      <c r="F110" s="3166"/>
      <c r="G110" s="2519" t="s">
        <v>2288</v>
      </c>
      <c r="H110" s="370">
        <f ca="1">IF(H109="——","——",ROUND(H109*10000/'数据-汇总表'!E3,0))</f>
        <v>16939</v>
      </c>
      <c r="I110" s="137"/>
    </row>
    <row r="111" spans="1:35" ht="18.75" hidden="1" customHeight="1">
      <c r="A111" s="137"/>
      <c r="B111" s="137"/>
      <c r="C111" s="137"/>
      <c r="D111" s="137"/>
      <c r="E111" s="3197" t="str">
        <f>IF(项目基本情况!E9="抵押净值",IF(OR(项目基本情况!E8="已注销",项目基本情况!E8="房地产抵押价值"),"4.抵押净值","5.抵押净值"),"——")</f>
        <v>——</v>
      </c>
      <c r="F111" s="3198"/>
      <c r="G111" s="2519" t="s">
        <v>2286</v>
      </c>
      <c r="H111" s="1047" t="str">
        <f>IF(E111="——","——",N59)</f>
        <v>——</v>
      </c>
      <c r="I111" s="137"/>
    </row>
    <row r="112" spans="1:35" ht="18.75" hidden="1" customHeight="1" thickBot="1">
      <c r="A112" s="137"/>
      <c r="B112" s="137"/>
      <c r="C112" s="137"/>
      <c r="D112" s="137"/>
      <c r="E112" s="3199"/>
      <c r="F112" s="3200"/>
      <c r="G112" s="2524" t="s">
        <v>2288</v>
      </c>
      <c r="H112" s="789" t="str">
        <f>IF(E111="——","——",N61)</f>
        <v>——</v>
      </c>
      <c r="I112" s="137"/>
    </row>
    <row r="113" spans="1:11" ht="18.75" customHeight="1">
      <c r="A113" s="137"/>
      <c r="B113" s="137"/>
      <c r="C113" s="137"/>
      <c r="D113" s="137"/>
      <c r="E113" s="3208" t="s">
        <v>2293</v>
      </c>
      <c r="F113" s="3208"/>
      <c r="G113" s="3208"/>
      <c r="H113" s="3208"/>
      <c r="I113" s="137"/>
    </row>
    <row r="114" spans="1:11" ht="3.75" customHeight="1">
      <c r="A114" s="2417"/>
      <c r="B114" s="2417"/>
      <c r="C114" s="2417"/>
      <c r="D114" s="2417"/>
      <c r="E114" s="2495"/>
      <c r="F114" s="2495"/>
      <c r="G114" s="2495"/>
      <c r="H114" s="2495"/>
      <c r="I114" s="2417"/>
    </row>
    <row r="115" spans="1:11" ht="18.75" customHeight="1">
      <c r="A115" s="3221" t="s">
        <v>2295</v>
      </c>
      <c r="B115" s="3222"/>
      <c r="C115" s="3222"/>
      <c r="D115" s="3222"/>
      <c r="E115" s="3222"/>
      <c r="F115" s="3222"/>
      <c r="G115" s="3222"/>
      <c r="H115" s="3222"/>
      <c r="I115" s="3223"/>
    </row>
    <row r="116" spans="1:11" ht="27" customHeight="1">
      <c r="A116" s="3132" t="s">
        <v>2296</v>
      </c>
      <c r="B116" s="3175" t="s">
        <v>3301</v>
      </c>
      <c r="C116" s="3175" t="s">
        <v>3302</v>
      </c>
      <c r="D116" s="3181" t="s">
        <v>2297</v>
      </c>
      <c r="E116" s="3182"/>
      <c r="F116" s="3217" t="s">
        <v>3303</v>
      </c>
      <c r="G116" s="3217"/>
      <c r="H116" s="3132" t="s">
        <v>2298</v>
      </c>
      <c r="I116" s="3132"/>
    </row>
    <row r="117" spans="1:11" ht="18.75" customHeight="1">
      <c r="A117" s="3132"/>
      <c r="B117" s="3176"/>
      <c r="C117" s="3176"/>
      <c r="D117" s="1797" t="s">
        <v>2299</v>
      </c>
      <c r="E117" s="1797" t="s">
        <v>2300</v>
      </c>
      <c r="F117" s="1797" t="s">
        <v>2299</v>
      </c>
      <c r="G117" s="1797" t="s">
        <v>2301</v>
      </c>
      <c r="H117" s="1797" t="s">
        <v>2299</v>
      </c>
      <c r="I117" s="1797" t="s">
        <v>2301</v>
      </c>
    </row>
    <row r="118" spans="1:11" ht="24.75" customHeight="1">
      <c r="A118" s="2525" t="str">
        <f>项目基本情况!S2</f>
        <v>北京市顺义区天竺镇府前二街1号4幢等8幢房地产</v>
      </c>
      <c r="B118" s="1797">
        <f>M18</f>
        <v>47850.3</v>
      </c>
      <c r="C118" s="1797">
        <f>M19</f>
        <v>34445.57</v>
      </c>
      <c r="D118" s="1797">
        <f ca="1">ROUND(IF(D32="总价",C34,E118*B118/10000),0)</f>
        <v>47984</v>
      </c>
      <c r="E118" s="1797">
        <f ca="1">ROUND(IF(C33="自定义",IF(D32="楼面单价",C34,D118*10000/B118),I118-G118),0)</f>
        <v>10028</v>
      </c>
      <c r="F118" s="1797">
        <f ca="1">ROUND(IF(D32="总价",C35,G118*B118/10000),0)</f>
        <v>33070</v>
      </c>
      <c r="G118" s="1797">
        <f ca="1">ROUND(IF(D32="楼面单价",C35,F118*10000/B118),0)</f>
        <v>6911</v>
      </c>
      <c r="H118" s="1797">
        <f ca="1">ROUND(IF(D32="总价",C32,I118*B118/10000),0)</f>
        <v>81054</v>
      </c>
      <c r="I118" s="1797">
        <f ca="1">ROUND(IF(D32="楼面单价",C32,H118*10000/B118),0)</f>
        <v>16939</v>
      </c>
    </row>
    <row r="119" spans="1:11" ht="18.75" customHeight="1">
      <c r="A119" s="3132" t="s">
        <v>2302</v>
      </c>
      <c r="B119" s="3132"/>
      <c r="C119" s="3132"/>
      <c r="D119" s="3177" t="str">
        <f ca="1">NUMBERSTRING(INT(D118*10000),2)&amp;"元整"</f>
        <v>肆亿柒仟玖佰捌拾肆万元整</v>
      </c>
      <c r="E119" s="3178"/>
      <c r="F119" s="3177" t="str">
        <f ca="1">NUMBERSTRING(INT(F118*10000),2)&amp;"元整"</f>
        <v>叁亿叁仟零柒拾万元整</v>
      </c>
      <c r="G119" s="3178"/>
      <c r="H119" s="3177" t="str">
        <f ca="1">NUMBERSTRING(INT(H118*10000),2)&amp;"元整"</f>
        <v>捌亿壹仟零伍拾肆万元整</v>
      </c>
      <c r="I119" s="3178"/>
    </row>
    <row r="120" spans="1:11" ht="30" customHeight="1">
      <c r="A120" s="3172" t="str">
        <f>IF(项目基本情况!B9="房地产市场价值","",MID(E103,3,LEN(E103)-2))</f>
        <v>估价师知悉的除抵押担保权以外的法定优先受偿款</v>
      </c>
      <c r="B120" s="3173"/>
      <c r="C120" s="3174"/>
      <c r="D120" s="3172">
        <f>H103</f>
        <v>0</v>
      </c>
      <c r="E120" s="3173"/>
      <c r="F120" s="3173"/>
      <c r="G120" s="3173"/>
      <c r="H120" s="3173"/>
      <c r="I120" s="3174"/>
      <c r="K120" s="2422" t="str">
        <f>IF(D120=0,"故，本次评估不存在"&amp;A120,"故，本次评估"&amp;A120&amp;"为人民币"&amp;D120&amp;"万元整。")</f>
        <v>故，本次评估不存在估价师知悉的除抵押担保权以外的法定优先受偿款</v>
      </c>
    </row>
    <row r="121" spans="1:11" ht="18.75" customHeight="1">
      <c r="A121" s="3218" t="s">
        <v>2302</v>
      </c>
      <c r="B121" s="3219"/>
      <c r="C121" s="3220"/>
      <c r="D121" s="3177" t="str">
        <f>IF(D120=0,"零元整",NUMBERSTRING(INT(D120*10000),2)&amp;"元整")</f>
        <v>零元整</v>
      </c>
      <c r="E121" s="3179"/>
      <c r="F121" s="3179"/>
      <c r="G121" s="3179"/>
      <c r="H121" s="3179"/>
      <c r="I121" s="3178"/>
    </row>
    <row r="122" spans="1:11" ht="18.75" hidden="1" customHeight="1">
      <c r="A122" s="3183" t="str">
        <f>IF(项目基本情况!B9="房地产市场价值","",MID(E107,3,LEN(E107)-2))</f>
        <v/>
      </c>
      <c r="B122" s="3183"/>
      <c r="C122" s="3183"/>
      <c r="D122" s="3172" t="str">
        <f>H107</f>
        <v>——</v>
      </c>
      <c r="E122" s="3173"/>
      <c r="F122" s="3173"/>
      <c r="G122" s="3173"/>
      <c r="H122" s="3173"/>
      <c r="I122" s="3174"/>
    </row>
    <row r="123" spans="1:11" ht="18.75" hidden="1" customHeight="1">
      <c r="A123" s="3132" t="s">
        <v>2302</v>
      </c>
      <c r="B123" s="3132"/>
      <c r="C123" s="3132"/>
      <c r="D123" s="3177" t="e">
        <f>NUMBERSTRING(INT(D122*10000),2)&amp;"元整"</f>
        <v>#VALUE!</v>
      </c>
      <c r="E123" s="3179"/>
      <c r="F123" s="3179"/>
      <c r="G123" s="3179"/>
      <c r="H123" s="3179"/>
      <c r="I123" s="3178"/>
    </row>
    <row r="124" spans="1:11" ht="18.75" customHeight="1">
      <c r="A124" s="3183" t="str">
        <f>IF(项目基本情况!B9="房地产市场价值","",MID(E109,3,LEN(E109)-2))</f>
        <v>抵押担保权已注销时的房地产抵押价值</v>
      </c>
      <c r="B124" s="3183"/>
      <c r="C124" s="3183"/>
      <c r="D124" s="3172">
        <f ca="1">H109</f>
        <v>81054</v>
      </c>
      <c r="E124" s="3173"/>
      <c r="F124" s="3173"/>
      <c r="G124" s="3173"/>
      <c r="H124" s="3173"/>
      <c r="I124" s="3174"/>
    </row>
    <row r="125" spans="1:11" ht="18.75" customHeight="1">
      <c r="A125" s="3132" t="s">
        <v>2302</v>
      </c>
      <c r="B125" s="3132"/>
      <c r="C125" s="3132"/>
      <c r="D125" s="3177" t="str">
        <f ca="1">NUMBERSTRING(INT(D124*10000),2)&amp;"元整"</f>
        <v>捌亿壹仟零伍拾肆万元整</v>
      </c>
      <c r="E125" s="3179"/>
      <c r="F125" s="3179"/>
      <c r="G125" s="3179"/>
      <c r="H125" s="3179"/>
      <c r="I125" s="3178"/>
    </row>
    <row r="126" spans="1:11" ht="18.75" hidden="1" customHeight="1">
      <c r="A126" s="3183" t="str">
        <f>IF(项目基本情况!B9="房地产市场价值","",MID(E111,3,LEN(E111)-2))</f>
        <v/>
      </c>
      <c r="B126" s="3183"/>
      <c r="C126" s="3183"/>
      <c r="D126" s="3172" t="str">
        <f>H111</f>
        <v>——</v>
      </c>
      <c r="E126" s="3173"/>
      <c r="F126" s="3173"/>
      <c r="G126" s="3173"/>
      <c r="H126" s="3173"/>
      <c r="I126" s="3174"/>
    </row>
    <row r="127" spans="1:11" ht="18.75" hidden="1" customHeight="1">
      <c r="A127" s="3132" t="s">
        <v>2302</v>
      </c>
      <c r="B127" s="3132"/>
      <c r="C127" s="3132"/>
      <c r="D127" s="3177" t="e">
        <f>NUMBERSTRING(INT(D126*10000),2)&amp;"元整"</f>
        <v>#VALUE!</v>
      </c>
      <c r="E127" s="3179"/>
      <c r="F127" s="3179"/>
      <c r="G127" s="3179"/>
      <c r="H127" s="3179"/>
      <c r="I127" s="3178"/>
    </row>
    <row r="128" spans="1:11" ht="21.75" customHeight="1">
      <c r="A128" s="3180" t="s">
        <v>2303</v>
      </c>
      <c r="B128" s="3180"/>
      <c r="C128" s="3180"/>
      <c r="D128" s="3180"/>
      <c r="E128" s="3180"/>
      <c r="F128" s="3180"/>
      <c r="G128" s="3180"/>
      <c r="H128" s="3180"/>
      <c r="I128" s="3180"/>
    </row>
    <row r="129" spans="1:35" ht="21.75" customHeight="1">
      <c r="A129" s="2526" t="s">
        <v>2304</v>
      </c>
      <c r="B129" s="2527"/>
      <c r="C129" s="2528" t="s">
        <v>2305</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2306</v>
      </c>
      <c r="G135" s="2543"/>
      <c r="H135" s="2543"/>
      <c r="I135" s="2544" t="s">
        <v>2307</v>
      </c>
    </row>
    <row r="136" spans="1:35" ht="21.75" customHeight="1">
      <c r="A136" s="794"/>
      <c r="B136" s="2545" t="s">
        <v>2308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2309</v>
      </c>
    </row>
    <row r="139" spans="1:35" ht="21.75" customHeight="1">
      <c r="A139" s="794"/>
      <c r="B139" s="2545" t="s">
        <v>2310</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2309</v>
      </c>
    </row>
    <row r="142" spans="1:35" ht="21.75" customHeight="1">
      <c r="A142" s="794"/>
      <c r="B142" s="2545"/>
      <c r="C142" s="2546"/>
      <c r="D142" s="2547"/>
      <c r="E142" s="2547"/>
      <c r="F142" s="2341"/>
      <c r="G142" s="794"/>
      <c r="H142" s="794"/>
      <c r="I142" s="794"/>
    </row>
    <row r="143" spans="1:35" s="138" customFormat="1" ht="21.75" customHeight="1">
      <c r="A143" s="794"/>
      <c r="B143" s="2545"/>
      <c r="C143" s="2546"/>
      <c r="D143" s="2547"/>
      <c r="E143" s="2547"/>
      <c r="F143" s="234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8" sqref="D38"/>
    </sheetView>
  </sheetViews>
  <sheetFormatPr defaultColWidth="12" defaultRowHeight="12.75"/>
  <cols>
    <col min="1" max="1" width="9.75" style="2796" customWidth="1"/>
    <col min="2" max="2" width="19.25" style="2902" customWidth="1"/>
    <col min="3" max="4" width="12" style="2721"/>
    <col min="5" max="5" width="14.625" style="2721" customWidth="1"/>
    <col min="6" max="8" width="12" style="2721"/>
    <col min="9" max="9" width="12.25" style="2721" bestFit="1" customWidth="1"/>
    <col min="10" max="10" width="12" style="2721"/>
    <col min="11" max="11" width="8.125" style="2788" customWidth="1"/>
    <col min="12" max="12" width="12" style="2721"/>
    <col min="13" max="13" width="8.5" style="2721" customWidth="1"/>
    <col min="14" max="14" width="9.75" style="2721" customWidth="1"/>
    <col min="15" max="25" width="12" style="2721"/>
    <col min="26" max="26" width="9.375" style="2796" customWidth="1"/>
    <col min="27" max="32" width="9.375" style="1374" customWidth="1"/>
    <col min="33" max="36" width="9.375" style="2796" customWidth="1"/>
    <col min="37" max="38" width="9.375" style="2721" customWidth="1"/>
    <col min="39" max="16384" width="12" style="2721"/>
  </cols>
  <sheetData>
    <row r="1" spans="1:36" ht="28.5">
      <c r="A1" s="239" t="s">
        <v>2788</v>
      </c>
      <c r="B1" s="240"/>
      <c r="C1" s="244" t="s">
        <v>2789</v>
      </c>
      <c r="D1" s="387">
        <f>SUM(D29:D30,D33:D39)</f>
        <v>47850.3</v>
      </c>
      <c r="E1" s="2718"/>
      <c r="F1" s="2718"/>
      <c r="G1" s="2718"/>
      <c r="H1" s="2718"/>
      <c r="I1" s="2718"/>
      <c r="J1" s="2718"/>
      <c r="K1" s="1372"/>
      <c r="L1" s="2719" t="s">
        <v>2790</v>
      </c>
      <c r="M1" s="1082">
        <f>SUMPRODUCT((区片价!B5:B9=I2)*(区片价!C3:F3=E2)*(区片价!C5:F9))</f>
        <v>0</v>
      </c>
      <c r="N1" s="1085">
        <f>SUMPRODUCT((因素修正幅度!B5:B9=I2)*(因素修正幅度!C3:F3=E2)*(因素修正幅度!C5:F9))</f>
        <v>0</v>
      </c>
      <c r="O1" s="2720"/>
      <c r="P1" s="2720"/>
      <c r="Q1" s="1372"/>
      <c r="R1" s="1604" t="s">
        <v>2791</v>
      </c>
      <c r="S1" s="1604" t="s">
        <v>2792</v>
      </c>
      <c r="T1" s="1604" t="s">
        <v>2793</v>
      </c>
      <c r="U1" s="1604" t="s">
        <v>2794</v>
      </c>
      <c r="V1" s="1604" t="s">
        <v>2795</v>
      </c>
      <c r="W1" s="1608"/>
      <c r="X1" s="1608"/>
      <c r="Y1" s="1608"/>
      <c r="Z1" s="1608"/>
      <c r="AA1" s="1608"/>
      <c r="AB1" s="1608"/>
      <c r="AC1" s="1609"/>
      <c r="AD1" s="1610"/>
      <c r="AE1" s="1610"/>
      <c r="AF1" s="1610"/>
      <c r="AG1" s="1610"/>
      <c r="AH1" s="1610"/>
      <c r="AI1" s="1610"/>
      <c r="AJ1" s="1611"/>
    </row>
    <row r="2" spans="1:36" ht="15.75">
      <c r="A2" s="244" t="s">
        <v>2796</v>
      </c>
      <c r="B2" s="247">
        <f ca="1">C26</f>
        <v>7524</v>
      </c>
      <c r="C2" s="2722" t="s">
        <v>2797</v>
      </c>
      <c r="D2" s="2723" t="s">
        <v>2798</v>
      </c>
      <c r="E2" s="2724" t="s">
        <v>6</v>
      </c>
      <c r="F2" s="2723" t="s">
        <v>2799</v>
      </c>
      <c r="G2" s="2725" t="str">
        <f>IF(E2="商业",项目基本情况!B37,IF(E2="办公",项目基本情况!C37,IF(E2="住宅",项目基本情况!D37,项目基本情况!E37)))</f>
        <v>七级</v>
      </c>
      <c r="H2" s="2723" t="s">
        <v>2800</v>
      </c>
      <c r="I2" s="2725" t="str">
        <f>IF(E2="商业",项目基本情况!B38,IF(E2="办公",项目基本情况!C38,IF(E2="住宅",项目基本情况!D38,项目基本情况!E38)))</f>
        <v>Ⅶ-顺2</v>
      </c>
      <c r="J2" s="2726"/>
      <c r="K2" s="1372"/>
      <c r="L2" s="2727" t="s">
        <v>2801</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1.8629</v>
      </c>
      <c r="T2" s="1604">
        <f ca="1">ROUND($C$5*$C$18*$C$19*$C$20*S2*$C$24,0)</f>
        <v>3157</v>
      </c>
      <c r="U2" s="1605"/>
      <c r="V2" s="1604">
        <f ca="1">ROUND(T2*U2/10000,0)</f>
        <v>0</v>
      </c>
      <c r="W2" s="1608"/>
      <c r="X2" s="1608"/>
      <c r="Y2" s="1608"/>
      <c r="Z2" s="1608"/>
      <c r="AA2" s="1608"/>
      <c r="AB2" s="1608"/>
      <c r="AC2" s="1609"/>
      <c r="AD2" s="1610"/>
      <c r="AE2" s="1610"/>
      <c r="AF2" s="1610"/>
      <c r="AG2" s="1610"/>
      <c r="AH2" s="1610"/>
      <c r="AI2" s="1610"/>
      <c r="AJ2" s="1611"/>
    </row>
    <row r="3" spans="1:36" ht="15.75">
      <c r="A3" s="246" t="s">
        <v>2802</v>
      </c>
      <c r="B3" s="247">
        <f ca="1">ROUND(B2*10000/D1,0)</f>
        <v>1572</v>
      </c>
      <c r="C3" s="2722" t="s">
        <v>2803</v>
      </c>
      <c r="D3" s="2723" t="s">
        <v>2804</v>
      </c>
      <c r="E3" s="2728" t="s">
        <v>3232</v>
      </c>
      <c r="F3" s="2729" t="s">
        <v>3233</v>
      </c>
      <c r="G3" s="915">
        <f>IF(F3="宗地容积率",'数据-汇总表'!I4,IF(F3="估价对象容积率",'数据-汇总表'!I6,'数据-汇总表'!I7))</f>
        <v>1.37</v>
      </c>
      <c r="H3" s="197" t="s">
        <v>2805</v>
      </c>
      <c r="I3" s="946"/>
      <c r="J3" s="2726" t="s">
        <v>2806</v>
      </c>
      <c r="K3" s="1372"/>
      <c r="L3" s="2727" t="s">
        <v>2807</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1.3371999999999999</v>
      </c>
      <c r="T3" s="1604">
        <f t="shared" ref="T3:T16" ca="1" si="0">ROUND($C$5*$C$18*$C$19*$C$20*S3*$C$24,0)</f>
        <v>2266</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266"/>
      <c r="B4" s="3267"/>
      <c r="C4" s="3267"/>
      <c r="D4" s="3268"/>
      <c r="E4" s="3268"/>
      <c r="F4" s="3268"/>
      <c r="G4" s="3268"/>
      <c r="H4" s="3268"/>
      <c r="I4" s="3268"/>
      <c r="J4" s="3269"/>
      <c r="K4" s="1372"/>
      <c r="L4" s="2727" t="s">
        <v>2808</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1.0788</v>
      </c>
      <c r="T4" s="1604">
        <f t="shared" ca="1" si="0"/>
        <v>1828</v>
      </c>
      <c r="U4" s="1605"/>
      <c r="V4" s="1604">
        <f t="shared" ca="1" si="1"/>
        <v>0</v>
      </c>
      <c r="W4" s="1608"/>
      <c r="X4" s="1608"/>
      <c r="Y4" s="1608"/>
      <c r="Z4" s="1608"/>
      <c r="AA4" s="1608"/>
      <c r="AB4" s="1608"/>
      <c r="AC4" s="1609"/>
      <c r="AD4" s="1610"/>
      <c r="AE4" s="1610"/>
      <c r="AF4" s="1610"/>
      <c r="AG4" s="1610"/>
      <c r="AH4" s="1610"/>
      <c r="AI4" s="1610"/>
      <c r="AJ4" s="1611"/>
    </row>
    <row r="5" spans="1:36" s="2739" customFormat="1" ht="15.75" thickBot="1">
      <c r="A5" s="2730" t="s">
        <v>807</v>
      </c>
      <c r="B5" s="2731" t="s">
        <v>2809</v>
      </c>
      <c r="C5" s="916">
        <f>ROUND(IF(E2="商业",IF(F16="增加",C6*C7+C16,C6*C7-C16),IF(E2="住宅",IF(F16="增加",C6*C12+C16,C6*C12-C16),IF(F16="增加",C6+C16,C6-C16))),0)</f>
        <v>1438</v>
      </c>
      <c r="D5" s="1789">
        <f>ROUND(IF(E2="商业",IF(F16="增加",C6+C16,C6-C16)),0)</f>
        <v>0</v>
      </c>
      <c r="E5" s="2732"/>
      <c r="F5" s="2732"/>
      <c r="G5" s="2733"/>
      <c r="H5" s="2733"/>
      <c r="I5" s="2733"/>
      <c r="J5" s="2734"/>
      <c r="K5" s="2735"/>
      <c r="L5" s="2727" t="s">
        <v>2810</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0.86560000000000004</v>
      </c>
      <c r="T5" s="1604">
        <f t="shared" ca="1" si="0"/>
        <v>1467</v>
      </c>
      <c r="U5" s="1605"/>
      <c r="V5" s="1604">
        <f t="shared" ca="1" si="1"/>
        <v>0</v>
      </c>
      <c r="W5" s="1608"/>
      <c r="X5" s="1608"/>
      <c r="Y5" s="1608"/>
      <c r="Z5" s="1608"/>
      <c r="AA5" s="1608"/>
      <c r="AB5" s="1608"/>
      <c r="AC5" s="2736"/>
      <c r="AD5" s="2737"/>
      <c r="AE5" s="2737"/>
      <c r="AF5" s="2737"/>
      <c r="AG5" s="2737"/>
      <c r="AH5" s="2737"/>
      <c r="AI5" s="2737"/>
      <c r="AJ5" s="2738"/>
    </row>
    <row r="6" spans="1:36" ht="15.75" thickBot="1">
      <c r="A6" s="2740" t="s">
        <v>2811</v>
      </c>
      <c r="B6" s="2741" t="s">
        <v>2812</v>
      </c>
      <c r="C6" s="917">
        <f>SUMIF(L1:L12,G2,M1:M12)</f>
        <v>1480</v>
      </c>
      <c r="D6" s="2742" t="s">
        <v>2813</v>
      </c>
      <c r="E6" s="2743"/>
      <c r="F6" s="2743"/>
      <c r="G6" s="2744"/>
      <c r="H6" s="2744"/>
      <c r="I6" s="2744"/>
      <c r="J6" s="2745"/>
      <c r="K6" s="1844"/>
      <c r="L6" s="2727" t="s">
        <v>2814</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0.73709999999999998</v>
      </c>
      <c r="T6" s="1604">
        <f t="shared" ca="1" si="0"/>
        <v>1249</v>
      </c>
      <c r="U6" s="1605"/>
      <c r="V6" s="1604">
        <f t="shared" ca="1" si="1"/>
        <v>0</v>
      </c>
      <c r="W6" s="1608"/>
      <c r="X6" s="1608"/>
      <c r="Y6" s="1608"/>
      <c r="Z6" s="1608"/>
      <c r="AA6" s="1608"/>
      <c r="AB6" s="1608"/>
      <c r="AC6" s="2736"/>
      <c r="AD6" s="2737"/>
      <c r="AE6" s="2737"/>
      <c r="AF6" s="2737"/>
      <c r="AG6" s="2737"/>
      <c r="AH6" s="2737"/>
      <c r="AI6" s="2737"/>
      <c r="AJ6" s="2738"/>
    </row>
    <row r="7" spans="1:36" ht="24">
      <c r="A7" s="3252" t="str">
        <f>IF(E2="商业",IF(C8="不临58条商业街","",2),"")</f>
        <v/>
      </c>
      <c r="B7" s="2746" t="s">
        <v>2815</v>
      </c>
      <c r="C7" s="918">
        <f>IF(C8="不临58条商业街",1,ROUND(1+(1.6*E8+1.2*E9+0.8*E10+0.4*E11)*C9,4))</f>
        <v>1</v>
      </c>
      <c r="D7" s="2747" t="s">
        <v>2816</v>
      </c>
      <c r="E7" s="947"/>
      <c r="F7" s="2748"/>
      <c r="G7" s="2749"/>
      <c r="H7" s="2749"/>
      <c r="I7" s="2749"/>
      <c r="J7" s="2750"/>
      <c r="K7" s="1844"/>
      <c r="L7" s="2727" t="s">
        <v>2817</v>
      </c>
      <c r="M7" s="1083">
        <f>SUMPRODUCT((区片价!B158:B205=I2)*(区片价!C3:F3=E2)*(区片价!C158:F205))</f>
        <v>1480</v>
      </c>
      <c r="N7" s="1085">
        <f>SUMPRODUCT((因素修正幅度!B158:B205=I2)*(因素修正幅度!C3:F3=E2)*(因素修正幅度!C158:F205))</f>
        <v>0.13</v>
      </c>
      <c r="O7" s="1372"/>
      <c r="P7" s="1372"/>
      <c r="Q7" s="1372"/>
      <c r="R7" s="1604">
        <v>6</v>
      </c>
      <c r="S7" s="1604">
        <f>ROUND(IF(G3&gt;1,IF(R7&lt;7,SUMPRODUCT((B93:B98=R7)*(C92:N92=G2)*(C93:N98)),SUMIF(C92:N92,G2,C100:N100)),IF(R7&lt;7,SUMPRODUCT((B102:B107=R7)*(C92:N92=G2)*(C102:N107)),SUMIF(C92:N92,G2,C109:N109))),4)</f>
        <v>0.6482</v>
      </c>
      <c r="T7" s="1604">
        <f t="shared" ca="1" si="0"/>
        <v>1099</v>
      </c>
      <c r="U7" s="1605"/>
      <c r="V7" s="1604">
        <f t="shared" ca="1" si="1"/>
        <v>0</v>
      </c>
      <c r="W7" s="1818" t="s">
        <v>2818</v>
      </c>
      <c r="X7" s="1606" t="str">
        <f>G2</f>
        <v>七级</v>
      </c>
      <c r="Y7" s="1606" t="s">
        <v>2819</v>
      </c>
      <c r="Z7" s="1607">
        <f>G3</f>
        <v>1.37</v>
      </c>
      <c r="AA7" s="1608"/>
      <c r="AB7" s="1608"/>
      <c r="AC7" s="1609"/>
      <c r="AD7" s="1610"/>
      <c r="AE7" s="1610"/>
      <c r="AF7" s="1610"/>
      <c r="AG7" s="1610"/>
      <c r="AH7" s="1610"/>
      <c r="AI7" s="1610"/>
      <c r="AJ7" s="1611"/>
    </row>
    <row r="8" spans="1:36" ht="25.5">
      <c r="A8" s="3253"/>
      <c r="B8" s="197" t="s">
        <v>2820</v>
      </c>
      <c r="C8" s="2751" t="s">
        <v>3234</v>
      </c>
      <c r="D8" s="919" t="s">
        <v>139</v>
      </c>
      <c r="E8" s="920" t="e">
        <f>ROUND(C11/E7,4)</f>
        <v>#DIV/0!</v>
      </c>
      <c r="F8" s="2752" t="s">
        <v>2821</v>
      </c>
      <c r="G8" s="2753"/>
      <c r="H8" s="2753"/>
      <c r="I8" s="2753"/>
      <c r="J8" s="2754"/>
      <c r="K8" s="1372"/>
      <c r="L8" s="2727" t="s">
        <v>2822</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263" t="s">
        <v>2823</v>
      </c>
      <c r="X8" s="3264"/>
      <c r="Y8" s="1612" t="s">
        <v>2824</v>
      </c>
      <c r="Z8" s="1612" t="s">
        <v>2825</v>
      </c>
      <c r="AA8" s="1612" t="s">
        <v>2826</v>
      </c>
      <c r="AB8" s="1612" t="s">
        <v>2827</v>
      </c>
      <c r="AC8" s="1612" t="s">
        <v>2828</v>
      </c>
      <c r="AD8" s="1612" t="s">
        <v>2829</v>
      </c>
      <c r="AE8" s="1612" t="s">
        <v>2830</v>
      </c>
      <c r="AF8" s="1612" t="s">
        <v>2831</v>
      </c>
      <c r="AG8" s="1612" t="s">
        <v>2832</v>
      </c>
      <c r="AH8" s="1612" t="s">
        <v>2833</v>
      </c>
      <c r="AI8" s="1612" t="s">
        <v>2834</v>
      </c>
      <c r="AJ8" s="1612" t="s">
        <v>2835</v>
      </c>
    </row>
    <row r="9" spans="1:36" ht="15">
      <c r="A9" s="3253"/>
      <c r="B9" s="197" t="s">
        <v>2836</v>
      </c>
      <c r="C9" s="921">
        <f>SUMIF(修正!C59:C119,C8,修正!E59:E119)</f>
        <v>0</v>
      </c>
      <c r="D9" s="199" t="s">
        <v>140</v>
      </c>
      <c r="E9" s="199" t="e">
        <f>ROUND(C11/E7,4)</f>
        <v>#DIV/0!</v>
      </c>
      <c r="F9" s="2752" t="s">
        <v>2837</v>
      </c>
      <c r="G9" s="2753"/>
      <c r="H9" s="2753"/>
      <c r="I9" s="2753"/>
      <c r="J9" s="2754"/>
      <c r="K9" s="1372"/>
      <c r="L9" s="2727" t="s">
        <v>2838</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265" t="s">
        <v>2839</v>
      </c>
      <c r="X9" s="1613" t="s">
        <v>2840</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53"/>
      <c r="B10" s="197" t="s">
        <v>2841</v>
      </c>
      <c r="C10" s="199">
        <f>SUMIF(修正!C59:C119,C8,修正!F59:F119)</f>
        <v>0</v>
      </c>
      <c r="D10" s="199" t="s">
        <v>141</v>
      </c>
      <c r="E10" s="199" t="e">
        <f>ROUND(C11/E7,4)</f>
        <v>#DIV/0!</v>
      </c>
      <c r="F10" s="2752" t="s">
        <v>2842</v>
      </c>
      <c r="G10" s="2753"/>
      <c r="H10" s="2753"/>
      <c r="I10" s="2753"/>
      <c r="J10" s="2754"/>
      <c r="K10" s="1372"/>
      <c r="L10" s="2727" t="s">
        <v>2843</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265"/>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53"/>
      <c r="B11" s="2755" t="s">
        <v>2844</v>
      </c>
      <c r="C11" s="922">
        <f>C10/4</f>
        <v>0</v>
      </c>
      <c r="D11" s="922" t="s">
        <v>142</v>
      </c>
      <c r="E11" s="922" t="e">
        <f>ROUND(C11/E7,4)</f>
        <v>#DIV/0!</v>
      </c>
      <c r="F11" s="2756" t="s">
        <v>2845</v>
      </c>
      <c r="G11" s="2757"/>
      <c r="H11" s="2757"/>
      <c r="I11" s="2757"/>
      <c r="J11" s="2758"/>
      <c r="K11" s="1372"/>
      <c r="L11" s="2727" t="s">
        <v>2846</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265" t="s">
        <v>2847</v>
      </c>
      <c r="X11" s="1616" t="s">
        <v>2848</v>
      </c>
      <c r="Y11" s="1617">
        <f>$G$3</f>
        <v>1.37</v>
      </c>
      <c r="Z11" s="1617">
        <f t="shared" ref="Z11:AJ11" si="3">$G$3</f>
        <v>1.37</v>
      </c>
      <c r="AA11" s="1617">
        <f t="shared" si="3"/>
        <v>1.37</v>
      </c>
      <c r="AB11" s="1617">
        <f t="shared" si="3"/>
        <v>1.37</v>
      </c>
      <c r="AC11" s="1617">
        <f t="shared" si="3"/>
        <v>1.37</v>
      </c>
      <c r="AD11" s="1617">
        <f t="shared" si="3"/>
        <v>1.37</v>
      </c>
      <c r="AE11" s="1617">
        <f t="shared" si="3"/>
        <v>1.37</v>
      </c>
      <c r="AF11" s="1617">
        <f t="shared" si="3"/>
        <v>1.37</v>
      </c>
      <c r="AG11" s="1617">
        <f t="shared" si="3"/>
        <v>1.37</v>
      </c>
      <c r="AH11" s="1617">
        <f t="shared" si="3"/>
        <v>1.37</v>
      </c>
      <c r="AI11" s="1617">
        <f t="shared" si="3"/>
        <v>1.37</v>
      </c>
      <c r="AJ11" s="1617">
        <f t="shared" si="3"/>
        <v>1.37</v>
      </c>
    </row>
    <row r="12" spans="1:36" ht="25.5" thickBot="1">
      <c r="A12" s="3252" t="s">
        <v>2849</v>
      </c>
      <c r="B12" s="2759" t="s">
        <v>2850</v>
      </c>
      <c r="C12" s="918">
        <f>ROUND(C15*D15*E15*F15*G15*H15*I15*J15,4)</f>
        <v>1</v>
      </c>
      <c r="D12" s="2760" t="s">
        <v>2851</v>
      </c>
      <c r="E12" s="2761"/>
      <c r="F12" s="2761"/>
      <c r="G12" s="2762"/>
      <c r="H12" s="2762"/>
      <c r="I12" s="2762"/>
      <c r="J12" s="2763"/>
      <c r="K12" s="1372"/>
      <c r="L12" s="2764" t="s">
        <v>2852</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265"/>
      <c r="X12" s="1618" t="s">
        <v>2853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70"/>
      <c r="B13" s="2765" t="s">
        <v>2854</v>
      </c>
      <c r="C13" s="2766" t="s">
        <v>2855</v>
      </c>
      <c r="D13" s="1810" t="s">
        <v>2856</v>
      </c>
      <c r="E13" s="1810" t="s">
        <v>2857</v>
      </c>
      <c r="F13" s="30" t="s">
        <v>2858</v>
      </c>
      <c r="G13" s="2767" t="s">
        <v>2859</v>
      </c>
      <c r="H13" s="2767" t="s">
        <v>2859</v>
      </c>
      <c r="I13" s="2767" t="s">
        <v>2859</v>
      </c>
      <c r="J13" s="2768" t="s">
        <v>2859</v>
      </c>
      <c r="K13" s="1372"/>
      <c r="L13" s="1372"/>
      <c r="M13" s="1372"/>
      <c r="N13" s="1372"/>
      <c r="O13" s="1372"/>
      <c r="P13" s="1372"/>
      <c r="Q13" s="1372"/>
      <c r="R13" s="1604">
        <v>12</v>
      </c>
      <c r="S13" s="1605"/>
      <c r="T13" s="1604">
        <f t="shared" ca="1" si="0"/>
        <v>0</v>
      </c>
      <c r="U13" s="1605"/>
      <c r="V13" s="1604">
        <f t="shared" ca="1" si="1"/>
        <v>0</v>
      </c>
      <c r="W13" s="3265"/>
      <c r="X13" s="1618"/>
      <c r="Y13" s="1615">
        <f>(-0.163*(Y12^2)-0.59*Y12+7617)*(10^(-4))/Y11</f>
        <v>0.55598540145985398</v>
      </c>
      <c r="Z13" s="1615">
        <f t="shared" ref="Z13:AJ13" si="5">(-0.163*(Z12^2)-0.59*Z12+7617)*(10^(-4))/Z11</f>
        <v>0.55598540145985398</v>
      </c>
      <c r="AA13" s="1615">
        <f t="shared" si="5"/>
        <v>0.55598540145985398</v>
      </c>
      <c r="AB13" s="1615">
        <f t="shared" si="5"/>
        <v>0.55598540145985398</v>
      </c>
      <c r="AC13" s="1615">
        <f t="shared" si="5"/>
        <v>0.55598540145985398</v>
      </c>
      <c r="AD13" s="1615">
        <f t="shared" si="5"/>
        <v>0.55598540145985398</v>
      </c>
      <c r="AE13" s="1615">
        <f t="shared" si="5"/>
        <v>0.55598540145985398</v>
      </c>
      <c r="AF13" s="1615">
        <f t="shared" si="5"/>
        <v>0.55598540145985398</v>
      </c>
      <c r="AG13" s="1615">
        <f t="shared" si="5"/>
        <v>0.55598540145985398</v>
      </c>
      <c r="AH13" s="1615">
        <f t="shared" si="5"/>
        <v>0.55598540145985398</v>
      </c>
      <c r="AI13" s="1615">
        <f t="shared" si="5"/>
        <v>0.55598540145985398</v>
      </c>
      <c r="AJ13" s="1615">
        <f t="shared" si="5"/>
        <v>0.55598540145985398</v>
      </c>
    </row>
    <row r="14" spans="1:36" ht="15">
      <c r="A14" s="3270"/>
      <c r="B14" s="2769"/>
      <c r="C14" s="2770"/>
      <c r="D14" s="2771"/>
      <c r="E14" s="2771"/>
      <c r="F14" s="2772"/>
      <c r="G14" s="2773" t="s">
        <v>2860</v>
      </c>
      <c r="H14" s="2774"/>
      <c r="I14" s="2775"/>
      <c r="J14" s="2776"/>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271"/>
      <c r="B15" s="2777" t="s">
        <v>2861</v>
      </c>
      <c r="C15" s="228">
        <f>IF(C14="有",1.1,1)</f>
        <v>1</v>
      </c>
      <c r="D15" s="228">
        <f>IF(D14="有",1.1,1)</f>
        <v>1</v>
      </c>
      <c r="E15" s="228">
        <f>IF(E14="有",1.1,1)</f>
        <v>1</v>
      </c>
      <c r="F15" s="228">
        <f>IF(F14="500米范围内",1.2,IF(F14="500-1000米",1.1,1))</f>
        <v>1</v>
      </c>
      <c r="G15" s="948">
        <v>1</v>
      </c>
      <c r="H15" s="948">
        <v>1</v>
      </c>
      <c r="I15" s="948">
        <v>1</v>
      </c>
      <c r="J15" s="949">
        <v>1</v>
      </c>
      <c r="K15" s="1372"/>
      <c r="L15" s="2778" t="s">
        <v>2798</v>
      </c>
      <c r="M15" s="919" t="s">
        <v>2862</v>
      </c>
      <c r="N15" s="919" t="s">
        <v>2863</v>
      </c>
      <c r="O15" s="919" t="s">
        <v>2864</v>
      </c>
      <c r="P15" s="2779" t="s">
        <v>2865</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52" t="s">
        <v>2866</v>
      </c>
      <c r="B16" s="2746" t="s">
        <v>2867</v>
      </c>
      <c r="C16" s="1803">
        <f>ROUND(SUM(G17:J17)/C17,0)</f>
        <v>42</v>
      </c>
      <c r="D16" s="2780" t="s">
        <v>2868</v>
      </c>
      <c r="E16" s="3040" t="s">
        <v>3293</v>
      </c>
      <c r="F16" s="2781" t="s">
        <v>3235</v>
      </c>
      <c r="G16" s="2782" t="s">
        <v>3236</v>
      </c>
      <c r="H16" s="2782" t="s">
        <v>70</v>
      </c>
      <c r="I16" s="2782" t="s">
        <v>70</v>
      </c>
      <c r="J16" s="2783" t="s">
        <v>70</v>
      </c>
      <c r="K16" s="1372"/>
      <c r="L16" s="2784" t="s">
        <v>2869</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53"/>
      <c r="B17" s="2785" t="s">
        <v>2870</v>
      </c>
      <c r="C17" s="923">
        <f>SUMPRODUCT((修正!A2:A5=E2)*(修正!B1:M1=G2)*(修正!B2:M5))</f>
        <v>1.2</v>
      </c>
      <c r="D17" s="2786" t="s">
        <v>2871</v>
      </c>
      <c r="E17" s="922" t="str">
        <f>IF(OR(G2="八级",G2="九级",G2="十级",G2="十一级",G2="十二级"),"五通一平","七通一平")</f>
        <v>七通一平</v>
      </c>
      <c r="F17" s="923" t="s">
        <v>2872</v>
      </c>
      <c r="G17" s="923">
        <f>SUMPRODUCT((七通一平=G16)*(修正!B1:M1=G2)*(修正!B6:M14))</f>
        <v>50</v>
      </c>
      <c r="H17" s="923">
        <f>SUMPRODUCT((七通一平=H16)*(修正!B1:M1=G2)*(修正!B6:M14))</f>
        <v>0</v>
      </c>
      <c r="I17" s="923">
        <f>SUMPRODUCT((七通一平=I16)*(修正!B1:M1=G2)*(修正!B6:M14))</f>
        <v>0</v>
      </c>
      <c r="J17" s="924">
        <f>SUMPRODUCT((七通一平=J16)*(修正!B1:M1=G2)*(修正!B6:M14))</f>
        <v>0</v>
      </c>
      <c r="K17" s="1372"/>
      <c r="L17" s="2787" t="s">
        <v>2873</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8"/>
      <c r="AF17" s="2788"/>
      <c r="AG17" s="2721"/>
      <c r="AH17" s="2721"/>
      <c r="AI17" s="2721"/>
      <c r="AJ17" s="2721"/>
    </row>
    <row r="18" spans="1:37" s="2739" customFormat="1" ht="15.75" thickBot="1">
      <c r="A18" s="2789" t="s">
        <v>808</v>
      </c>
      <c r="B18" s="2790" t="s">
        <v>2874</v>
      </c>
      <c r="C18" s="925">
        <f>SUMIF(修正!C18:C39,E3,修正!E18:E39)</f>
        <v>1</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9" customFormat="1" ht="29.25" thickBot="1">
      <c r="A19" s="2789" t="s">
        <v>809</v>
      </c>
      <c r="B19" s="2790" t="s">
        <v>2875</v>
      </c>
      <c r="C19" s="926">
        <f>ROUND(IF(H19="按公示增长率计算",SUMPRODUCT((地价!A3:A21=YEAR(G19)&amp;"-"&amp;ROUNDUP(MONTH(G19)/3,0))*(地价!X2:AB2=E2)*(地价!X3:AB21)),IF(H19="地价指数",M20/M19,(1+I19)^O19)),4)</f>
        <v>1.2309000000000001</v>
      </c>
      <c r="D19" s="2797" t="s">
        <v>2876</v>
      </c>
      <c r="E19" s="927">
        <v>41640</v>
      </c>
      <c r="F19" s="2797" t="s">
        <v>2877</v>
      </c>
      <c r="G19" s="928">
        <f>'数据-取费表'!B2</f>
        <v>43116</v>
      </c>
      <c r="H19" s="2798" t="s">
        <v>3294</v>
      </c>
      <c r="I19" s="929" t="str">
        <f>IF(H19="季度增幅（自定义）",SUMIF(N21:N24,E2,O21:O24),"")</f>
        <v/>
      </c>
      <c r="J19" s="2795"/>
      <c r="K19" s="1379"/>
      <c r="L19" s="2799" t="s">
        <v>2878</v>
      </c>
      <c r="M19" s="1736">
        <f>ROUND(SUMIF(地价!B2:F2,E2,地价!B21:F21),0)</f>
        <v>230</v>
      </c>
      <c r="N19" s="2800" t="s">
        <v>2879</v>
      </c>
      <c r="O19" s="930">
        <f>ROUNDDOWN(DATEDIF(E19,G19,"M")/3,0)</f>
        <v>16</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9" customFormat="1" ht="27.75" thickBot="1">
      <c r="A20" s="2804" t="s">
        <v>810</v>
      </c>
      <c r="B20" s="2805" t="s">
        <v>2880</v>
      </c>
      <c r="C20" s="931">
        <f ca="1">ROUND(POWER(1+G20,J20-I20)*(POWER(1+G20,I20)-1)/(POWER(1+G20,J20)-1),4)</f>
        <v>0.89859999999999995</v>
      </c>
      <c r="D20" s="2806" t="s">
        <v>2881</v>
      </c>
      <c r="E20" s="1770">
        <f ca="1">存贷款利率!D4/100</f>
        <v>4.3499999999999997E-2</v>
      </c>
      <c r="F20" s="2806" t="s">
        <v>2873</v>
      </c>
      <c r="G20" s="936">
        <f ca="1">SUMIF(M15:P15,E2,M17:P17)</f>
        <v>4.8000000000000001E-2</v>
      </c>
      <c r="H20" s="2806" t="s">
        <v>2882</v>
      </c>
      <c r="I20" s="937">
        <f>SUMIF('数据-取费表'!C6:C15,E2,'数据-取费表'!F6:F15)/COUNTIF('数据-取费表'!C6:C15,E2)</f>
        <v>35.69</v>
      </c>
      <c r="J20" s="938">
        <f>IF(E2="住宅",70,IF(E2="商业",40,50))</f>
        <v>50</v>
      </c>
      <c r="K20" s="1379"/>
      <c r="L20" s="2807" t="s">
        <v>2883</v>
      </c>
      <c r="M20" s="1737">
        <f>ROUND(SUMPRODUCT((地价!A4:A21=YEAR(G19)&amp;"-"&amp;ROUNDUP(MONTH(G19)/3,0))*(地价!B2:F2=E2)*(地价!B4:F21)),0)</f>
        <v>283</v>
      </c>
      <c r="N20" s="2808" t="s">
        <v>2884</v>
      </c>
      <c r="O20" s="2809" t="s">
        <v>2885</v>
      </c>
      <c r="P20" s="2810" t="s">
        <v>2886</v>
      </c>
      <c r="R20" s="1378"/>
      <c r="S20" s="1378"/>
      <c r="T20" s="1373"/>
      <c r="U20" s="1373"/>
      <c r="V20" s="1373"/>
      <c r="W20" s="1372"/>
      <c r="X20" s="1372"/>
      <c r="Y20" s="1372"/>
      <c r="Z20" s="1379"/>
      <c r="AA20" s="1380"/>
      <c r="AB20" s="1380"/>
      <c r="AC20" s="1380"/>
      <c r="AD20" s="1380"/>
      <c r="AE20" s="1380"/>
      <c r="AF20" s="1380"/>
    </row>
    <row r="21" spans="1:37" s="2739" customFormat="1" ht="15">
      <c r="A21" s="2811" t="s">
        <v>811</v>
      </c>
      <c r="B21" s="2812" t="s">
        <v>3238</v>
      </c>
      <c r="C21" s="939">
        <f>IF(B21="容积率修正",IF(G3&lt;=10,D22,J22),C23)</f>
        <v>0.94</v>
      </c>
      <c r="D21" s="2813"/>
      <c r="E21" s="2813"/>
      <c r="F21" s="2813"/>
      <c r="G21" s="2813"/>
      <c r="H21" s="2813"/>
      <c r="I21" s="2813"/>
      <c r="J21" s="2814"/>
      <c r="K21" s="1379"/>
      <c r="N21" s="2815" t="s">
        <v>2887</v>
      </c>
      <c r="O21" s="1563"/>
      <c r="P21" s="1564">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39" customFormat="1" ht="14.25">
      <c r="A22" s="2665" t="s">
        <v>2888</v>
      </c>
      <c r="B22" s="2816" t="s">
        <v>2889</v>
      </c>
      <c r="C22" s="1812" t="s">
        <v>2890</v>
      </c>
      <c r="D22" s="1812">
        <f>IF(E22=G22,F22,IF(G3&lt;=10,ROUND(F22+(H22-F22)*(G3-E22)/(G22-E22),4),"——"))</f>
        <v>0.94</v>
      </c>
      <c r="E22" s="915">
        <f>ROUNDDOWN(G3,1)</f>
        <v>1.3</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0.96140000000000003</v>
      </c>
      <c r="G22" s="915">
        <f>ROUNDUP(G3,1)</f>
        <v>1.4000000000000001</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0.93079999999999996</v>
      </c>
      <c r="I22" s="1812" t="s">
        <v>155</v>
      </c>
      <c r="J22" s="940" t="str">
        <f>IF(G3&gt;10,D113,"——")</f>
        <v>——</v>
      </c>
      <c r="K22" s="1379"/>
      <c r="N22" s="2815" t="s">
        <v>2891</v>
      </c>
      <c r="O22" s="1563"/>
      <c r="P22" s="1564">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65" t="s">
        <v>2892</v>
      </c>
      <c r="B23" s="2817" t="s">
        <v>2893</v>
      </c>
      <c r="C23" s="1015">
        <f>ROUND(IF(G3&gt;1,IF(I3&lt;7,SUMPRODUCT((B93:B98=I3)*(C92:N92=G2)*(C93:N98)),SUMIF(C92:N92,G2,C100:N100)),IF(I3&lt;7,SUMPRODUCT((B102:B107=I3)*(C92:N92=G2)*(C102:N107)),SUMIF(C92:N92,G2,C109:N109))),4)</f>
        <v>0</v>
      </c>
      <c r="D23" s="2774"/>
      <c r="E23" s="2774"/>
      <c r="F23" s="2818"/>
      <c r="G23" s="2819"/>
      <c r="H23" s="2820"/>
      <c r="I23" s="2821"/>
      <c r="J23" s="2822"/>
      <c r="K23" s="1372"/>
      <c r="N23" s="2815" t="s">
        <v>2894</v>
      </c>
      <c r="O23" s="1563"/>
      <c r="P23" s="1564">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796"/>
    </row>
    <row r="24" spans="1:37" s="2739" customFormat="1" ht="15.75" thickBot="1">
      <c r="A24" s="2804" t="s">
        <v>812</v>
      </c>
      <c r="B24" s="2790" t="s">
        <v>2895</v>
      </c>
      <c r="C24" s="926">
        <f>SUMIF(A45:A88,E2,B45:B88)</f>
        <v>1.0655000000000001</v>
      </c>
      <c r="D24" s="2793"/>
      <c r="E24" s="2823"/>
      <c r="F24" s="2823"/>
      <c r="G24" s="2823"/>
      <c r="H24" s="2823"/>
      <c r="I24" s="2823"/>
      <c r="J24" s="2824"/>
      <c r="K24" s="1379"/>
      <c r="N24" s="2825" t="s">
        <v>2896</v>
      </c>
      <c r="O24" s="1565"/>
      <c r="P24" s="1566">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2897</v>
      </c>
      <c r="C25" s="932"/>
      <c r="D25" s="2749"/>
      <c r="E25" s="2749"/>
      <c r="F25" s="2827"/>
      <c r="G25" s="2749"/>
      <c r="H25" s="2749"/>
      <c r="I25" s="2749"/>
      <c r="J25" s="2750"/>
      <c r="K25" s="1372"/>
      <c r="N25" s="2828" t="s">
        <v>2898</v>
      </c>
      <c r="O25" s="1567"/>
      <c r="P25" s="1566">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29"/>
      <c r="B26" s="2816" t="s">
        <v>2899</v>
      </c>
      <c r="C26" s="205">
        <f ca="1">E29+SUM(E33:E39)</f>
        <v>7524</v>
      </c>
      <c r="D26" s="2830"/>
      <c r="E26" s="2774"/>
      <c r="F26" s="2831"/>
      <c r="G26" s="2774"/>
      <c r="H26" s="2774"/>
      <c r="I26" s="2774"/>
      <c r="J26" s="2832"/>
      <c r="K26" s="1372"/>
      <c r="R26" s="1378"/>
      <c r="S26" s="1378"/>
      <c r="T26" s="1373"/>
      <c r="U26" s="1373"/>
      <c r="V26" s="1373"/>
      <c r="W26" s="1372"/>
      <c r="X26" s="1372"/>
      <c r="Y26" s="1372"/>
      <c r="Z26" s="1379"/>
      <c r="AA26" s="1380"/>
      <c r="AB26" s="1380"/>
      <c r="AC26" s="1380"/>
      <c r="AD26" s="1380"/>
    </row>
    <row r="27" spans="1:37" ht="15.75" thickBot="1">
      <c r="A27" s="2829"/>
      <c r="B27" s="2833" t="s">
        <v>2900</v>
      </c>
      <c r="C27" s="933" t="e">
        <f ca="1">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2901</v>
      </c>
      <c r="C28" s="2840" t="s">
        <v>2902</v>
      </c>
      <c r="D28" s="2840" t="s">
        <v>2903</v>
      </c>
      <c r="E28" s="2841" t="s">
        <v>2904</v>
      </c>
      <c r="F28" s="2842"/>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2905</v>
      </c>
      <c r="C29" s="205">
        <f ca="1">ROUND(C5*C18*C19*C20*C21*C24,0)</f>
        <v>1593</v>
      </c>
      <c r="D29" s="3057">
        <f>'数据-汇总表'!F19</f>
        <v>47005.780000000006</v>
      </c>
      <c r="E29" s="944">
        <f ca="1">ROUND(C29*D29/10000,0)</f>
        <v>7488</v>
      </c>
      <c r="F29" s="2846" t="s">
        <v>2906</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1"/>
      <c r="AH29" s="2721"/>
      <c r="AI29" s="2721"/>
      <c r="AJ29" s="2721"/>
    </row>
    <row r="30" spans="1:37" ht="25.5" thickBot="1">
      <c r="A30" s="2849"/>
      <c r="B30" s="2850" t="s">
        <v>2907</v>
      </c>
      <c r="C30" s="228">
        <f ca="1">ROUND(IF(E2="工业",C29*M39,C29*M38),0)</f>
        <v>239</v>
      </c>
      <c r="D30" s="2851"/>
      <c r="E30" s="944">
        <f ca="1">ROUND(C30*D30/10000,0)</f>
        <v>0</v>
      </c>
      <c r="F30" s="2852" t="s">
        <v>2908</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1"/>
      <c r="AH30" s="2721"/>
      <c r="AI30" s="2721"/>
      <c r="AJ30" s="2721"/>
    </row>
    <row r="31" spans="1:37" ht="14.25">
      <c r="A31" s="2855"/>
      <c r="B31" s="2856" t="s">
        <v>2909</v>
      </c>
      <c r="C31" s="2857" t="s">
        <v>2910</v>
      </c>
      <c r="D31" s="2762"/>
      <c r="E31" s="2857"/>
      <c r="F31" s="2857"/>
      <c r="G31" s="2760" t="s">
        <v>2911</v>
      </c>
      <c r="H31" s="2762"/>
      <c r="I31" s="2858"/>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1"/>
      <c r="AH31" s="2721"/>
      <c r="AI31" s="2721"/>
      <c r="AJ31" s="2721"/>
    </row>
    <row r="32" spans="1:37" ht="24">
      <c r="A32" s="2843"/>
      <c r="B32" s="2859"/>
      <c r="C32" s="500" t="s">
        <v>2902</v>
      </c>
      <c r="D32" s="497" t="s">
        <v>2903</v>
      </c>
      <c r="E32" s="497" t="s">
        <v>2904</v>
      </c>
      <c r="F32" s="387" t="s">
        <v>2912</v>
      </c>
      <c r="G32" s="2860" t="s">
        <v>2902</v>
      </c>
      <c r="H32" s="2860" t="s">
        <v>2903</v>
      </c>
      <c r="I32" s="2860" t="s">
        <v>2904</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1"/>
      <c r="AH32" s="2721"/>
      <c r="AI32" s="2721"/>
      <c r="AJ32" s="2721"/>
    </row>
    <row r="33" spans="1:37" ht="36" customHeight="1">
      <c r="A33" s="3260" t="s">
        <v>2913</v>
      </c>
      <c r="B33" s="2861" t="s">
        <v>2914</v>
      </c>
      <c r="C33" s="205">
        <f ca="1">ROUND(D5*C19*C20*C24*F33,0)</f>
        <v>0</v>
      </c>
      <c r="D33" s="2845"/>
      <c r="E33" s="199">
        <f ca="1">ROUND(C33*D33/10000,0)</f>
        <v>0</v>
      </c>
      <c r="F33" s="199">
        <f>SUMIF(修正!A45:A56,G2,修正!B45:B56)</f>
        <v>0.7</v>
      </c>
      <c r="G33" s="199">
        <f t="shared" ref="G33:G39" ca="1" si="6">ROUND(IF(E2="工业",C33*$M$39,C33*$M$38),0)</f>
        <v>0</v>
      </c>
      <c r="H33" s="199">
        <f>D33</f>
        <v>0</v>
      </c>
      <c r="I33" s="199">
        <f ca="1">ROUND(G33*H33/10000,0)</f>
        <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61"/>
      <c r="B34" s="2766" t="s">
        <v>2915</v>
      </c>
      <c r="C34" s="205">
        <f ca="1">ROUND(D5*C19*C20*C24*F34,0)</f>
        <v>0</v>
      </c>
      <c r="D34" s="2845"/>
      <c r="E34" s="199">
        <f t="shared" ref="E34:E39" ca="1" si="7">ROUND(C34*D34/10000,0)</f>
        <v>0</v>
      </c>
      <c r="F34" s="199">
        <f>SUMIF(修正!A45:A56,G2,修正!C45:C56)</f>
        <v>0.4</v>
      </c>
      <c r="G34" s="199">
        <f t="shared" ca="1" si="6"/>
        <v>0</v>
      </c>
      <c r="H34" s="199">
        <f t="shared" ref="H34:H39" si="8">D34</f>
        <v>0</v>
      </c>
      <c r="I34" s="199">
        <f t="shared" ref="I34:I39" ca="1" si="9">ROUND(G34*H34/10000,0)</f>
        <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61"/>
      <c r="B35" s="2766" t="s">
        <v>2916</v>
      </c>
      <c r="C35" s="205">
        <f ca="1">ROUND(D5*C19*C20*C24*F35,0)</f>
        <v>0</v>
      </c>
      <c r="D35" s="2845"/>
      <c r="E35" s="199">
        <f t="shared" ca="1" si="7"/>
        <v>0</v>
      </c>
      <c r="F35" s="199">
        <f>SUMIF(修正!A45:A56,G2,修正!D45:D56)</f>
        <v>0.28000000000000003</v>
      </c>
      <c r="G35" s="199">
        <f t="shared" ca="1" si="6"/>
        <v>0</v>
      </c>
      <c r="H35" s="199">
        <f t="shared" si="8"/>
        <v>0</v>
      </c>
      <c r="I35" s="199">
        <f t="shared" ca="1" si="9"/>
        <v>0</v>
      </c>
      <c r="J35" s="2862"/>
      <c r="K35" s="1372"/>
      <c r="L35" s="1372"/>
      <c r="M35" s="1372"/>
      <c r="N35" s="1372"/>
      <c r="O35" s="1372"/>
      <c r="P35" s="1372"/>
      <c r="Q35" s="1372"/>
      <c r="R35" s="1372"/>
      <c r="S35" s="1372"/>
      <c r="T35" s="1372"/>
      <c r="U35" s="1372"/>
      <c r="V35" s="1372"/>
      <c r="W35" s="1372"/>
      <c r="X35" s="1372"/>
      <c r="Y35" s="1372"/>
      <c r="Z35" s="1373"/>
    </row>
    <row r="36" spans="1:37" ht="13.5" thickBot="1">
      <c r="A36" s="3262"/>
      <c r="B36" s="2766" t="s">
        <v>2917</v>
      </c>
      <c r="C36" s="205">
        <f ca="1">ROUND(D5*C19*C20*C24*F36,0)</f>
        <v>0</v>
      </c>
      <c r="D36" s="2845"/>
      <c r="E36" s="199">
        <f t="shared" ca="1" si="7"/>
        <v>0</v>
      </c>
      <c r="F36" s="199">
        <f>SUMIF(修正!A45:A56,G2,修正!E45:E56)</f>
        <v>0.25</v>
      </c>
      <c r="G36" s="199">
        <f t="shared" ca="1" si="6"/>
        <v>0</v>
      </c>
      <c r="H36" s="199">
        <f t="shared" si="8"/>
        <v>0</v>
      </c>
      <c r="I36" s="199">
        <f t="shared" ca="1" si="9"/>
        <v>0</v>
      </c>
      <c r="J36" s="2862"/>
      <c r="K36" s="1372"/>
      <c r="L36" s="2720"/>
      <c r="M36" s="2720"/>
      <c r="N36" s="1372"/>
      <c r="O36" s="1372"/>
      <c r="P36" s="1372"/>
      <c r="Q36" s="1372"/>
      <c r="R36" s="1372"/>
      <c r="S36" s="1372"/>
      <c r="T36" s="1372"/>
      <c r="U36" s="1372"/>
      <c r="V36" s="1372"/>
      <c r="W36" s="1372"/>
      <c r="X36" s="1372"/>
      <c r="Y36" s="1372"/>
      <c r="Z36" s="1373"/>
    </row>
    <row r="37" spans="1:37">
      <c r="A37" s="2863"/>
      <c r="B37" s="2766" t="s">
        <v>2918</v>
      </c>
      <c r="C37" s="199">
        <f ca="1">ROUND(C5*C19*C20*C24*F37,0)</f>
        <v>424</v>
      </c>
      <c r="D37" s="2845"/>
      <c r="E37" s="199">
        <f t="shared" ca="1" si="7"/>
        <v>0</v>
      </c>
      <c r="F37" s="205">
        <f>SUMIF(修正!A45:A56,G2,修正!F45:F56)</f>
        <v>0.25</v>
      </c>
      <c r="G37" s="199">
        <f t="shared" ca="1" si="6"/>
        <v>106</v>
      </c>
      <c r="H37" s="199">
        <f t="shared" si="8"/>
        <v>0</v>
      </c>
      <c r="I37" s="199">
        <f t="shared" ca="1" si="9"/>
        <v>0</v>
      </c>
      <c r="J37" s="2862"/>
      <c r="K37" s="1372"/>
      <c r="L37" s="2864" t="s">
        <v>2919</v>
      </c>
      <c r="M37" s="2865"/>
      <c r="N37" s="1372"/>
      <c r="O37" s="1372"/>
      <c r="P37" s="1372"/>
      <c r="Q37" s="1372"/>
      <c r="R37" s="1372"/>
      <c r="S37" s="1372"/>
      <c r="T37" s="1372"/>
      <c r="U37" s="1372"/>
      <c r="V37" s="1372"/>
      <c r="W37" s="1372"/>
      <c r="X37" s="1372"/>
      <c r="Y37" s="1372"/>
      <c r="Z37" s="1373"/>
    </row>
    <row r="38" spans="1:37">
      <c r="A38" s="2863"/>
      <c r="B38" s="2766" t="s">
        <v>2920</v>
      </c>
      <c r="C38" s="199">
        <f ca="1">ROUND(C5*C19*C20*C24*F38,0)</f>
        <v>424</v>
      </c>
      <c r="D38" s="2845">
        <f>'数据-汇总表'!G19</f>
        <v>844.52</v>
      </c>
      <c r="E38" s="199">
        <f t="shared" ca="1" si="7"/>
        <v>36</v>
      </c>
      <c r="F38" s="205">
        <f>SUMIF(修正!A45:A56,G2,修正!G45:G56)</f>
        <v>0.25</v>
      </c>
      <c r="G38" s="199">
        <f t="shared" ca="1" si="6"/>
        <v>106</v>
      </c>
      <c r="H38" s="199">
        <f t="shared" si="8"/>
        <v>844.52</v>
      </c>
      <c r="I38" s="199">
        <f t="shared" ca="1" si="9"/>
        <v>9</v>
      </c>
      <c r="J38" s="2862"/>
      <c r="K38" s="1372"/>
      <c r="L38" s="1889" t="s">
        <v>2921</v>
      </c>
      <c r="M38" s="2866">
        <v>0.25</v>
      </c>
      <c r="N38" s="1372"/>
      <c r="O38" s="1372"/>
      <c r="P38" s="1372"/>
      <c r="Q38" s="1372"/>
      <c r="R38" s="1372"/>
      <c r="S38" s="1372"/>
      <c r="T38" s="1372"/>
      <c r="U38" s="1372"/>
      <c r="V38" s="1372"/>
      <c r="W38" s="1372"/>
      <c r="X38" s="1372"/>
      <c r="Y38" s="1372"/>
      <c r="Z38" s="1373"/>
    </row>
    <row r="39" spans="1:37" ht="13.5" thickBot="1">
      <c r="A39" s="2849"/>
      <c r="B39" s="2867" t="s">
        <v>2922</v>
      </c>
      <c r="C39" s="228">
        <f ca="1">ROUND(C5*C19*C20*C24*F39,0)</f>
        <v>339</v>
      </c>
      <c r="D39" s="2851"/>
      <c r="E39" s="228">
        <f t="shared" ca="1" si="7"/>
        <v>0</v>
      </c>
      <c r="F39" s="934">
        <f>SUMIF(修正!A45:A56,G2,修正!H45:H56)</f>
        <v>0.2</v>
      </c>
      <c r="G39" s="228" t="e">
        <f t="shared" si="6"/>
        <v>#DIV/0!</v>
      </c>
      <c r="H39" s="228">
        <f t="shared" si="8"/>
        <v>0</v>
      </c>
      <c r="I39" s="228" t="e">
        <f t="shared" si="9"/>
        <v>#DIV/0!</v>
      </c>
      <c r="J39" s="2868"/>
      <c r="K39" s="1372"/>
      <c r="L39" s="2869" t="s">
        <v>2865</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2923</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hidden="1">
      <c r="A46" s="2874" t="s">
        <v>2924</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hidden="1">
      <c r="A47" s="2878" t="s">
        <v>2925</v>
      </c>
      <c r="B47" s="1811" t="s">
        <v>2926</v>
      </c>
      <c r="C47" s="1811" t="s">
        <v>2927</v>
      </c>
      <c r="D47" s="1811" t="s">
        <v>2928</v>
      </c>
      <c r="E47" s="818" t="s">
        <v>2929</v>
      </c>
      <c r="F47" s="2879" t="s">
        <v>2930</v>
      </c>
      <c r="G47" s="1811" t="s">
        <v>754</v>
      </c>
      <c r="H47" s="2880" t="s">
        <v>2931</v>
      </c>
      <c r="I47" s="1811" t="s">
        <v>2932</v>
      </c>
      <c r="J47" s="602" t="s">
        <v>2582</v>
      </c>
      <c r="K47" s="602" t="s">
        <v>2583</v>
      </c>
      <c r="L47" s="602" t="s">
        <v>2584</v>
      </c>
      <c r="M47" s="602" t="s">
        <v>2585</v>
      </c>
      <c r="N47" s="602" t="s">
        <v>2586</v>
      </c>
      <c r="AA47" s="1373"/>
      <c r="AB47" s="1373"/>
      <c r="AC47" s="1373"/>
      <c r="AD47" s="1373"/>
      <c r="AE47" s="1373"/>
      <c r="AF47" s="1373"/>
      <c r="AG47" s="1373"/>
      <c r="AH47" s="1373"/>
      <c r="AI47" s="1373"/>
      <c r="AJ47" s="1373"/>
      <c r="AK47" s="1373"/>
    </row>
    <row r="48" spans="1:37" s="1372" customFormat="1" ht="24.75" hidden="1">
      <c r="A48" s="2878" t="s">
        <v>2933</v>
      </c>
      <c r="B48" s="2881">
        <f>估价对象房地状况!C4</f>
        <v>0</v>
      </c>
      <c r="C48" s="2771"/>
      <c r="D48" s="1288">
        <f t="shared" ref="D48:D56" si="10">SUMIF($J$47:$N$47,C48,J48:N48)</f>
        <v>0</v>
      </c>
      <c r="E48" s="820">
        <f>ROUND(SUM(D48:D56),4)</f>
        <v>0</v>
      </c>
      <c r="F48" s="2502"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hidden="1">
      <c r="A49" s="2878" t="s">
        <v>2934</v>
      </c>
      <c r="B49" s="2882">
        <f>估价对象房地状况!C18</f>
        <v>0</v>
      </c>
      <c r="C49" s="2771"/>
      <c r="D49" s="1288">
        <f t="shared" si="10"/>
        <v>0</v>
      </c>
      <c r="E49" s="821"/>
      <c r="F49" s="2502"/>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hidden="1">
      <c r="A50" s="2878" t="s">
        <v>2935</v>
      </c>
      <c r="B50" s="2882">
        <f>估价对象房地状况!C19</f>
        <v>0</v>
      </c>
      <c r="C50" s="2771"/>
      <c r="D50" s="1288">
        <f t="shared" si="10"/>
        <v>0</v>
      </c>
      <c r="E50" s="821"/>
      <c r="F50" s="2502"/>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hidden="1">
      <c r="A51" s="2878" t="s">
        <v>2936</v>
      </c>
      <c r="B51" s="2883" t="s">
        <v>2937</v>
      </c>
      <c r="C51" s="2771"/>
      <c r="D51" s="1288">
        <f t="shared" si="10"/>
        <v>0</v>
      </c>
      <c r="E51" s="821"/>
      <c r="F51" s="2502"/>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hidden="1">
      <c r="A52" s="2878" t="s">
        <v>2938</v>
      </c>
      <c r="B52" s="2882">
        <f>估价对象房地状况!C24</f>
        <v>0</v>
      </c>
      <c r="C52" s="2771"/>
      <c r="D52" s="1288">
        <f t="shared" si="10"/>
        <v>0</v>
      </c>
      <c r="E52" s="821"/>
      <c r="F52" s="2502"/>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hidden="1">
      <c r="A53" s="2878" t="s">
        <v>2939</v>
      </c>
      <c r="B53" s="2884" t="s">
        <v>2940</v>
      </c>
      <c r="C53" s="2771"/>
      <c r="D53" s="1288">
        <f t="shared" si="10"/>
        <v>0</v>
      </c>
      <c r="E53" s="821"/>
      <c r="F53" s="2502"/>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hidden="1">
      <c r="A54" s="2885" t="s">
        <v>2941</v>
      </c>
      <c r="B54" s="1727">
        <f>估价对象房地状况!C21</f>
        <v>0</v>
      </c>
      <c r="C54" s="2771"/>
      <c r="D54" s="1288">
        <f t="shared" si="10"/>
        <v>0</v>
      </c>
      <c r="E54" s="821"/>
      <c r="F54" s="2502"/>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hidden="1">
      <c r="A55" s="2885" t="s">
        <v>2942</v>
      </c>
      <c r="B55" s="2882">
        <f>估价对象房地状况!C22</f>
        <v>0</v>
      </c>
      <c r="C55" s="2771"/>
      <c r="D55" s="1288">
        <f t="shared" si="10"/>
        <v>0</v>
      </c>
      <c r="E55" s="821"/>
      <c r="F55" s="2502"/>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hidden="1" thickBot="1">
      <c r="A56" s="2886" t="s">
        <v>2943</v>
      </c>
      <c r="B56" s="2887">
        <f>估价对象房地状况!C20</f>
        <v>0</v>
      </c>
      <c r="C56" s="2771"/>
      <c r="D56" s="1288">
        <f t="shared" si="10"/>
        <v>0</v>
      </c>
      <c r="E56" s="824"/>
      <c r="F56" s="2502"/>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hidden="1">
      <c r="A57" s="2874" t="s">
        <v>2944</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hidden="1">
      <c r="A58" s="2878" t="s">
        <v>2925</v>
      </c>
      <c r="B58" s="1811"/>
      <c r="C58" s="1811" t="s">
        <v>2927</v>
      </c>
      <c r="D58" s="1811" t="s">
        <v>2928</v>
      </c>
      <c r="E58" s="818" t="s">
        <v>2929</v>
      </c>
      <c r="F58" s="2879" t="s">
        <v>2945</v>
      </c>
      <c r="G58" s="1811" t="s">
        <v>754</v>
      </c>
      <c r="H58" s="2880" t="s">
        <v>2931</v>
      </c>
      <c r="I58" s="1811" t="s">
        <v>2932</v>
      </c>
      <c r="J58" s="602" t="s">
        <v>2582</v>
      </c>
      <c r="K58" s="602" t="s">
        <v>2583</v>
      </c>
      <c r="L58" s="602" t="s">
        <v>2584</v>
      </c>
      <c r="M58" s="602" t="s">
        <v>2585</v>
      </c>
      <c r="N58" s="602" t="s">
        <v>2586</v>
      </c>
      <c r="AA58" s="1373"/>
      <c r="AB58" s="1373"/>
      <c r="AC58" s="1373"/>
      <c r="AD58" s="1373"/>
      <c r="AE58" s="1373"/>
      <c r="AF58" s="1373"/>
      <c r="AG58" s="1373"/>
      <c r="AH58" s="1373"/>
      <c r="AI58" s="1373"/>
      <c r="AJ58" s="1373"/>
      <c r="AK58" s="1373"/>
    </row>
    <row r="59" spans="1:37" s="1372" customFormat="1" ht="24" hidden="1">
      <c r="A59" s="2878" t="s">
        <v>2946</v>
      </c>
      <c r="B59" s="2881">
        <f>估价对象房地状况!C17</f>
        <v>0</v>
      </c>
      <c r="C59" s="2771"/>
      <c r="D59" s="1288">
        <f t="shared" ref="D59:D67" si="15">SUMIF($J$58:$N$58,C59,J59:N59)</f>
        <v>0</v>
      </c>
      <c r="E59" s="820">
        <f>ROUND(SUM(D59:D67),4)</f>
        <v>0</v>
      </c>
      <c r="F59" s="2502"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hidden="1">
      <c r="A60" s="2878" t="s">
        <v>2934</v>
      </c>
      <c r="B60" s="2882">
        <f>估价对象房地状况!C18</f>
        <v>0</v>
      </c>
      <c r="C60" s="2771"/>
      <c r="D60" s="1288">
        <f t="shared" si="15"/>
        <v>0</v>
      </c>
      <c r="E60" s="821"/>
      <c r="F60" s="2502"/>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hidden="1">
      <c r="A61" s="2878" t="s">
        <v>2935</v>
      </c>
      <c r="B61" s="2882">
        <f>估价对象房地状况!C19</f>
        <v>0</v>
      </c>
      <c r="C61" s="2771"/>
      <c r="D61" s="1288">
        <f t="shared" si="15"/>
        <v>0</v>
      </c>
      <c r="E61" s="821"/>
      <c r="F61" s="2502"/>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hidden="1">
      <c r="A62" s="2878" t="s">
        <v>2936</v>
      </c>
      <c r="B62" s="2883" t="s">
        <v>2937</v>
      </c>
      <c r="C62" s="2771"/>
      <c r="D62" s="1288">
        <f t="shared" si="15"/>
        <v>0</v>
      </c>
      <c r="E62" s="821"/>
      <c r="F62" s="2502"/>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hidden="1">
      <c r="A63" s="2878" t="s">
        <v>2938</v>
      </c>
      <c r="B63" s="2882">
        <f>估价对象房地状况!C24</f>
        <v>0</v>
      </c>
      <c r="C63" s="2771"/>
      <c r="D63" s="1288">
        <f t="shared" si="15"/>
        <v>0</v>
      </c>
      <c r="E63" s="821"/>
      <c r="F63" s="2502"/>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hidden="1">
      <c r="A64" s="2878" t="s">
        <v>2939</v>
      </c>
      <c r="B64" s="2884" t="s">
        <v>2940</v>
      </c>
      <c r="C64" s="2771"/>
      <c r="D64" s="1288">
        <f t="shared" si="15"/>
        <v>0</v>
      </c>
      <c r="E64" s="821"/>
      <c r="F64" s="2502"/>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hidden="1">
      <c r="A65" s="2878" t="s">
        <v>2941</v>
      </c>
      <c r="B65" s="1727">
        <f>估价对象房地状况!C21</f>
        <v>0</v>
      </c>
      <c r="C65" s="2771"/>
      <c r="D65" s="1288">
        <f t="shared" si="15"/>
        <v>0</v>
      </c>
      <c r="E65" s="821"/>
      <c r="F65" s="2502"/>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hidden="1">
      <c r="A66" s="2878" t="s">
        <v>2942</v>
      </c>
      <c r="B66" s="1727">
        <f>估价对象房地状况!C22</f>
        <v>0</v>
      </c>
      <c r="C66" s="2771"/>
      <c r="D66" s="1288">
        <f t="shared" si="15"/>
        <v>0</v>
      </c>
      <c r="E66" s="821"/>
      <c r="F66" s="2502"/>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hidden="1" thickBot="1">
      <c r="A67" s="2886" t="s">
        <v>2943</v>
      </c>
      <c r="B67" s="2888">
        <f>估价对象房地状况!C20</f>
        <v>0</v>
      </c>
      <c r="C67" s="2771"/>
      <c r="D67" s="1288">
        <f t="shared" si="15"/>
        <v>0</v>
      </c>
      <c r="E67" s="824"/>
      <c r="F67" s="2502"/>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hidden="1">
      <c r="A68" s="2874" t="s">
        <v>2947</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hidden="1">
      <c r="A69" s="2878" t="s">
        <v>2925</v>
      </c>
      <c r="B69" s="1811"/>
      <c r="C69" s="1811" t="s">
        <v>2927</v>
      </c>
      <c r="D69" s="1811" t="s">
        <v>2928</v>
      </c>
      <c r="E69" s="818" t="s">
        <v>2929</v>
      </c>
      <c r="F69" s="2879" t="s">
        <v>2945</v>
      </c>
      <c r="G69" s="1811" t="s">
        <v>754</v>
      </c>
      <c r="H69" s="2880" t="s">
        <v>2931</v>
      </c>
      <c r="I69" s="1811" t="s">
        <v>2932</v>
      </c>
      <c r="J69" s="602" t="s">
        <v>2582</v>
      </c>
      <c r="K69" s="602" t="s">
        <v>2583</v>
      </c>
      <c r="L69" s="602" t="s">
        <v>2584</v>
      </c>
      <c r="M69" s="602" t="s">
        <v>2585</v>
      </c>
      <c r="N69" s="602" t="s">
        <v>2586</v>
      </c>
      <c r="AA69" s="1373"/>
      <c r="AB69" s="1373"/>
      <c r="AC69" s="1373"/>
      <c r="AD69" s="1373"/>
      <c r="AE69" s="1373"/>
      <c r="AF69" s="1373"/>
      <c r="AG69" s="1373"/>
      <c r="AH69" s="1373"/>
      <c r="AI69" s="1373"/>
      <c r="AJ69" s="1373"/>
      <c r="AK69" s="1373"/>
    </row>
    <row r="70" spans="1:37" s="1372" customFormat="1" ht="24" hidden="1">
      <c r="A70" s="2878" t="s">
        <v>2948</v>
      </c>
      <c r="B70" s="2881">
        <f>估价对象房地状况!C15</f>
        <v>0</v>
      </c>
      <c r="C70" s="2771"/>
      <c r="D70" s="1288">
        <f t="shared" ref="D70:D78" si="20">SUMIF($J$69:$N$69,C70,J70:N70)</f>
        <v>0</v>
      </c>
      <c r="E70" s="820">
        <f>ROUND(SUM(D70:D78),4)</f>
        <v>0</v>
      </c>
      <c r="F70" s="2502"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hidden="1">
      <c r="A71" s="2878" t="s">
        <v>2934</v>
      </c>
      <c r="B71" s="2882">
        <f>估价对象房地状况!C18</f>
        <v>0</v>
      </c>
      <c r="C71" s="2771"/>
      <c r="D71" s="1288">
        <f t="shared" si="20"/>
        <v>0</v>
      </c>
      <c r="E71" s="825"/>
      <c r="F71" s="2502"/>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hidden="1">
      <c r="A72" s="2878" t="s">
        <v>2935</v>
      </c>
      <c r="B72" s="2882">
        <f>估价对象房地状况!C19</f>
        <v>0</v>
      </c>
      <c r="C72" s="2771"/>
      <c r="D72" s="1288">
        <f t="shared" si="20"/>
        <v>0</v>
      </c>
      <c r="E72" s="825"/>
      <c r="F72" s="2502"/>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hidden="1">
      <c r="A73" s="2878" t="s">
        <v>2949</v>
      </c>
      <c r="B73" s="2882">
        <f>估价对象房地状况!C24</f>
        <v>0</v>
      </c>
      <c r="C73" s="2771"/>
      <c r="D73" s="1288">
        <f t="shared" si="20"/>
        <v>0</v>
      </c>
      <c r="E73" s="825"/>
      <c r="F73" s="2502"/>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hidden="1">
      <c r="A74" s="2878" t="s">
        <v>2941</v>
      </c>
      <c r="B74" s="1727">
        <f>估价对象房地状况!C21</f>
        <v>0</v>
      </c>
      <c r="C74" s="2771"/>
      <c r="D74" s="1288">
        <f t="shared" si="20"/>
        <v>0</v>
      </c>
      <c r="E74" s="825"/>
      <c r="F74" s="2502"/>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hidden="1">
      <c r="A75" s="2878" t="s">
        <v>2942</v>
      </c>
      <c r="B75" s="1727">
        <f>估价对象房地状况!C22</f>
        <v>0</v>
      </c>
      <c r="C75" s="2771"/>
      <c r="D75" s="1288">
        <f t="shared" si="20"/>
        <v>0</v>
      </c>
      <c r="E75" s="825"/>
      <c r="F75" s="2502"/>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24" hidden="1">
      <c r="A76" s="2878" t="s">
        <v>2939</v>
      </c>
      <c r="B76" s="2884" t="s">
        <v>2940</v>
      </c>
      <c r="C76" s="2771"/>
      <c r="D76" s="1288">
        <f t="shared" si="20"/>
        <v>0</v>
      </c>
      <c r="E76" s="825"/>
      <c r="F76" s="2502"/>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24" hidden="1">
      <c r="A77" s="2878" t="s">
        <v>2943</v>
      </c>
      <c r="B77" s="2881">
        <f>估价对象房地状况!C20</f>
        <v>0</v>
      </c>
      <c r="C77" s="2771"/>
      <c r="D77" s="1288">
        <f t="shared" si="20"/>
        <v>0</v>
      </c>
      <c r="E77" s="825"/>
      <c r="F77" s="2502"/>
      <c r="G77" s="1286"/>
      <c r="H77" s="1290" t="str">
        <f t="shared" si="21"/>
        <v>——</v>
      </c>
      <c r="I77" s="819">
        <v>0.15</v>
      </c>
      <c r="J77" s="1287">
        <f t="shared" si="22"/>
        <v>0</v>
      </c>
      <c r="K77" s="1287">
        <f t="shared" si="23"/>
        <v>0</v>
      </c>
      <c r="L77" s="1287">
        <v>0</v>
      </c>
      <c r="M77" s="1287">
        <f t="shared" si="24"/>
        <v>0</v>
      </c>
      <c r="N77" s="1287">
        <f t="shared" si="24"/>
        <v>0</v>
      </c>
      <c r="Z77" s="2721"/>
      <c r="AA77" s="2796"/>
      <c r="AG77" s="1374"/>
      <c r="AK77" s="2796"/>
    </row>
    <row r="78" spans="1:37" ht="24.75" hidden="1" thickBot="1">
      <c r="A78" s="2886" t="s">
        <v>2950</v>
      </c>
      <c r="B78" s="2890"/>
      <c r="C78" s="2771"/>
      <c r="D78" s="1288">
        <f t="shared" si="20"/>
        <v>0</v>
      </c>
      <c r="E78" s="826"/>
      <c r="F78" s="2502"/>
      <c r="G78" s="1286"/>
      <c r="H78" s="1290" t="str">
        <f t="shared" si="21"/>
        <v>——</v>
      </c>
      <c r="I78" s="823">
        <v>0.04</v>
      </c>
      <c r="J78" s="1287">
        <f t="shared" si="22"/>
        <v>0</v>
      </c>
      <c r="K78" s="1287">
        <f t="shared" si="23"/>
        <v>0</v>
      </c>
      <c r="L78" s="1287">
        <v>0</v>
      </c>
      <c r="M78" s="1287">
        <f t="shared" si="24"/>
        <v>0</v>
      </c>
      <c r="N78" s="1287">
        <f t="shared" si="24"/>
        <v>0</v>
      </c>
      <c r="Z78" s="2721"/>
      <c r="AA78" s="2796"/>
      <c r="AG78" s="1374"/>
      <c r="AK78" s="2796"/>
    </row>
    <row r="79" spans="1:37" ht="15">
      <c r="A79" s="2874" t="s">
        <v>2951</v>
      </c>
      <c r="B79" s="2875">
        <f>1+E81</f>
        <v>1.0655000000000001</v>
      </c>
      <c r="C79" s="813"/>
      <c r="D79" s="813"/>
      <c r="E79" s="814"/>
      <c r="F79" s="2877"/>
      <c r="G79" s="6"/>
      <c r="H79" s="6"/>
      <c r="I79" s="6"/>
      <c r="J79" s="7"/>
      <c r="K79" s="7"/>
      <c r="L79" s="7"/>
      <c r="M79" s="7"/>
      <c r="N79" s="7"/>
      <c r="Z79" s="2721"/>
      <c r="AA79" s="2796"/>
      <c r="AG79" s="1374"/>
      <c r="AK79" s="2796"/>
    </row>
    <row r="80" spans="1:37" ht="24.75">
      <c r="A80" s="2878" t="s">
        <v>2925</v>
      </c>
      <c r="B80" s="1811"/>
      <c r="C80" s="1811" t="s">
        <v>2927</v>
      </c>
      <c r="D80" s="1811" t="s">
        <v>2928</v>
      </c>
      <c r="E80" s="818" t="s">
        <v>2929</v>
      </c>
      <c r="F80" s="2879" t="s">
        <v>2945</v>
      </c>
      <c r="G80" s="1811" t="s">
        <v>754</v>
      </c>
      <c r="H80" s="2880" t="s">
        <v>2931</v>
      </c>
      <c r="I80" s="1811" t="s">
        <v>2932</v>
      </c>
      <c r="J80" s="602" t="s">
        <v>2582</v>
      </c>
      <c r="K80" s="602" t="s">
        <v>2583</v>
      </c>
      <c r="L80" s="602" t="s">
        <v>2584</v>
      </c>
      <c r="M80" s="602" t="s">
        <v>2585</v>
      </c>
      <c r="N80" s="602" t="s">
        <v>2586</v>
      </c>
      <c r="Z80" s="2721"/>
      <c r="AA80" s="2796"/>
      <c r="AG80" s="1374"/>
      <c r="AK80" s="2796"/>
    </row>
    <row r="81" spans="1:37" ht="24">
      <c r="A81" s="2878" t="s">
        <v>2952</v>
      </c>
      <c r="B81" s="2882" t="str">
        <f>估价对象房地状况!G15</f>
        <v>较好</v>
      </c>
      <c r="C81" s="2771" t="s">
        <v>3239</v>
      </c>
      <c r="D81" s="1288">
        <f t="shared" ref="D81:D88" si="25">SUMIF($J$80:$N$80,C81,J81:N81)</f>
        <v>1.4999999999999999E-2</v>
      </c>
      <c r="E81" s="820">
        <f>ROUND(SUM(D81:D88),4)</f>
        <v>6.5500000000000003E-2</v>
      </c>
      <c r="F81" s="2502">
        <f>IF(E2="工业",SUMIF(L1:L12,G2,N1:N12),"——")</f>
        <v>0.13</v>
      </c>
      <c r="G81" s="1286">
        <v>1.4999999999999999E-2</v>
      </c>
      <c r="H81" s="1290">
        <f t="shared" ref="H81:H88" si="26">IFERROR(ROUNDDOWN($F$81*I81/2,4),"——")</f>
        <v>1.6899999999999998E-2</v>
      </c>
      <c r="I81" s="819">
        <v>0.26</v>
      </c>
      <c r="J81" s="1287">
        <f t="shared" ref="J81:J88" si="27">K81+$G81</f>
        <v>0.03</v>
      </c>
      <c r="K81" s="1287">
        <f t="shared" ref="K81:K88" si="28">$L81+$G81</f>
        <v>1.4999999999999999E-2</v>
      </c>
      <c r="L81" s="1287">
        <v>0</v>
      </c>
      <c r="M81" s="1287">
        <f t="shared" ref="M81:N88" si="29">L81-$G81</f>
        <v>-1.4999999999999999E-2</v>
      </c>
      <c r="N81" s="1287">
        <f t="shared" si="29"/>
        <v>-0.03</v>
      </c>
      <c r="Z81" s="2721"/>
      <c r="AA81" s="2796"/>
      <c r="AG81" s="1374"/>
      <c r="AK81" s="2796"/>
    </row>
    <row r="82" spans="1:37" ht="14.25">
      <c r="A82" s="2878" t="s">
        <v>2934</v>
      </c>
      <c r="B82" s="2882" t="str">
        <f>估价对象房地状况!G16</f>
        <v>较好</v>
      </c>
      <c r="C82" s="2771" t="s">
        <v>3239</v>
      </c>
      <c r="D82" s="1288">
        <f t="shared" si="25"/>
        <v>0.02</v>
      </c>
      <c r="E82" s="825"/>
      <c r="F82" s="2502"/>
      <c r="G82" s="1286">
        <v>0.02</v>
      </c>
      <c r="H82" s="1290">
        <f t="shared" si="26"/>
        <v>2.1399999999999999E-2</v>
      </c>
      <c r="I82" s="819">
        <v>0.33</v>
      </c>
      <c r="J82" s="1287">
        <f t="shared" si="27"/>
        <v>0.04</v>
      </c>
      <c r="K82" s="1287">
        <f t="shared" si="28"/>
        <v>0.02</v>
      </c>
      <c r="L82" s="1287">
        <v>0</v>
      </c>
      <c r="M82" s="1287">
        <f t="shared" si="29"/>
        <v>-0.02</v>
      </c>
      <c r="N82" s="1287">
        <f t="shared" si="29"/>
        <v>-0.04</v>
      </c>
      <c r="Z82" s="2721"/>
      <c r="AA82" s="2796"/>
      <c r="AG82" s="1374"/>
      <c r="AK82" s="2796"/>
    </row>
    <row r="83" spans="1:37" ht="24">
      <c r="A83" s="2878" t="s">
        <v>2935</v>
      </c>
      <c r="B83" s="2882">
        <f>估价对象房地状况!G17</f>
        <v>0</v>
      </c>
      <c r="C83" s="2771" t="s">
        <v>3239</v>
      </c>
      <c r="D83" s="1288">
        <f t="shared" si="25"/>
        <v>3.0000000000000001E-3</v>
      </c>
      <c r="E83" s="825"/>
      <c r="F83" s="2502"/>
      <c r="G83" s="1286">
        <v>3.0000000000000001E-3</v>
      </c>
      <c r="H83" s="1290">
        <f t="shared" si="26"/>
        <v>3.2000000000000002E-3</v>
      </c>
      <c r="I83" s="819">
        <v>0.05</v>
      </c>
      <c r="J83" s="1287">
        <f t="shared" si="27"/>
        <v>6.0000000000000001E-3</v>
      </c>
      <c r="K83" s="1287">
        <f t="shared" si="28"/>
        <v>3.0000000000000001E-3</v>
      </c>
      <c r="L83" s="1287">
        <v>0</v>
      </c>
      <c r="M83" s="1287">
        <f t="shared" si="29"/>
        <v>-3.0000000000000001E-3</v>
      </c>
      <c r="N83" s="1287">
        <f t="shared" si="29"/>
        <v>-6.0000000000000001E-3</v>
      </c>
      <c r="Z83" s="2721"/>
      <c r="AA83" s="2796"/>
      <c r="AG83" s="1374"/>
      <c r="AK83" s="2796"/>
    </row>
    <row r="84" spans="1:37" ht="14.25">
      <c r="A84" s="2878" t="s">
        <v>2949</v>
      </c>
      <c r="B84" s="2882">
        <f>估价对象房地状况!G22</f>
        <v>0</v>
      </c>
      <c r="C84" s="2771" t="s">
        <v>3279</v>
      </c>
      <c r="D84" s="1288">
        <f t="shared" si="25"/>
        <v>5.0000000000000001E-3</v>
      </c>
      <c r="E84" s="825"/>
      <c r="F84" s="2502"/>
      <c r="G84" s="1286">
        <v>2.5000000000000001E-3</v>
      </c>
      <c r="H84" s="1290">
        <f t="shared" si="26"/>
        <v>2.5999999999999999E-3</v>
      </c>
      <c r="I84" s="819">
        <v>0.04</v>
      </c>
      <c r="J84" s="1287">
        <f t="shared" si="27"/>
        <v>5.0000000000000001E-3</v>
      </c>
      <c r="K84" s="1287">
        <f t="shared" si="28"/>
        <v>2.5000000000000001E-3</v>
      </c>
      <c r="L84" s="1287">
        <v>0</v>
      </c>
      <c r="M84" s="1287">
        <f t="shared" si="29"/>
        <v>-2.5000000000000001E-3</v>
      </c>
      <c r="N84" s="1287">
        <f t="shared" si="29"/>
        <v>-5.0000000000000001E-3</v>
      </c>
      <c r="Z84" s="2721"/>
      <c r="AA84" s="2796"/>
      <c r="AG84" s="1374"/>
      <c r="AK84" s="2796"/>
    </row>
    <row r="85" spans="1:37" ht="24">
      <c r="A85" s="2878" t="s">
        <v>2941</v>
      </c>
      <c r="B85" s="1727" t="str">
        <f>估价对象房地状况!G19</f>
        <v>较好</v>
      </c>
      <c r="C85" s="2771" t="s">
        <v>3239</v>
      </c>
      <c r="D85" s="1288">
        <f t="shared" si="25"/>
        <v>3.5000000000000001E-3</v>
      </c>
      <c r="E85" s="825"/>
      <c r="F85" s="2502"/>
      <c r="G85" s="1286">
        <v>3.5000000000000001E-3</v>
      </c>
      <c r="H85" s="1290">
        <f t="shared" si="26"/>
        <v>3.8999999999999998E-3</v>
      </c>
      <c r="I85" s="819">
        <v>0.06</v>
      </c>
      <c r="J85" s="1287">
        <f t="shared" si="27"/>
        <v>7.0000000000000001E-3</v>
      </c>
      <c r="K85" s="1287">
        <f t="shared" si="28"/>
        <v>3.5000000000000001E-3</v>
      </c>
      <c r="L85" s="1287">
        <v>0</v>
      </c>
      <c r="M85" s="1287">
        <f t="shared" si="29"/>
        <v>-3.5000000000000001E-3</v>
      </c>
      <c r="N85" s="1287">
        <f t="shared" si="29"/>
        <v>-7.0000000000000001E-3</v>
      </c>
      <c r="Z85" s="2721"/>
      <c r="AA85" s="2796"/>
      <c r="AG85" s="1374"/>
      <c r="AK85" s="2796"/>
    </row>
    <row r="86" spans="1:37" ht="24">
      <c r="A86" s="2878" t="s">
        <v>2942</v>
      </c>
      <c r="B86" s="1727" t="str">
        <f>估价对象房地状况!G20</f>
        <v>七通</v>
      </c>
      <c r="C86" s="2771" t="s">
        <v>3279</v>
      </c>
      <c r="D86" s="1288">
        <f t="shared" si="25"/>
        <v>1.9E-2</v>
      </c>
      <c r="E86" s="825"/>
      <c r="F86" s="2502"/>
      <c r="G86" s="1286">
        <v>9.4999999999999998E-3</v>
      </c>
      <c r="H86" s="1290">
        <f t="shared" si="26"/>
        <v>9.7000000000000003E-3</v>
      </c>
      <c r="I86" s="819">
        <v>0.15</v>
      </c>
      <c r="J86" s="1287">
        <f t="shared" si="27"/>
        <v>1.9E-2</v>
      </c>
      <c r="K86" s="1287">
        <f t="shared" si="28"/>
        <v>9.4999999999999998E-3</v>
      </c>
      <c r="L86" s="1287">
        <v>0</v>
      </c>
      <c r="M86" s="1287">
        <f t="shared" si="29"/>
        <v>-9.4999999999999998E-3</v>
      </c>
      <c r="N86" s="1287">
        <f t="shared" si="29"/>
        <v>-1.9E-2</v>
      </c>
      <c r="Z86" s="2721"/>
      <c r="AA86" s="2796"/>
      <c r="AG86" s="1374"/>
      <c r="AK86" s="2796"/>
    </row>
    <row r="87" spans="1:37" ht="24">
      <c r="A87" s="2878" t="s">
        <v>2939</v>
      </c>
      <c r="B87" s="2884" t="s">
        <v>2953</v>
      </c>
      <c r="C87" s="2771" t="s">
        <v>3240</v>
      </c>
      <c r="D87" s="1288">
        <f t="shared" si="25"/>
        <v>0</v>
      </c>
      <c r="E87" s="825"/>
      <c r="F87" s="2502"/>
      <c r="G87" s="1286">
        <v>3.0000000000000001E-3</v>
      </c>
      <c r="H87" s="1290">
        <f t="shared" si="26"/>
        <v>3.2000000000000002E-3</v>
      </c>
      <c r="I87" s="819">
        <v>0.05</v>
      </c>
      <c r="J87" s="1287">
        <f t="shared" si="27"/>
        <v>6.0000000000000001E-3</v>
      </c>
      <c r="K87" s="1287">
        <f t="shared" si="28"/>
        <v>3.0000000000000001E-3</v>
      </c>
      <c r="L87" s="1287">
        <v>0</v>
      </c>
      <c r="M87" s="1287">
        <f t="shared" si="29"/>
        <v>-3.0000000000000001E-3</v>
      </c>
      <c r="N87" s="1287">
        <f t="shared" si="29"/>
        <v>-6.0000000000000001E-3</v>
      </c>
      <c r="Z87" s="2721"/>
      <c r="AA87" s="2796"/>
      <c r="AG87" s="1374"/>
      <c r="AK87" s="2796"/>
    </row>
    <row r="88" spans="1:37" ht="15" thickBot="1">
      <c r="A88" s="2886" t="s">
        <v>2954</v>
      </c>
      <c r="B88" s="2891" t="str">
        <f>估价对象房地状况!G18</f>
        <v>一般</v>
      </c>
      <c r="C88" s="2771" t="s">
        <v>3240</v>
      </c>
      <c r="D88" s="1288">
        <f t="shared" si="25"/>
        <v>0</v>
      </c>
      <c r="E88" s="826"/>
      <c r="F88" s="2502"/>
      <c r="G88" s="1286">
        <v>3.5000000000000001E-3</v>
      </c>
      <c r="H88" s="1290">
        <f t="shared" si="26"/>
        <v>3.8999999999999998E-3</v>
      </c>
      <c r="I88" s="823">
        <v>0.06</v>
      </c>
      <c r="J88" s="1287">
        <f t="shared" si="27"/>
        <v>7.0000000000000001E-3</v>
      </c>
      <c r="K88" s="1287">
        <f t="shared" si="28"/>
        <v>3.5000000000000001E-3</v>
      </c>
      <c r="L88" s="1287">
        <v>0</v>
      </c>
      <c r="M88" s="1287">
        <f t="shared" si="29"/>
        <v>-3.5000000000000001E-3</v>
      </c>
      <c r="N88" s="1287">
        <f t="shared" si="29"/>
        <v>-7.0000000000000001E-3</v>
      </c>
      <c r="Z88" s="2721"/>
      <c r="AA88" s="2796"/>
      <c r="AG88" s="1374"/>
      <c r="AK88" s="2796"/>
    </row>
    <row r="90" spans="1:37">
      <c r="A90" s="3254" t="s">
        <v>2955</v>
      </c>
      <c r="B90" s="3254"/>
      <c r="C90" s="3254"/>
      <c r="D90" s="3254"/>
      <c r="E90" s="3254"/>
      <c r="F90" s="3254"/>
      <c r="G90" s="3254"/>
      <c r="H90" s="3254"/>
      <c r="I90" s="3254"/>
      <c r="J90" s="3254"/>
      <c r="K90" s="2892"/>
      <c r="L90" s="2892"/>
      <c r="M90" s="2892"/>
      <c r="N90" s="2892"/>
    </row>
    <row r="91" spans="1:37">
      <c r="A91" s="3256" t="s">
        <v>2956</v>
      </c>
      <c r="B91" s="3256" t="s">
        <v>2957</v>
      </c>
      <c r="C91" s="2846" t="s">
        <v>2958</v>
      </c>
      <c r="D91" s="2847"/>
      <c r="E91" s="2847"/>
      <c r="F91" s="2847"/>
      <c r="G91" s="2847"/>
      <c r="H91" s="2847"/>
      <c r="I91" s="2847"/>
      <c r="J91" s="2893"/>
      <c r="K91" s="2894"/>
      <c r="L91" s="2894"/>
      <c r="M91" s="2894"/>
      <c r="N91" s="2894"/>
    </row>
    <row r="92" spans="1:37">
      <c r="A92" s="3256"/>
      <c r="B92" s="3256"/>
      <c r="C92" s="944" t="s">
        <v>2824</v>
      </c>
      <c r="D92" s="944" t="s">
        <v>2825</v>
      </c>
      <c r="E92" s="944" t="s">
        <v>2826</v>
      </c>
      <c r="F92" s="944" t="s">
        <v>2827</v>
      </c>
      <c r="G92" s="944" t="s">
        <v>2828</v>
      </c>
      <c r="H92" s="944" t="s">
        <v>2829</v>
      </c>
      <c r="I92" s="944" t="s">
        <v>2830</v>
      </c>
      <c r="J92" s="944" t="s">
        <v>2831</v>
      </c>
      <c r="K92" s="944" t="s">
        <v>2832</v>
      </c>
      <c r="L92" s="944" t="s">
        <v>2833</v>
      </c>
      <c r="M92" s="944" t="s">
        <v>2834</v>
      </c>
      <c r="N92" s="944" t="s">
        <v>2835</v>
      </c>
    </row>
    <row r="93" spans="1:37">
      <c r="A93" s="3257" t="s">
        <v>2959</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58"/>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58"/>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58"/>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58"/>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58"/>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58"/>
      <c r="B99" s="2895" t="s">
        <v>2840</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59"/>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57" t="s">
        <v>2960</v>
      </c>
      <c r="B101" s="2899" t="s">
        <v>2961</v>
      </c>
      <c r="C101" s="2900">
        <f>$G$3</f>
        <v>1.37</v>
      </c>
      <c r="D101" s="2900">
        <f t="shared" ref="D101:N101" si="31">$G$3</f>
        <v>1.37</v>
      </c>
      <c r="E101" s="2900">
        <f t="shared" si="31"/>
        <v>1.37</v>
      </c>
      <c r="F101" s="2900">
        <f t="shared" si="31"/>
        <v>1.37</v>
      </c>
      <c r="G101" s="2900">
        <f t="shared" si="31"/>
        <v>1.37</v>
      </c>
      <c r="H101" s="2900">
        <f t="shared" si="31"/>
        <v>1.37</v>
      </c>
      <c r="I101" s="2900">
        <f t="shared" si="31"/>
        <v>1.37</v>
      </c>
      <c r="J101" s="2900">
        <f t="shared" si="31"/>
        <v>1.37</v>
      </c>
      <c r="K101" s="2900">
        <f t="shared" si="31"/>
        <v>1.37</v>
      </c>
      <c r="L101" s="2900">
        <f t="shared" si="31"/>
        <v>1.37</v>
      </c>
      <c r="M101" s="2900">
        <f t="shared" si="31"/>
        <v>1.37</v>
      </c>
      <c r="N101" s="2900">
        <f t="shared" si="31"/>
        <v>1.37</v>
      </c>
    </row>
    <row r="102" spans="1:14">
      <c r="A102" s="3258"/>
      <c r="B102" s="2895">
        <v>1</v>
      </c>
      <c r="C102" s="2896">
        <f>1.9362/C101</f>
        <v>1.4132846715328466</v>
      </c>
      <c r="D102" s="2896">
        <f>1.9362/D101</f>
        <v>1.4132846715328466</v>
      </c>
      <c r="E102" s="2896">
        <f>1.8629/E101</f>
        <v>1.3597810218978101</v>
      </c>
      <c r="F102" s="2896">
        <f>1.8629/F101</f>
        <v>1.3597810218978101</v>
      </c>
      <c r="G102" s="2896">
        <f>1.8629/G101</f>
        <v>1.3597810218978101</v>
      </c>
      <c r="H102" s="2896">
        <f>1.8629/H101</f>
        <v>1.3597810218978101</v>
      </c>
      <c r="I102" s="2896">
        <f>1.8629/I101</f>
        <v>1.3597810218978101</v>
      </c>
      <c r="J102" s="2896">
        <f>1.942/J101</f>
        <v>1.4175182481751822</v>
      </c>
      <c r="K102" s="2896">
        <f>1.942/K101</f>
        <v>1.4175182481751822</v>
      </c>
      <c r="L102" s="2896">
        <f>1.942/L101</f>
        <v>1.4175182481751822</v>
      </c>
      <c r="M102" s="2896">
        <f>1.942/M101</f>
        <v>1.4175182481751822</v>
      </c>
      <c r="N102" s="2896">
        <f>1.942/N101</f>
        <v>1.4175182481751822</v>
      </c>
    </row>
    <row r="103" spans="1:14">
      <c r="A103" s="3258"/>
      <c r="B103" s="2895">
        <v>2</v>
      </c>
      <c r="C103" s="2896">
        <f>1.4198/C101</f>
        <v>1.0363503649635035</v>
      </c>
      <c r="D103" s="2896">
        <f>1.4198/D101</f>
        <v>1.0363503649635035</v>
      </c>
      <c r="E103" s="2896">
        <f>1.3372/E101</f>
        <v>0.97605839416058382</v>
      </c>
      <c r="F103" s="2896">
        <f>1.3372/F101</f>
        <v>0.97605839416058382</v>
      </c>
      <c r="G103" s="2896">
        <f>1.3372/G101</f>
        <v>0.97605839416058382</v>
      </c>
      <c r="H103" s="2896">
        <f>1.3372/H101</f>
        <v>0.97605839416058382</v>
      </c>
      <c r="I103" s="2896">
        <f>1.3372/I101</f>
        <v>0.97605839416058382</v>
      </c>
      <c r="J103" s="2896">
        <f>1.2799/J101</f>
        <v>0.93423357664233575</v>
      </c>
      <c r="K103" s="2896">
        <f>1.2799/K101</f>
        <v>0.93423357664233575</v>
      </c>
      <c r="L103" s="2896">
        <f>1.2799/L101</f>
        <v>0.93423357664233575</v>
      </c>
      <c r="M103" s="2896">
        <f>1.2799/M101</f>
        <v>0.93423357664233575</v>
      </c>
      <c r="N103" s="2896">
        <f>1.2799/N101</f>
        <v>0.93423357664233575</v>
      </c>
    </row>
    <row r="104" spans="1:14">
      <c r="A104" s="3258"/>
      <c r="B104" s="2895">
        <v>3</v>
      </c>
      <c r="C104" s="2896">
        <f>1.1594/C101</f>
        <v>0.84627737226277366</v>
      </c>
      <c r="D104" s="2896">
        <f>1.1594/D101</f>
        <v>0.84627737226277366</v>
      </c>
      <c r="E104" s="2896">
        <f>1.0788/E101</f>
        <v>0.78744525547445243</v>
      </c>
      <c r="F104" s="2896">
        <f>1.0788/F101</f>
        <v>0.78744525547445243</v>
      </c>
      <c r="G104" s="2896">
        <f>1.0788/G101</f>
        <v>0.78744525547445243</v>
      </c>
      <c r="H104" s="2896">
        <f>1.0788/H101</f>
        <v>0.78744525547445243</v>
      </c>
      <c r="I104" s="2896">
        <f>1.0788/I101</f>
        <v>0.78744525547445243</v>
      </c>
      <c r="J104" s="2896">
        <f>1.0072/J101</f>
        <v>0.73518248175182488</v>
      </c>
      <c r="K104" s="2896">
        <f>1.0072/K101</f>
        <v>0.73518248175182488</v>
      </c>
      <c r="L104" s="2896">
        <f>1.0072/L101</f>
        <v>0.73518248175182488</v>
      </c>
      <c r="M104" s="2896">
        <f>1.0072/M101</f>
        <v>0.73518248175182488</v>
      </c>
      <c r="N104" s="2896">
        <f>1.0072/N101</f>
        <v>0.73518248175182488</v>
      </c>
    </row>
    <row r="105" spans="1:14">
      <c r="A105" s="3258"/>
      <c r="B105" s="2895">
        <v>4</v>
      </c>
      <c r="C105" s="2896">
        <f>0.9622/C101</f>
        <v>0.7023357664233576</v>
      </c>
      <c r="D105" s="2896">
        <f>0.9622/D101</f>
        <v>0.7023357664233576</v>
      </c>
      <c r="E105" s="2896">
        <f>0.8656/E101</f>
        <v>0.63182481751824815</v>
      </c>
      <c r="F105" s="2896">
        <f>0.8656/F101</f>
        <v>0.63182481751824815</v>
      </c>
      <c r="G105" s="2896">
        <f>0.8656/G101</f>
        <v>0.63182481751824815</v>
      </c>
      <c r="H105" s="2896">
        <f>0.8656/H101</f>
        <v>0.63182481751824815</v>
      </c>
      <c r="I105" s="2896">
        <f>0.8656/I101</f>
        <v>0.63182481751824815</v>
      </c>
      <c r="J105" s="2896">
        <f>0.7525/J101</f>
        <v>0.5492700729927007</v>
      </c>
      <c r="K105" s="2896">
        <f>0.7525/K101</f>
        <v>0.5492700729927007</v>
      </c>
      <c r="L105" s="2896">
        <f>0.7525/L101</f>
        <v>0.5492700729927007</v>
      </c>
      <c r="M105" s="2896">
        <f>0.7525/M101</f>
        <v>0.5492700729927007</v>
      </c>
      <c r="N105" s="2896">
        <f>0.7525/N101</f>
        <v>0.5492700729927007</v>
      </c>
    </row>
    <row r="106" spans="1:14">
      <c r="A106" s="3258"/>
      <c r="B106" s="2895">
        <v>5</v>
      </c>
      <c r="C106" s="2896">
        <f>0.8417/C101</f>
        <v>0.61437956204379562</v>
      </c>
      <c r="D106" s="2896">
        <f>0.8417/D101</f>
        <v>0.61437956204379562</v>
      </c>
      <c r="E106" s="2896">
        <f>0.7371/E101</f>
        <v>0.53802919708029195</v>
      </c>
      <c r="F106" s="2896">
        <f>0.7371/F101</f>
        <v>0.53802919708029195</v>
      </c>
      <c r="G106" s="2896">
        <f>0.7371/G101</f>
        <v>0.53802919708029195</v>
      </c>
      <c r="H106" s="2896">
        <f>0.7371/H101</f>
        <v>0.53802919708029195</v>
      </c>
      <c r="I106" s="2896">
        <f>0.7371/I101</f>
        <v>0.53802919708029195</v>
      </c>
      <c r="J106" s="2896">
        <f>0.5659/J101</f>
        <v>0.41306569343065686</v>
      </c>
      <c r="K106" s="2896">
        <f>0.5659/K101</f>
        <v>0.41306569343065686</v>
      </c>
      <c r="L106" s="2896">
        <f>0.5659/L101</f>
        <v>0.41306569343065686</v>
      </c>
      <c r="M106" s="2896">
        <f>0.5659/M101</f>
        <v>0.41306569343065686</v>
      </c>
      <c r="N106" s="2896">
        <f>0.5659/N101</f>
        <v>0.41306569343065686</v>
      </c>
    </row>
    <row r="107" spans="1:14">
      <c r="A107" s="3258"/>
      <c r="B107" s="2895">
        <v>6</v>
      </c>
      <c r="C107" s="2896">
        <f>0.7608/C101</f>
        <v>0.55532846715328466</v>
      </c>
      <c r="D107" s="2896">
        <f>0.7608/D101</f>
        <v>0.55532846715328466</v>
      </c>
      <c r="E107" s="2896">
        <f>0.6482/E101</f>
        <v>0.47313868613138682</v>
      </c>
      <c r="F107" s="2896">
        <f>0.6482/F101</f>
        <v>0.47313868613138682</v>
      </c>
      <c r="G107" s="2896">
        <f>0.6482/G101</f>
        <v>0.47313868613138682</v>
      </c>
      <c r="H107" s="2896">
        <f>0.6482/H101</f>
        <v>0.47313868613138682</v>
      </c>
      <c r="I107" s="2896">
        <f>0.6482/I101</f>
        <v>0.47313868613138682</v>
      </c>
      <c r="J107" s="2896">
        <f>0.4525/J101</f>
        <v>0.33029197080291967</v>
      </c>
      <c r="K107" s="2896">
        <f>0.4525/K101</f>
        <v>0.33029197080291967</v>
      </c>
      <c r="L107" s="2896">
        <f>0.4525/L101</f>
        <v>0.33029197080291967</v>
      </c>
      <c r="M107" s="2896">
        <f>0.4525/M101</f>
        <v>0.33029197080291967</v>
      </c>
      <c r="N107" s="2896">
        <f>0.4525/N101</f>
        <v>0.33029197080291967</v>
      </c>
    </row>
    <row r="108" spans="1:14">
      <c r="A108" s="3258"/>
      <c r="B108" s="3186" t="s">
        <v>2962</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59"/>
      <c r="B109" s="3187"/>
      <c r="C109" s="2898">
        <f>(-0.163*(C108^2)-0.59*C108+7617)*(10^(-4))/C101</f>
        <v>0.55598540145985398</v>
      </c>
      <c r="D109" s="2898">
        <f>(-0.163*(D108^2)-0.59*D108+7617)*(10^(-4))/D101</f>
        <v>0.55598540145985398</v>
      </c>
      <c r="E109" s="2898">
        <f>(-0.161*(E108^2)-7.509*E108+6533)*(10^(-4))/E101</f>
        <v>0.47686131386861308</v>
      </c>
      <c r="F109" s="2898">
        <f>(-0.161*(F108^2)-7.509*F108+6533)*(10^(-4))/F101</f>
        <v>0.47686131386861308</v>
      </c>
      <c r="G109" s="2898">
        <f>(-0.161*(G108^2)-7.509*G108+6533)*(10^(-4))/G101</f>
        <v>0.47686131386861308</v>
      </c>
      <c r="H109" s="2898">
        <f>(-0.161*(H108^2)-7.509*H108+6533)*(10^(-4))/H101</f>
        <v>0.47686131386861308</v>
      </c>
      <c r="I109" s="2898">
        <f>(-0.161*(I108^2)-7.509*I108+6533)*(10^(-4))/I101</f>
        <v>0.47686131386861308</v>
      </c>
      <c r="J109" s="2898">
        <f>(-0.214*(J108^2)-21.991*J108+4665)*(10^(-4))/J101</f>
        <v>0.34051094890510947</v>
      </c>
      <c r="K109" s="2898">
        <f>(-0.214*(K108^2)-21.991*K108+4665)*(10^(-4))/K101</f>
        <v>0.34051094890510947</v>
      </c>
      <c r="L109" s="2898">
        <f>(-0.214*(L108^2)-21.991*L108+4665)*(10^(-4))/L101</f>
        <v>0.34051094890510947</v>
      </c>
      <c r="M109" s="2898">
        <f>(-0.214*(M108^2)-21.991*M108+4665)*(10^(-4))/M101</f>
        <v>0.34051094890510947</v>
      </c>
      <c r="N109" s="2898">
        <f>(-0.214*(N108^2)-21.991*N108+4665)*(10^(-4))/N101</f>
        <v>0.34051094890510947</v>
      </c>
    </row>
    <row r="110" spans="1:14">
      <c r="A110" s="3255" t="s">
        <v>2963</v>
      </c>
      <c r="B110" s="3255"/>
      <c r="C110" s="3255"/>
      <c r="D110" s="3255"/>
      <c r="E110" s="3255"/>
      <c r="F110" s="3255"/>
      <c r="G110" s="3255"/>
      <c r="H110" s="3255"/>
      <c r="I110" s="3255"/>
      <c r="J110" s="3255"/>
      <c r="K110" s="2901"/>
      <c r="L110" s="2901"/>
      <c r="M110" s="2901"/>
      <c r="N110" s="2901"/>
    </row>
    <row r="112" spans="1:14" ht="13.5" thickBot="1"/>
    <row r="113" spans="1:13" ht="25.5" thickBot="1">
      <c r="A113" s="902" t="s">
        <v>2964</v>
      </c>
      <c r="B113" s="1289">
        <f>G3</f>
        <v>1.37</v>
      </c>
      <c r="C113" s="903" t="s">
        <v>2965</v>
      </c>
      <c r="D113" s="904">
        <f>SUMPRODUCT((A115:A118=F113)*(B114:M114=H113)*B115:M118)</f>
        <v>0.61319999999999997</v>
      </c>
      <c r="E113" s="2725" t="s">
        <v>2798</v>
      </c>
      <c r="F113" s="2903" t="str">
        <f>E2</f>
        <v>工业</v>
      </c>
      <c r="G113" s="2725" t="s">
        <v>2799</v>
      </c>
      <c r="H113" s="2903" t="str">
        <f>G2</f>
        <v>七级</v>
      </c>
      <c r="I113" s="2725"/>
      <c r="J113" s="2904"/>
      <c r="K113" s="2904"/>
      <c r="L113" s="2904"/>
      <c r="M113" s="2904"/>
    </row>
    <row r="114" spans="1:13">
      <c r="A114" s="907"/>
      <c r="B114" s="2905" t="s">
        <v>2966</v>
      </c>
      <c r="C114" s="2905" t="s">
        <v>2967</v>
      </c>
      <c r="D114" s="2905" t="s">
        <v>2968</v>
      </c>
      <c r="E114" s="2906" t="s">
        <v>2969</v>
      </c>
      <c r="F114" s="2906" t="s">
        <v>2970</v>
      </c>
      <c r="G114" s="2906" t="s">
        <v>2971</v>
      </c>
      <c r="H114" s="2907" t="s">
        <v>2972</v>
      </c>
      <c r="I114" s="2907" t="s">
        <v>2973</v>
      </c>
      <c r="J114" s="2908" t="s">
        <v>2974</v>
      </c>
      <c r="K114" s="2908" t="s">
        <v>2975</v>
      </c>
      <c r="L114" s="2908" t="s">
        <v>2976</v>
      </c>
      <c r="M114" s="2909" t="s">
        <v>2977</v>
      </c>
    </row>
    <row r="115" spans="1:13">
      <c r="A115" s="908" t="s">
        <v>2862</v>
      </c>
      <c r="B115" s="909">
        <f>ROUND(0.9335-0.0094*B113,4)</f>
        <v>0.92059999999999997</v>
      </c>
      <c r="C115" s="909">
        <f>B115</f>
        <v>0.92059999999999997</v>
      </c>
      <c r="D115" s="909">
        <f>ROUND(0.8331-0.0109*B113,4)</f>
        <v>0.81820000000000004</v>
      </c>
      <c r="E115" s="909">
        <f>D115</f>
        <v>0.81820000000000004</v>
      </c>
      <c r="F115" s="909">
        <f>E115</f>
        <v>0.81820000000000004</v>
      </c>
      <c r="G115" s="909">
        <f>F115</f>
        <v>0.81820000000000004</v>
      </c>
      <c r="H115" s="909">
        <f>G115</f>
        <v>0.81820000000000004</v>
      </c>
      <c r="I115" s="909">
        <f>ROUND(0.689-0.0155*B113,4)</f>
        <v>0.66779999999999995</v>
      </c>
      <c r="J115" s="909">
        <f t="shared" ref="J115:M118" si="33">I115</f>
        <v>0.66779999999999995</v>
      </c>
      <c r="K115" s="909">
        <f t="shared" si="33"/>
        <v>0.66779999999999995</v>
      </c>
      <c r="L115" s="909">
        <f t="shared" si="33"/>
        <v>0.66779999999999995</v>
      </c>
      <c r="M115" s="910">
        <f t="shared" si="33"/>
        <v>0.66779999999999995</v>
      </c>
    </row>
    <row r="116" spans="1:13">
      <c r="A116" s="908" t="s">
        <v>2863</v>
      </c>
      <c r="B116" s="909">
        <f>ROUND(0.949-0.012*B113,4)</f>
        <v>0.93259999999999998</v>
      </c>
      <c r="C116" s="909">
        <f>B116</f>
        <v>0.93259999999999998</v>
      </c>
      <c r="D116" s="909">
        <f>ROUND(0.8567-0.013*B113,4)</f>
        <v>0.83889999999999998</v>
      </c>
      <c r="E116" s="909">
        <f t="shared" ref="E116:H117" si="34">D116</f>
        <v>0.83889999999999998</v>
      </c>
      <c r="F116" s="909">
        <f t="shared" si="34"/>
        <v>0.83889999999999998</v>
      </c>
      <c r="G116" s="909">
        <f t="shared" si="34"/>
        <v>0.83889999999999998</v>
      </c>
      <c r="H116" s="909">
        <f t="shared" si="34"/>
        <v>0.83889999999999998</v>
      </c>
      <c r="I116" s="909">
        <f>ROUND(0.7694-0.014*B113,4)</f>
        <v>0.75019999999999998</v>
      </c>
      <c r="J116" s="909">
        <f t="shared" si="33"/>
        <v>0.75019999999999998</v>
      </c>
      <c r="K116" s="909">
        <f t="shared" si="33"/>
        <v>0.75019999999999998</v>
      </c>
      <c r="L116" s="909">
        <f t="shared" si="33"/>
        <v>0.75019999999999998</v>
      </c>
      <c r="M116" s="910">
        <f t="shared" si="33"/>
        <v>0.75019999999999998</v>
      </c>
    </row>
    <row r="117" spans="1:13">
      <c r="A117" s="908" t="s">
        <v>2864</v>
      </c>
      <c r="B117" s="909">
        <f>ROUND(0.8808-0.006*B113,4)</f>
        <v>0.87260000000000004</v>
      </c>
      <c r="C117" s="909">
        <f>B117</f>
        <v>0.87260000000000004</v>
      </c>
      <c r="D117" s="909">
        <f>ROUND(0.8748-0.008*B113,4)</f>
        <v>0.86380000000000001</v>
      </c>
      <c r="E117" s="909">
        <f t="shared" si="34"/>
        <v>0.86380000000000001</v>
      </c>
      <c r="F117" s="909">
        <f t="shared" si="34"/>
        <v>0.86380000000000001</v>
      </c>
      <c r="G117" s="909">
        <f t="shared" si="34"/>
        <v>0.86380000000000001</v>
      </c>
      <c r="H117" s="909">
        <f t="shared" si="34"/>
        <v>0.86380000000000001</v>
      </c>
      <c r="I117" s="909">
        <f>ROUND(0.7412-0.0095*B113,4)</f>
        <v>0.72819999999999996</v>
      </c>
      <c r="J117" s="909">
        <f t="shared" si="33"/>
        <v>0.72819999999999996</v>
      </c>
      <c r="K117" s="909">
        <f t="shared" si="33"/>
        <v>0.72819999999999996</v>
      </c>
      <c r="L117" s="909">
        <f t="shared" si="33"/>
        <v>0.72819999999999996</v>
      </c>
      <c r="M117" s="910">
        <f t="shared" si="33"/>
        <v>0.72819999999999996</v>
      </c>
    </row>
    <row r="118" spans="1:13" ht="13.5" thickBot="1">
      <c r="A118" s="713" t="s">
        <v>2865</v>
      </c>
      <c r="B118" s="911">
        <f>ROUND(0.7275-0.01*B113,4)</f>
        <v>0.71379999999999999</v>
      </c>
      <c r="C118" s="911">
        <f>B118</f>
        <v>0.71379999999999999</v>
      </c>
      <c r="D118" s="911">
        <f>ROUND(0.7043-0.012*B113,4)</f>
        <v>0.68789999999999996</v>
      </c>
      <c r="E118" s="911">
        <f>D118</f>
        <v>0.68789999999999996</v>
      </c>
      <c r="F118" s="911">
        <f>E118</f>
        <v>0.68789999999999996</v>
      </c>
      <c r="G118" s="911">
        <f>ROUND(0.6299-0.0122*B113,4)</f>
        <v>0.61319999999999997</v>
      </c>
      <c r="H118" s="911">
        <f>G118</f>
        <v>0.61319999999999997</v>
      </c>
      <c r="I118" s="911">
        <f>ROUND(0.5667-0.0136*B113,4)</f>
        <v>0.54810000000000003</v>
      </c>
      <c r="J118" s="911">
        <f t="shared" si="33"/>
        <v>0.54810000000000003</v>
      </c>
      <c r="K118" s="911">
        <f t="shared" si="33"/>
        <v>0.54810000000000003</v>
      </c>
      <c r="L118" s="911">
        <f t="shared" si="33"/>
        <v>0.54810000000000003</v>
      </c>
      <c r="M118" s="912">
        <f t="shared" si="33"/>
        <v>0.54810000000000003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66" t="str">
        <f>项目基本情况!B1</f>
        <v>北京市顺义区天竺镇府前二街1号4幢等8幢房地产抵押价值预评估</v>
      </c>
      <c r="C37" s="3066"/>
      <c r="D37" s="3066"/>
      <c r="E37" s="3066"/>
      <c r="F37" s="3066"/>
      <c r="G37" s="3066"/>
      <c r="H37" s="3066"/>
      <c r="I37" s="3066"/>
    </row>
    <row r="38" spans="1:9">
      <c r="A38" s="1018"/>
      <c r="B38" s="1018"/>
    </row>
    <row r="39" spans="1:9">
      <c r="A39" s="1016" t="s">
        <v>818</v>
      </c>
      <c r="B39" s="1016" t="s">
        <v>820</v>
      </c>
    </row>
    <row r="40" spans="1:9">
      <c r="A40" s="1016"/>
      <c r="B40" s="1944" t="str">
        <f>项目基本情况!B5</f>
        <v>北京宏远天竺仓储有限公司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欧红伟（注册号：1120000080)、崔锴（注册号：1120100036)</v>
      </c>
    </row>
    <row r="47" spans="1:9">
      <c r="A47" s="1016"/>
      <c r="B47" s="1016" t="str">
        <f>项目基本情况!K5</f>
        <v/>
      </c>
    </row>
    <row r="48" spans="1:9">
      <c r="A48" s="1016" t="s">
        <v>818</v>
      </c>
      <c r="B48" s="1016" t="s">
        <v>824</v>
      </c>
    </row>
    <row r="49" spans="2:2">
      <c r="B49" s="1944" t="str">
        <f>"康正预评字"&amp;项目基本情况!B2&amp;"号"</f>
        <v>康正预评字2018-1-0027-P01DYGJ1号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2311</v>
      </c>
      <c r="B1" s="1939" t="s">
        <v>3049</v>
      </c>
      <c r="C1" s="241"/>
      <c r="D1" s="241"/>
      <c r="E1" s="241"/>
      <c r="F1" s="241"/>
      <c r="G1" s="1381">
        <f>MATCH(B1,'数据-取费表'!A6:A16,0)+5</f>
        <v>6</v>
      </c>
    </row>
    <row r="2" spans="1:9" s="243" customFormat="1" ht="18" customHeight="1">
      <c r="A2" s="244" t="s">
        <v>2312</v>
      </c>
      <c r="B2" s="245">
        <f ca="1">IF(D2="——",C52,C52-E2)</f>
        <v>33072</v>
      </c>
      <c r="C2" s="242" t="s">
        <v>2313</v>
      </c>
      <c r="D2" s="2548" t="s">
        <v>70</v>
      </c>
      <c r="E2" s="1442">
        <f ca="1">SUMIF(INDIRECT("'"&amp;G2&amp;"'"&amp;"!A:A"),"承租人权益价值",INDIRECT("'"&amp;G2&amp;"'"&amp;"!c:c"))</f>
        <v>-1213</v>
      </c>
      <c r="F2" s="2549" t="s">
        <v>2313</v>
      </c>
      <c r="G2" s="2550" t="s">
        <v>3230</v>
      </c>
    </row>
    <row r="3" spans="1:9" s="243" customFormat="1" ht="18" customHeight="1" thickBot="1">
      <c r="A3" s="246" t="s">
        <v>2314</v>
      </c>
      <c r="B3" s="247">
        <f ca="1">ROUND(B2*10000/(IF(B1="",'数据-汇总表'!E3,INDIRECT("'数据-取费表'!k"&amp;$G$1))),0)</f>
        <v>6912</v>
      </c>
      <c r="C3" s="242" t="s">
        <v>2315</v>
      </c>
      <c r="D3" s="242"/>
      <c r="E3" s="242"/>
      <c r="F3" s="242"/>
      <c r="G3" s="242"/>
    </row>
    <row r="4" spans="1:9" s="251" customFormat="1" ht="15.75">
      <c r="A4" s="248" t="s">
        <v>2316</v>
      </c>
      <c r="B4" s="249"/>
      <c r="C4" s="249"/>
      <c r="D4" s="249"/>
      <c r="E4" s="249"/>
      <c r="F4" s="249"/>
      <c r="G4" s="250"/>
    </row>
    <row r="5" spans="1:9" s="257" customFormat="1" ht="13.5" customHeight="1">
      <c r="A5" s="298" t="s">
        <v>2317</v>
      </c>
      <c r="B5" s="253" t="s">
        <v>2318</v>
      </c>
      <c r="C5" s="254">
        <f ca="1">C6+C7+C8</f>
        <v>7753</v>
      </c>
      <c r="D5" s="254" t="s">
        <v>2319</v>
      </c>
      <c r="E5" s="255" t="s">
        <v>2320</v>
      </c>
      <c r="F5" s="255" t="s">
        <v>2321</v>
      </c>
      <c r="G5" s="256"/>
    </row>
    <row r="6" spans="1:9" s="257" customFormat="1" ht="13.5" customHeight="1">
      <c r="A6" s="951" t="s">
        <v>2322</v>
      </c>
      <c r="B6" s="258" t="s">
        <v>2323</v>
      </c>
      <c r="C6" s="259">
        <f ca="1">基准地价修正!B2</f>
        <v>7524</v>
      </c>
      <c r="D6" s="260"/>
      <c r="E6" s="261"/>
      <c r="F6" s="261"/>
      <c r="G6" s="262"/>
    </row>
    <row r="7" spans="1:9" s="257" customFormat="1" ht="13.5" customHeight="1">
      <c r="A7" s="951" t="s">
        <v>2324</v>
      </c>
      <c r="B7" s="258" t="s">
        <v>2325</v>
      </c>
      <c r="C7" s="263">
        <f ca="1">ROUND(C6*F7,0)</f>
        <v>229</v>
      </c>
      <c r="D7" s="263"/>
      <c r="E7" s="261"/>
      <c r="F7" s="264">
        <f>'数据-取费表'!B48+'数据-取费表'!B49</f>
        <v>3.0499999999999999E-2</v>
      </c>
      <c r="G7" s="262"/>
    </row>
    <row r="8" spans="1:9" s="266" customFormat="1">
      <c r="A8" s="951" t="s">
        <v>2326</v>
      </c>
      <c r="B8" s="258" t="s">
        <v>2327</v>
      </c>
      <c r="C8" s="263" t="str">
        <f>IF(G8="已包含在土地购买价格中","0",IF(B1="",'数据-取费表'!B29,IF(G9="全部缴纳",C9+C10,H9)))</f>
        <v>0</v>
      </c>
      <c r="D8" s="265"/>
      <c r="E8" s="263"/>
      <c r="F8" s="264"/>
      <c r="G8" s="2551" t="s">
        <v>1148</v>
      </c>
    </row>
    <row r="9" spans="1:9" s="257" customFormat="1" ht="13.5" customHeight="1">
      <c r="A9" s="952" t="s">
        <v>800</v>
      </c>
      <c r="B9" s="267" t="s">
        <v>2328</v>
      </c>
      <c r="C9" s="268">
        <f ca="1">ROUND(D9*E9/10000,0)</f>
        <v>0</v>
      </c>
      <c r="D9" s="1034">
        <f ca="1">IF(B1="",'数据-汇总表'!E5,IF(INDIRECT("'数据-取费表'!c"&amp;$G$1)="住宅",INDIRECT("'数据-取费表'!k"&amp;$G$1),0))</f>
        <v>0</v>
      </c>
      <c r="E9" s="268">
        <f>'数据-取费表'!B27</f>
        <v>0</v>
      </c>
      <c r="F9" s="264"/>
      <c r="G9" s="2552" t="s">
        <v>3241</v>
      </c>
      <c r="H9" s="1392"/>
      <c r="I9" s="2553" t="s">
        <v>2329</v>
      </c>
    </row>
    <row r="10" spans="1:9" s="257" customFormat="1" ht="13.5" customHeight="1">
      <c r="A10" s="952" t="s">
        <v>801</v>
      </c>
      <c r="B10" s="267" t="s">
        <v>2330</v>
      </c>
      <c r="C10" s="268">
        <f ca="1">ROUND(D10*E10/10000,0)</f>
        <v>957</v>
      </c>
      <c r="D10" s="1034">
        <f ca="1">IF(B1="",'数据-汇总表'!E6,IF(INDIRECT("'数据-取费表'!c"&amp;$G$1)="住宅",INDIRECT("'数据-取费表'!s"&amp;$G$1),INDIRECT("'数据-取费表'!k"&amp;$G$1)+INDIRECT("'数据-取费表'!s"&amp;$G$1)))</f>
        <v>47850.3</v>
      </c>
      <c r="E10" s="268">
        <f>'数据-取费表'!B28</f>
        <v>200</v>
      </c>
      <c r="F10" s="264"/>
      <c r="G10" s="269"/>
    </row>
    <row r="11" spans="1:9" s="257" customFormat="1" ht="13.5" hidden="1" customHeight="1">
      <c r="A11" s="270" t="s">
        <v>7</v>
      </c>
      <c r="B11" s="258" t="s">
        <v>2331</v>
      </c>
      <c r="C11" s="254"/>
      <c r="D11" s="1036"/>
      <c r="E11" s="261"/>
      <c r="F11" s="261"/>
      <c r="G11" s="262"/>
    </row>
    <row r="12" spans="1:9" s="257" customFormat="1" ht="13.5" hidden="1" customHeight="1">
      <c r="A12" s="270" t="s">
        <v>8</v>
      </c>
      <c r="B12" s="258" t="s">
        <v>2332</v>
      </c>
      <c r="C12" s="254">
        <v>0</v>
      </c>
      <c r="D12" s="1036"/>
      <c r="E12" s="271"/>
      <c r="F12" s="264">
        <v>3.0499999999999999E-2</v>
      </c>
      <c r="G12" s="262"/>
    </row>
    <row r="13" spans="1:9" s="257" customFormat="1" ht="13.5" hidden="1" customHeight="1">
      <c r="A13" s="270" t="s">
        <v>9</v>
      </c>
      <c r="B13" s="258" t="s">
        <v>2333</v>
      </c>
      <c r="C13" s="254"/>
      <c r="D13" s="1036"/>
      <c r="E13" s="261"/>
      <c r="F13" s="261"/>
      <c r="G13" s="262"/>
    </row>
    <row r="14" spans="1:9" s="257" customFormat="1" ht="13.5" hidden="1" customHeight="1">
      <c r="A14" s="270" t="s">
        <v>10</v>
      </c>
      <c r="B14" s="258" t="s">
        <v>2334</v>
      </c>
      <c r="C14" s="254"/>
      <c r="D14" s="1036"/>
      <c r="E14" s="261"/>
      <c r="F14" s="261"/>
      <c r="G14" s="262" t="s">
        <v>2335</v>
      </c>
    </row>
    <row r="15" spans="1:9" s="257" customFormat="1" ht="13.5" hidden="1" customHeight="1">
      <c r="A15" s="270" t="s">
        <v>11</v>
      </c>
      <c r="B15" s="258" t="s">
        <v>2336</v>
      </c>
      <c r="C15" s="263"/>
      <c r="D15" s="1036"/>
      <c r="E15" s="261"/>
      <c r="F15" s="261"/>
      <c r="G15" s="262" t="s">
        <v>2337</v>
      </c>
    </row>
    <row r="16" spans="1:9" s="257" customFormat="1" ht="13.5" hidden="1" customHeight="1">
      <c r="A16" s="270" t="s">
        <v>12</v>
      </c>
      <c r="B16" s="258" t="s">
        <v>2334</v>
      </c>
      <c r="C16" s="263"/>
      <c r="D16" s="1036"/>
      <c r="E16" s="261"/>
      <c r="F16" s="261"/>
      <c r="G16" s="262"/>
    </row>
    <row r="17" spans="1:7" s="257" customFormat="1" ht="13.5" hidden="1" customHeight="1">
      <c r="A17" s="270" t="s">
        <v>13</v>
      </c>
      <c r="B17" s="258" t="s">
        <v>2338</v>
      </c>
      <c r="C17" s="272"/>
      <c r="D17" s="1037"/>
      <c r="E17" s="272"/>
      <c r="F17" s="272"/>
      <c r="G17" s="262" t="s">
        <v>2337</v>
      </c>
    </row>
    <row r="18" spans="1:7" s="257" customFormat="1" ht="13.5" hidden="1" customHeight="1">
      <c r="A18" s="270" t="s">
        <v>14</v>
      </c>
      <c r="B18" s="258" t="s">
        <v>2339</v>
      </c>
      <c r="C18" s="263">
        <v>0</v>
      </c>
      <c r="D18" s="1036"/>
      <c r="E18" s="261"/>
      <c r="F18" s="264">
        <v>3.0499999999999999E-2</v>
      </c>
      <c r="G18" s="262" t="s">
        <v>2340</v>
      </c>
    </row>
    <row r="19" spans="1:7" s="266" customFormat="1" ht="13.5" customHeight="1">
      <c r="A19" s="298" t="s">
        <v>2341</v>
      </c>
      <c r="B19" s="253" t="s">
        <v>2342</v>
      </c>
      <c r="C19" s="254" t="str">
        <f>IF(G19="已包含在土地取得成本中","0",ROUND(D19*E19/10000,0))</f>
        <v>0</v>
      </c>
      <c r="D19" s="1038">
        <f ca="1">D9+D10</f>
        <v>47850.3</v>
      </c>
      <c r="E19" s="254">
        <f>'数据-取费表'!B31</f>
        <v>200</v>
      </c>
      <c r="F19" s="274"/>
      <c r="G19" s="2551" t="s">
        <v>3242</v>
      </c>
    </row>
    <row r="20" spans="1:7" s="257" customFormat="1" ht="13.5" customHeight="1">
      <c r="A20" s="298" t="s">
        <v>2343</v>
      </c>
      <c r="B20" s="253" t="s">
        <v>2344</v>
      </c>
      <c r="C20" s="275">
        <f ca="1">ROUND((C5+C19)*F20,0)</f>
        <v>155</v>
      </c>
      <c r="D20" s="275"/>
      <c r="E20" s="275"/>
      <c r="F20" s="276">
        <f>'数据-取费表'!B37</f>
        <v>0.02</v>
      </c>
      <c r="G20" s="277" t="s">
        <v>2345</v>
      </c>
    </row>
    <row r="21" spans="1:7" s="257" customFormat="1" ht="13.5" customHeight="1">
      <c r="A21" s="298" t="s">
        <v>2346</v>
      </c>
      <c r="B21" s="253" t="s">
        <v>2347</v>
      </c>
      <c r="C21" s="278">
        <f>F21</f>
        <v>0.02</v>
      </c>
      <c r="D21" s="279" t="s">
        <v>2348</v>
      </c>
      <c r="E21" s="275"/>
      <c r="F21" s="276">
        <f>'数据-取费表'!B38</f>
        <v>0.02</v>
      </c>
      <c r="G21" s="277" t="s">
        <v>2349</v>
      </c>
    </row>
    <row r="22" spans="1:7" s="257" customFormat="1" ht="13.5" customHeight="1">
      <c r="A22" s="298" t="s">
        <v>2350</v>
      </c>
      <c r="B22" s="253" t="s">
        <v>2351</v>
      </c>
      <c r="C22" s="1356">
        <f ca="1">ROUND(SUM(C23:C25),0)</f>
        <v>564</v>
      </c>
      <c r="D22" s="278">
        <f ca="1">C26</f>
        <v>6.9999999999999999E-4</v>
      </c>
      <c r="E22" s="279" t="s">
        <v>2348</v>
      </c>
      <c r="F22" s="280">
        <f ca="1">'数据-取费表'!B40</f>
        <v>4.7500000000000001E-2</v>
      </c>
      <c r="G22" s="277" t="str">
        <f>IF('数据-取费表'!B22&lt;=1,"单利计息","复利计息")</f>
        <v>复利计息</v>
      </c>
    </row>
    <row r="23" spans="1:7" s="257" customFormat="1" ht="13.5" customHeight="1">
      <c r="A23" s="953" t="s">
        <v>2352</v>
      </c>
      <c r="B23" s="258" t="s">
        <v>2353</v>
      </c>
      <c r="C23" s="1357">
        <f ca="1">ROUND(IF('数据-取费表'!B22&lt;=1,C5*F22*'数据-取费表'!B23,C5*(POWER((1+F22),'数据-取费表'!B23)-1)),0)</f>
        <v>559</v>
      </c>
      <c r="D23" s="281"/>
      <c r="E23" s="281"/>
      <c r="F23" s="282"/>
      <c r="G23" s="283" t="s">
        <v>2354</v>
      </c>
    </row>
    <row r="24" spans="1:7" s="257" customFormat="1" ht="13.5" customHeight="1">
      <c r="A24" s="953" t="s">
        <v>2355</v>
      </c>
      <c r="B24" s="258" t="s">
        <v>2356</v>
      </c>
      <c r="C24" s="1357">
        <f ca="1">ROUND(IF('数据-取费表'!B22&lt;=1,C19*F22*('数据-取费表'!B19/2+'数据-取费表'!B21),C19*(POWER((1+F22),('数据-取费表'!B19/2+'数据-取费表'!B21))-1)),0)</f>
        <v>0</v>
      </c>
      <c r="D24" s="281"/>
      <c r="E24" s="281"/>
      <c r="F24" s="282"/>
      <c r="G24" s="283" t="s">
        <v>2357</v>
      </c>
    </row>
    <row r="25" spans="1:7" s="257" customFormat="1" ht="24">
      <c r="A25" s="953" t="s">
        <v>2358</v>
      </c>
      <c r="B25" s="258" t="s">
        <v>2359</v>
      </c>
      <c r="C25" s="1357">
        <f ca="1">ROUND(IF('数据-取费表'!B22&lt;=1,C20*F22*'数据-取费表'!B23/2,C20*(POWER((1+F22),'数据-取费表'!B23/2)-1)),0)</f>
        <v>5</v>
      </c>
      <c r="D25" s="281"/>
      <c r="E25" s="284"/>
      <c r="F25" s="282"/>
      <c r="G25" s="285" t="s">
        <v>2360</v>
      </c>
    </row>
    <row r="26" spans="1:7" s="257" customFormat="1">
      <c r="A26" s="953" t="s">
        <v>795</v>
      </c>
      <c r="B26" s="258" t="s">
        <v>2361</v>
      </c>
      <c r="C26" s="281">
        <f ca="1">ROUND(IF('数据-取费表'!B22&lt;=1,F21*F22*'数据-取费表'!B23/2,F21*(POWER((1+F22),'数据-取费表'!B23/2)-1)),4)</f>
        <v>6.9999999999999999E-4</v>
      </c>
      <c r="D26" s="281"/>
      <c r="E26" s="284"/>
      <c r="F26" s="282"/>
      <c r="G26" s="286"/>
    </row>
    <row r="27" spans="1:7" s="257" customFormat="1" ht="24.75">
      <c r="A27" s="298" t="s">
        <v>2362</v>
      </c>
      <c r="B27" s="287" t="s">
        <v>2363</v>
      </c>
      <c r="C27" s="288">
        <f ca="1">C28</f>
        <v>1582</v>
      </c>
      <c r="D27" s="278">
        <f ca="1">C29</f>
        <v>4.0000000000000001E-3</v>
      </c>
      <c r="E27" s="279" t="s">
        <v>2364</v>
      </c>
      <c r="F27" s="289">
        <f ca="1">IF(B1="",'数据-取费表'!Q16,INDIRECT("'数据-取费表'!q"&amp;$G$1))</f>
        <v>0.2</v>
      </c>
      <c r="G27" s="290" t="s">
        <v>2365</v>
      </c>
    </row>
    <row r="28" spans="1:7" s="257" customFormat="1" ht="13.5" customHeight="1">
      <c r="A28" s="953" t="s">
        <v>791</v>
      </c>
      <c r="B28" s="291" t="s">
        <v>2366</v>
      </c>
      <c r="C28" s="292">
        <f ca="1">ROUND((C5+C19+C20)*F27*'数据-取费表'!B21/'数据-取费表'!B20,0)</f>
        <v>1582</v>
      </c>
      <c r="D28" s="278"/>
      <c r="E28" s="279"/>
      <c r="F28" s="289"/>
      <c r="G28" s="290"/>
    </row>
    <row r="29" spans="1:7" s="257" customFormat="1" ht="13.5" customHeight="1">
      <c r="A29" s="953" t="s">
        <v>792</v>
      </c>
      <c r="B29" s="291" t="s">
        <v>2367</v>
      </c>
      <c r="C29" s="281">
        <f ca="1">ROUND(C21*F27*'数据-取费表'!B21/'数据-取费表'!B20,4)</f>
        <v>4.0000000000000001E-3</v>
      </c>
      <c r="D29" s="278"/>
      <c r="E29" s="279"/>
      <c r="F29" s="289"/>
      <c r="G29" s="290"/>
    </row>
    <row r="30" spans="1:7" s="257" customFormat="1" ht="13.5" customHeight="1">
      <c r="A30" s="298" t="s">
        <v>2368</v>
      </c>
      <c r="B30" s="253" t="s">
        <v>2369</v>
      </c>
      <c r="C30" s="278">
        <f>ROUND(F30/(1+'数据-取费表'!C42),4)</f>
        <v>5.2400000000000002E-2</v>
      </c>
      <c r="D30" s="279" t="s">
        <v>2364</v>
      </c>
      <c r="E30" s="284"/>
      <c r="F30" s="280">
        <f>'数据-取费表'!B41</f>
        <v>5.5000000000000007E-2</v>
      </c>
      <c r="G30" s="277" t="s">
        <v>2370</v>
      </c>
    </row>
    <row r="31" spans="1:7" ht="16.5" customHeight="1">
      <c r="A31" s="252">
        <v>1</v>
      </c>
      <c r="B31" s="253" t="s">
        <v>2371</v>
      </c>
      <c r="C31" s="254">
        <f ca="1">ROUND((C5+C19+C20+C22+C27)/(1-C21-D22-D27-C30),0)</f>
        <v>10894</v>
      </c>
      <c r="D31" s="273"/>
      <c r="E31" s="254"/>
      <c r="F31" s="293"/>
      <c r="G31" s="277" t="s">
        <v>2372</v>
      </c>
    </row>
    <row r="32" spans="1:7" s="251" customFormat="1" ht="15.75">
      <c r="A32" s="295" t="s">
        <v>2373</v>
      </c>
      <c r="B32" s="296"/>
      <c r="C32" s="296"/>
      <c r="D32" s="296"/>
      <c r="E32" s="296"/>
      <c r="F32" s="296"/>
      <c r="G32" s="297"/>
    </row>
    <row r="33" spans="1:7" s="257" customFormat="1" ht="13.5" customHeight="1">
      <c r="A33" s="298" t="s">
        <v>782</v>
      </c>
      <c r="B33" s="253" t="s">
        <v>2374</v>
      </c>
      <c r="C33" s="299">
        <f ca="1">SUM(C34:C38)</f>
        <v>18458</v>
      </c>
      <c r="D33" s="275"/>
      <c r="E33" s="255"/>
      <c r="F33" s="284"/>
      <c r="G33" s="277"/>
    </row>
    <row r="34" spans="1:7" s="301" customFormat="1" ht="13.5" customHeight="1">
      <c r="A34" s="953" t="s">
        <v>791</v>
      </c>
      <c r="B34" s="258" t="s">
        <v>2375</v>
      </c>
      <c r="C34" s="263">
        <f ca="1">IF(B1="",IF(F34=100%,'数据-取费表'!M16,'数据-取费表'!O16),IF(F34=100%,INDIRECT("'数据-取费表'!m"&amp;$G$1)+INDIRECT("'数据-取费表'!t"&amp;$G$1),INDIRECT("'数据-取费表'!o"&amp;$G$1)+INDIRECT("'数据-取费表'!aq"&amp;$G$1)))</f>
        <v>16748</v>
      </c>
      <c r="D34" s="260"/>
      <c r="E34" s="263"/>
      <c r="F34" s="300">
        <f ca="1">IF('数据-取费表'!B24=0,1,IF(B1="",'数据-取费表'!N16,INDIRECT("'数据-取费表'!n"&amp;$G$1)))</f>
        <v>1</v>
      </c>
      <c r="G34" s="262" t="s">
        <v>2376</v>
      </c>
    </row>
    <row r="35" spans="1:7" ht="13.5" customHeight="1">
      <c r="A35" s="953" t="s">
        <v>796</v>
      </c>
      <c r="B35" s="258" t="s">
        <v>2377</v>
      </c>
      <c r="C35" s="263">
        <f ca="1">ROUND(C34*F35,0)</f>
        <v>502</v>
      </c>
      <c r="D35" s="263"/>
      <c r="E35" s="263"/>
      <c r="F35" s="302">
        <f>'数据-取费表'!B33</f>
        <v>0.03</v>
      </c>
      <c r="G35" s="262" t="s">
        <v>2378</v>
      </c>
    </row>
    <row r="36" spans="1:7" ht="24">
      <c r="A36" s="953" t="s">
        <v>797</v>
      </c>
      <c r="B36" s="258" t="s">
        <v>2379</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2380</v>
      </c>
    </row>
    <row r="37" spans="1:7" s="301" customFormat="1" ht="13.5" customHeight="1">
      <c r="A37" s="953" t="s">
        <v>798</v>
      </c>
      <c r="B37" s="258" t="s">
        <v>2381</v>
      </c>
      <c r="C37" s="292">
        <f ca="1">ROUND(E37*D37*F34/10000,0)</f>
        <v>957</v>
      </c>
      <c r="D37" s="260">
        <f ca="1">D19</f>
        <v>47850.3</v>
      </c>
      <c r="E37" s="292">
        <f>'数据-取费表'!B35</f>
        <v>200</v>
      </c>
      <c r="F37" s="302"/>
      <c r="G37" s="304" t="s">
        <v>2382</v>
      </c>
    </row>
    <row r="38" spans="1:7" ht="13.5" customHeight="1">
      <c r="A38" s="953" t="s">
        <v>799</v>
      </c>
      <c r="B38" s="258" t="s">
        <v>2383</v>
      </c>
      <c r="C38" s="263">
        <f ca="1">ROUND(C34*F38,0)</f>
        <v>251</v>
      </c>
      <c r="D38" s="263"/>
      <c r="E38" s="263"/>
      <c r="F38" s="302">
        <f>'数据-取费表'!B36</f>
        <v>1.4999999999999999E-2</v>
      </c>
      <c r="G38" s="262" t="s">
        <v>2378</v>
      </c>
    </row>
    <row r="39" spans="1:7" s="257" customFormat="1" ht="13.5" customHeight="1">
      <c r="A39" s="298" t="s">
        <v>2384</v>
      </c>
      <c r="B39" s="253" t="s">
        <v>2385</v>
      </c>
      <c r="C39" s="275">
        <f ca="1">ROUND(C33*F20,0)</f>
        <v>369</v>
      </c>
      <c r="D39" s="275"/>
      <c r="E39" s="275"/>
      <c r="F39" s="276"/>
      <c r="G39" s="277" t="s">
        <v>2386</v>
      </c>
    </row>
    <row r="40" spans="1:7" s="257" customFormat="1" ht="13.5" customHeight="1">
      <c r="A40" s="298" t="s">
        <v>2387</v>
      </c>
      <c r="B40" s="253" t="s">
        <v>2388</v>
      </c>
      <c r="C40" s="1730">
        <f>F21</f>
        <v>0.02</v>
      </c>
      <c r="D40" s="279" t="s">
        <v>2389</v>
      </c>
      <c r="E40" s="275"/>
      <c r="F40" s="276"/>
      <c r="G40" s="277" t="s">
        <v>2390</v>
      </c>
    </row>
    <row r="41" spans="1:7" s="257" customFormat="1" ht="13.5" customHeight="1">
      <c r="A41" s="298" t="s">
        <v>2391</v>
      </c>
      <c r="B41" s="253" t="s">
        <v>2392</v>
      </c>
      <c r="C41" s="275">
        <f ca="1">ROUND(SUM(C42:C43),0)</f>
        <v>667</v>
      </c>
      <c r="D41" s="278">
        <f ca="1">C44</f>
        <v>6.9999999999999999E-4</v>
      </c>
      <c r="E41" s="279" t="s">
        <v>2389</v>
      </c>
      <c r="F41" s="280"/>
      <c r="G41" s="277" t="str">
        <f>IF('数据-取费表'!B22&lt;=1,"单利计息","复利计息")</f>
        <v>复利计息</v>
      </c>
    </row>
    <row r="42" spans="1:7" ht="13.5" customHeight="1">
      <c r="A42" s="953" t="s">
        <v>791</v>
      </c>
      <c r="B42" s="258" t="s">
        <v>2393</v>
      </c>
      <c r="C42" s="281">
        <f ca="1">ROUND(IF('数据-取费表'!B22&lt;=1,C33*F22*'数据-取费表'!B21/2,C33*(POWER((1+F22),'数据-取费表'!B21/2)-1)),0)</f>
        <v>654</v>
      </c>
      <c r="D42" s="281"/>
      <c r="E42" s="281"/>
      <c r="F42" s="282"/>
      <c r="G42" s="3272" t="s">
        <v>2394</v>
      </c>
    </row>
    <row r="43" spans="1:7" ht="13.5" customHeight="1">
      <c r="A43" s="953" t="s">
        <v>792</v>
      </c>
      <c r="B43" s="258" t="s">
        <v>2395</v>
      </c>
      <c r="C43" s="281">
        <f ca="1">ROUND(IF('数据-取费表'!B22&lt;=1,C39*F22*'数据-取费表'!B21/2,C39*(POWER((1+F22),'数据-取费表'!B21/2)-1)),0)</f>
        <v>13</v>
      </c>
      <c r="D43" s="281"/>
      <c r="E43" s="281"/>
      <c r="F43" s="282"/>
      <c r="G43" s="3273"/>
    </row>
    <row r="44" spans="1:7" ht="13.5" customHeight="1">
      <c r="A44" s="953" t="s">
        <v>793</v>
      </c>
      <c r="B44" s="258" t="s">
        <v>2396</v>
      </c>
      <c r="C44" s="281">
        <f ca="1">ROUND(IF('数据-取费表'!B22&lt;=1,C40*F22*'数据-取费表'!B21/2,C40*(POWER((1+F22),'数据-取费表'!B21/2)-1)),4)</f>
        <v>6.9999999999999999E-4</v>
      </c>
      <c r="D44" s="281"/>
      <c r="E44" s="281"/>
      <c r="F44" s="282"/>
      <c r="G44" s="3274"/>
    </row>
    <row r="45" spans="1:7" s="257" customFormat="1" ht="13.5" customHeight="1">
      <c r="A45" s="298" t="s">
        <v>2397</v>
      </c>
      <c r="B45" s="287" t="s">
        <v>2363</v>
      </c>
      <c r="C45" s="288">
        <f ca="1">C46</f>
        <v>3765</v>
      </c>
      <c r="D45" s="278">
        <f ca="1">C47</f>
        <v>4.0000000000000001E-3</v>
      </c>
      <c r="E45" s="279" t="s">
        <v>2389</v>
      </c>
      <c r="F45" s="289"/>
      <c r="G45" s="290" t="s">
        <v>2398</v>
      </c>
    </row>
    <row r="46" spans="1:7" s="257" customFormat="1" ht="13.5" customHeight="1">
      <c r="A46" s="953" t="s">
        <v>791</v>
      </c>
      <c r="B46" s="291" t="s">
        <v>2399</v>
      </c>
      <c r="C46" s="292">
        <f ca="1">ROUND((C33+C39)*F27,0)</f>
        <v>3765</v>
      </c>
      <c r="D46" s="306"/>
      <c r="E46" s="279"/>
      <c r="F46" s="289"/>
      <c r="G46" s="290"/>
    </row>
    <row r="47" spans="1:7" s="257" customFormat="1" ht="13.5" customHeight="1">
      <c r="A47" s="953" t="s">
        <v>792</v>
      </c>
      <c r="B47" s="291" t="s">
        <v>2400</v>
      </c>
      <c r="C47" s="281">
        <f ca="1">ROUND(C40*F27,4)</f>
        <v>4.0000000000000001E-3</v>
      </c>
      <c r="D47" s="306"/>
      <c r="E47" s="279"/>
      <c r="F47" s="289"/>
      <c r="G47" s="290"/>
    </row>
    <row r="48" spans="1:7" s="257" customFormat="1" ht="13.5" customHeight="1">
      <c r="A48" s="298" t="s">
        <v>2362</v>
      </c>
      <c r="B48" s="253" t="s">
        <v>2401</v>
      </c>
      <c r="C48" s="1730">
        <f>ROUND(F30/(1+'数据-取费表'!C42),4)</f>
        <v>5.2400000000000002E-2</v>
      </c>
      <c r="D48" s="279" t="s">
        <v>2389</v>
      </c>
      <c r="E48" s="275"/>
      <c r="F48" s="280"/>
      <c r="G48" s="277" t="s">
        <v>2402</v>
      </c>
    </row>
    <row r="49" spans="1:7" ht="16.5" customHeight="1">
      <c r="A49" s="298" t="s">
        <v>2368</v>
      </c>
      <c r="B49" s="253" t="s">
        <v>2403</v>
      </c>
      <c r="C49" s="275">
        <f ca="1">ROUND((C33+C39+C41+C45)/(1-C40-D41-D45-C48),0)</f>
        <v>25202</v>
      </c>
      <c r="D49" s="275"/>
      <c r="E49" s="275"/>
      <c r="F49" s="307"/>
      <c r="G49" s="277" t="s">
        <v>2404</v>
      </c>
    </row>
    <row r="50" spans="1:7" s="301" customFormat="1" ht="24">
      <c r="A50" s="298" t="s">
        <v>2405</v>
      </c>
      <c r="B50" s="253" t="s">
        <v>2406</v>
      </c>
      <c r="C50" s="275"/>
      <c r="D50" s="275"/>
      <c r="E50" s="275"/>
      <c r="F50" s="307">
        <f>IF('数据-取费表'!B24=0,'数据-取费表'!N16,1)</f>
        <v>0.88</v>
      </c>
      <c r="G50" s="290" t="s">
        <v>2407</v>
      </c>
    </row>
    <row r="51" spans="1:7" ht="16.5" customHeight="1">
      <c r="A51" s="298" t="s">
        <v>2408</v>
      </c>
      <c r="B51" s="253" t="s">
        <v>2409</v>
      </c>
      <c r="C51" s="275">
        <f ca="1">ROUND(C49*F50,0)</f>
        <v>22178</v>
      </c>
      <c r="D51" s="275"/>
      <c r="E51" s="275"/>
      <c r="F51" s="307"/>
      <c r="G51" s="277" t="s">
        <v>2410</v>
      </c>
    </row>
    <row r="52" spans="1:7" s="251" customFormat="1" ht="16.5" thickBot="1">
      <c r="A52" s="308" t="s">
        <v>2411</v>
      </c>
      <c r="B52" s="309"/>
      <c r="C52" s="310">
        <f ca="1">C31+C51</f>
        <v>33072</v>
      </c>
      <c r="D52" s="309"/>
      <c r="E52" s="309"/>
      <c r="F52" s="309"/>
      <c r="G52" s="311"/>
    </row>
    <row r="55" spans="1:7" ht="15">
      <c r="B55" s="313" t="s">
        <v>2412</v>
      </c>
      <c r="C55" s="314"/>
    </row>
    <row r="56" spans="1:7">
      <c r="B56" s="316" t="s">
        <v>1513</v>
      </c>
      <c r="C56" s="318">
        <f ca="1">1-C57</f>
        <v>0.32899999999999996</v>
      </c>
    </row>
    <row r="57" spans="1:7">
      <c r="B57" s="316" t="s">
        <v>1514</v>
      </c>
      <c r="C57" s="317">
        <f ca="1">ROUND(C51/C52,3)</f>
        <v>0.67100000000000004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2311</v>
      </c>
      <c r="B1" s="1939"/>
      <c r="C1" s="2554" t="s">
        <v>2413</v>
      </c>
      <c r="D1" s="241"/>
      <c r="E1" s="241"/>
      <c r="F1" s="241"/>
      <c r="G1" s="1381">
        <f>MATCH(B1,'数据-取费表'!A6:A16,0)+5</f>
        <v>7</v>
      </c>
      <c r="H1" s="1284" t="str">
        <f>IF(ISERROR(FIND("住宅",B1)),"非住宅","住宅")</f>
        <v>非住宅</v>
      </c>
    </row>
    <row r="2" spans="1:8" s="243" customFormat="1" ht="18" customHeight="1">
      <c r="A2" s="244" t="s">
        <v>2312</v>
      </c>
      <c r="B2" s="245">
        <f ca="1">ROUND(IF(D2="——",C52/10000,C52/10000-E2),0)</f>
        <v>24868</v>
      </c>
      <c r="C2" s="242" t="s">
        <v>2313</v>
      </c>
      <c r="D2" s="2548" t="s">
        <v>70</v>
      </c>
      <c r="E2" s="1442" t="e">
        <f ca="1">SUMIF(INDIRECT("'"&amp;G2&amp;"'"&amp;"!A:A"),"承租人权益价值",INDIRECT("'"&amp;G2&amp;"'"&amp;"!c:c"))</f>
        <v>#REF!</v>
      </c>
      <c r="F2" s="2549" t="s">
        <v>2313</v>
      </c>
      <c r="G2" s="2550"/>
    </row>
    <row r="3" spans="1:8" s="243" customFormat="1" ht="18" customHeight="1" thickBot="1">
      <c r="A3" s="246" t="s">
        <v>2314</v>
      </c>
      <c r="B3" s="247">
        <f ca="1">ROUND(B2*10000/(IF(B1="",'数据-汇总表'!E3,INDIRECT("'数据-取费表'!k"&amp;$G$1))),0)</f>
        <v>5197</v>
      </c>
      <c r="C3" s="242" t="s">
        <v>2315</v>
      </c>
      <c r="D3" s="242"/>
      <c r="E3" s="242"/>
      <c r="F3" s="242"/>
      <c r="G3" s="242"/>
    </row>
    <row r="4" spans="1:8" s="251" customFormat="1" ht="15.75">
      <c r="A4" s="248" t="s">
        <v>2316</v>
      </c>
      <c r="B4" s="249"/>
      <c r="C4" s="249"/>
      <c r="D4" s="249"/>
      <c r="E4" s="249"/>
      <c r="F4" s="249"/>
      <c r="G4" s="250"/>
    </row>
    <row r="5" spans="1:8" s="257" customFormat="1" ht="13.5" customHeight="1">
      <c r="A5" s="298" t="s">
        <v>2317</v>
      </c>
      <c r="B5" s="253" t="s">
        <v>2318</v>
      </c>
      <c r="C5" s="254">
        <f ca="1">C6+C7+C8</f>
        <v>9570060</v>
      </c>
      <c r="D5" s="254" t="s">
        <v>2319</v>
      </c>
      <c r="E5" s="255" t="s">
        <v>2320</v>
      </c>
      <c r="F5" s="255" t="s">
        <v>2321</v>
      </c>
      <c r="G5" s="256"/>
    </row>
    <row r="6" spans="1:8" s="257" customFormat="1" ht="13.5" customHeight="1">
      <c r="A6" s="951" t="s">
        <v>2322</v>
      </c>
      <c r="B6" s="258" t="s">
        <v>2323</v>
      </c>
      <c r="C6" s="259"/>
      <c r="D6" s="260"/>
      <c r="E6" s="261"/>
      <c r="F6" s="261"/>
      <c r="G6" s="262"/>
    </row>
    <row r="7" spans="1:8" s="257" customFormat="1" ht="13.5" customHeight="1">
      <c r="A7" s="951" t="s">
        <v>2324</v>
      </c>
      <c r="B7" s="258" t="s">
        <v>2325</v>
      </c>
      <c r="C7" s="263">
        <f>ROUND(C6*F7,0)</f>
        <v>0</v>
      </c>
      <c r="D7" s="263"/>
      <c r="E7" s="261"/>
      <c r="F7" s="264">
        <f>'数据-取费表'!B48+'数据-取费表'!B49</f>
        <v>3.0499999999999999E-2</v>
      </c>
      <c r="G7" s="262"/>
    </row>
    <row r="8" spans="1:8" s="266" customFormat="1">
      <c r="A8" s="951" t="s">
        <v>2326</v>
      </c>
      <c r="B8" s="258" t="s">
        <v>2327</v>
      </c>
      <c r="C8" s="263">
        <f ca="1">IF(G8="已包含在土地购买价格中",0,C9+C10)</f>
        <v>9570060</v>
      </c>
      <c r="D8" s="265"/>
      <c r="E8" s="263"/>
      <c r="F8" s="264"/>
      <c r="G8" s="2551"/>
    </row>
    <row r="9" spans="1:8" s="257" customFormat="1" ht="13.5" customHeight="1">
      <c r="A9" s="952" t="s">
        <v>800</v>
      </c>
      <c r="B9" s="267" t="s">
        <v>2328</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2330</v>
      </c>
      <c r="C10" s="268">
        <f ca="1">ROUND(D10*E10,0)</f>
        <v>9570060</v>
      </c>
      <c r="D10" s="1034">
        <f ca="1">IF(B1="",'数据-汇总表'!E6,IF(INDIRECT("'数据-取费表'!c"&amp;$G$1)="住宅",INDIRECT("'数据-取费表'!s"&amp;$G$1),INDIRECT("'数据-取费表'!k"&amp;$G$1)+INDIRECT("'数据-取费表'!s"&amp;$G$1)))</f>
        <v>47850.3</v>
      </c>
      <c r="E10" s="268">
        <f>'数据-取费表'!B28</f>
        <v>200</v>
      </c>
      <c r="F10" s="264"/>
      <c r="G10" s="269"/>
    </row>
    <row r="11" spans="1:8" s="257" customFormat="1" ht="13.5" hidden="1" customHeight="1">
      <c r="A11" s="270" t="s">
        <v>7</v>
      </c>
      <c r="B11" s="258" t="s">
        <v>2331</v>
      </c>
      <c r="C11" s="254"/>
      <c r="D11" s="1036"/>
      <c r="E11" s="261"/>
      <c r="F11" s="261"/>
      <c r="G11" s="262"/>
    </row>
    <row r="12" spans="1:8" s="257" customFormat="1" ht="13.5" hidden="1" customHeight="1">
      <c r="A12" s="270" t="s">
        <v>8</v>
      </c>
      <c r="B12" s="258" t="s">
        <v>2414</v>
      </c>
      <c r="C12" s="254">
        <v>0</v>
      </c>
      <c r="D12" s="1036"/>
      <c r="E12" s="271"/>
      <c r="F12" s="264">
        <v>3.0499999999999999E-2</v>
      </c>
      <c r="G12" s="262"/>
    </row>
    <row r="13" spans="1:8" s="257" customFormat="1" ht="13.5" hidden="1" customHeight="1">
      <c r="A13" s="270" t="s">
        <v>9</v>
      </c>
      <c r="B13" s="258" t="s">
        <v>2415</v>
      </c>
      <c r="C13" s="254"/>
      <c r="D13" s="1036"/>
      <c r="E13" s="261"/>
      <c r="F13" s="261"/>
      <c r="G13" s="262"/>
    </row>
    <row r="14" spans="1:8" s="257" customFormat="1" ht="13.5" hidden="1" customHeight="1">
      <c r="A14" s="270" t="s">
        <v>10</v>
      </c>
      <c r="B14" s="258" t="s">
        <v>2327</v>
      </c>
      <c r="C14" s="254"/>
      <c r="D14" s="1036"/>
      <c r="E14" s="261"/>
      <c r="F14" s="261"/>
      <c r="G14" s="262" t="s">
        <v>2416</v>
      </c>
    </row>
    <row r="15" spans="1:8" s="257" customFormat="1" ht="13.5" hidden="1" customHeight="1">
      <c r="A15" s="270" t="s">
        <v>11</v>
      </c>
      <c r="B15" s="258" t="s">
        <v>2417</v>
      </c>
      <c r="C15" s="263"/>
      <c r="D15" s="1036"/>
      <c r="E15" s="261"/>
      <c r="F15" s="261"/>
      <c r="G15" s="262" t="s">
        <v>2418</v>
      </c>
    </row>
    <row r="16" spans="1:8" s="257" customFormat="1" ht="13.5" hidden="1" customHeight="1">
      <c r="A16" s="270" t="s">
        <v>12</v>
      </c>
      <c r="B16" s="258" t="s">
        <v>2327</v>
      </c>
      <c r="C16" s="263"/>
      <c r="D16" s="1036"/>
      <c r="E16" s="261"/>
      <c r="F16" s="261"/>
      <c r="G16" s="262"/>
    </row>
    <row r="17" spans="1:7" s="257" customFormat="1" ht="13.5" hidden="1" customHeight="1">
      <c r="A17" s="270" t="s">
        <v>13</v>
      </c>
      <c r="B17" s="258" t="s">
        <v>2419</v>
      </c>
      <c r="C17" s="272"/>
      <c r="D17" s="1037"/>
      <c r="E17" s="272"/>
      <c r="F17" s="272"/>
      <c r="G17" s="262" t="s">
        <v>2418</v>
      </c>
    </row>
    <row r="18" spans="1:7" s="257" customFormat="1" ht="13.5" hidden="1" customHeight="1">
      <c r="A18" s="270" t="s">
        <v>14</v>
      </c>
      <c r="B18" s="258" t="s">
        <v>2420</v>
      </c>
      <c r="C18" s="263">
        <v>0</v>
      </c>
      <c r="D18" s="1036"/>
      <c r="E18" s="261"/>
      <c r="F18" s="264">
        <v>3.0499999999999999E-2</v>
      </c>
      <c r="G18" s="262" t="s">
        <v>2421</v>
      </c>
    </row>
    <row r="19" spans="1:7" s="266" customFormat="1" ht="13.5" customHeight="1">
      <c r="A19" s="298" t="s">
        <v>2422</v>
      </c>
      <c r="B19" s="253" t="s">
        <v>2423</v>
      </c>
      <c r="C19" s="254">
        <f ca="1">IF(G19="已包含在土地取得成本中","0",ROUND(D19*E19,0))</f>
        <v>9570060</v>
      </c>
      <c r="D19" s="1038">
        <f ca="1">D9+D10</f>
        <v>47850.3</v>
      </c>
      <c r="E19" s="254">
        <f>'数据-取费表'!B31</f>
        <v>200</v>
      </c>
      <c r="F19" s="274"/>
      <c r="G19" s="2551"/>
    </row>
    <row r="20" spans="1:7" s="257" customFormat="1" ht="13.5" customHeight="1">
      <c r="A20" s="298" t="s">
        <v>2424</v>
      </c>
      <c r="B20" s="253" t="s">
        <v>2425</v>
      </c>
      <c r="C20" s="275">
        <f ca="1">ROUND((C5+C19)*F20,0)</f>
        <v>382802</v>
      </c>
      <c r="D20" s="275"/>
      <c r="E20" s="275"/>
      <c r="F20" s="276">
        <f>'数据-取费表'!B37</f>
        <v>0.02</v>
      </c>
      <c r="G20" s="277" t="s">
        <v>2426</v>
      </c>
    </row>
    <row r="21" spans="1:7" s="257" customFormat="1" ht="13.5" customHeight="1">
      <c r="A21" s="298" t="s">
        <v>2427</v>
      </c>
      <c r="B21" s="253" t="s">
        <v>2428</v>
      </c>
      <c r="C21" s="278">
        <f>F21</f>
        <v>0.02</v>
      </c>
      <c r="D21" s="279" t="s">
        <v>2429</v>
      </c>
      <c r="E21" s="275"/>
      <c r="F21" s="276">
        <f>'数据-取费表'!B38</f>
        <v>0.02</v>
      </c>
      <c r="G21" s="277" t="s">
        <v>2430</v>
      </c>
    </row>
    <row r="22" spans="1:7" s="257" customFormat="1" ht="13.5" customHeight="1">
      <c r="A22" s="298" t="s">
        <v>2431</v>
      </c>
      <c r="B22" s="253" t="s">
        <v>2432</v>
      </c>
      <c r="C22" s="1382">
        <f ca="1">ROUND(SUM(C23:C25),0)</f>
        <v>1393360</v>
      </c>
      <c r="D22" s="278">
        <f ca="1">C26</f>
        <v>6.9999999999999999E-4</v>
      </c>
      <c r="E22" s="279" t="s">
        <v>2429</v>
      </c>
      <c r="F22" s="280">
        <f ca="1">'数据-取费表'!B40</f>
        <v>4.7500000000000001E-2</v>
      </c>
      <c r="G22" s="277" t="str">
        <f>IF('数据-取费表'!B22&lt;=1,"单利计息","复利计息")</f>
        <v>复利计息</v>
      </c>
    </row>
    <row r="23" spans="1:7" s="257" customFormat="1" ht="13.5" customHeight="1">
      <c r="A23" s="953" t="s">
        <v>2322</v>
      </c>
      <c r="B23" s="258" t="s">
        <v>2433</v>
      </c>
      <c r="C23" s="1383">
        <f ca="1">ROUND(IF('数据-取费表'!B22&lt;=1,C5*F22*'数据-取费表'!B22,C5*(POWER((1+F22),'数据-取费表'!B22)-1)),0)</f>
        <v>689901</v>
      </c>
      <c r="D23" s="281"/>
      <c r="E23" s="281"/>
      <c r="F23" s="282"/>
      <c r="G23" s="283" t="s">
        <v>2434</v>
      </c>
    </row>
    <row r="24" spans="1:7" s="257" customFormat="1" ht="13.5" customHeight="1">
      <c r="A24" s="953" t="s">
        <v>2324</v>
      </c>
      <c r="B24" s="258" t="s">
        <v>2435</v>
      </c>
      <c r="C24" s="1383">
        <f ca="1">ROUND(IF('数据-取费表'!B22&lt;=1,C19*F22*('数据-取费表'!B19/2+'数据-取费表'!B20),C19*(POWER((1+F22),('数据-取费表'!B19/2+'数据-取费表'!B20))-1)),0)</f>
        <v>689901</v>
      </c>
      <c r="D24" s="281"/>
      <c r="E24" s="281"/>
      <c r="F24" s="282"/>
      <c r="G24" s="283" t="s">
        <v>2436</v>
      </c>
    </row>
    <row r="25" spans="1:7" s="257" customFormat="1" ht="24">
      <c r="A25" s="953" t="s">
        <v>2326</v>
      </c>
      <c r="B25" s="258" t="s">
        <v>2437</v>
      </c>
      <c r="C25" s="1383">
        <f ca="1">ROUND(IF('数据-取费表'!B22&lt;=1,C20*F22*'数据-取费表'!B22/2,C20*(POWER((1+F22),'数据-取费表'!B22/2)-1)),0)</f>
        <v>13558</v>
      </c>
      <c r="D25" s="281"/>
      <c r="E25" s="284"/>
      <c r="F25" s="282"/>
      <c r="G25" s="285" t="s">
        <v>2438</v>
      </c>
    </row>
    <row r="26" spans="1:7" s="257" customFormat="1">
      <c r="A26" s="953" t="s">
        <v>795</v>
      </c>
      <c r="B26" s="258" t="s">
        <v>2361</v>
      </c>
      <c r="C26" s="281">
        <f ca="1">ROUND(IF('数据-取费表'!B22&lt;=1,F21*F22*'数据-取费表'!B22/2,F21*(POWER((1+F22),'数据-取费表'!B22/2)-1)),4)</f>
        <v>6.9999999999999999E-4</v>
      </c>
      <c r="D26" s="281"/>
      <c r="E26" s="284"/>
      <c r="F26" s="282"/>
      <c r="G26" s="286"/>
    </row>
    <row r="27" spans="1:7" s="257" customFormat="1" ht="24.75">
      <c r="A27" s="298" t="s">
        <v>2362</v>
      </c>
      <c r="B27" s="287" t="s">
        <v>2363</v>
      </c>
      <c r="C27" s="288">
        <f ca="1">C28</f>
        <v>3904584</v>
      </c>
      <c r="D27" s="278">
        <f ca="1">C29</f>
        <v>4.0000000000000001E-3</v>
      </c>
      <c r="E27" s="279" t="s">
        <v>2364</v>
      </c>
      <c r="F27" s="289">
        <f ca="1">IF(B1="",'数据-取费表'!Q16,INDIRECT("'数据-取费表'!q"&amp;$G$1))</f>
        <v>0.2</v>
      </c>
      <c r="G27" s="290" t="s">
        <v>2365</v>
      </c>
    </row>
    <row r="28" spans="1:7" s="257" customFormat="1" ht="13.5" customHeight="1">
      <c r="A28" s="953" t="s">
        <v>791</v>
      </c>
      <c r="B28" s="291" t="s">
        <v>2366</v>
      </c>
      <c r="C28" s="292">
        <f ca="1">ROUND((C5+C19+C20)*F27,0)</f>
        <v>3904584</v>
      </c>
      <c r="D28" s="278"/>
      <c r="E28" s="279"/>
      <c r="F28" s="289"/>
      <c r="G28" s="290"/>
    </row>
    <row r="29" spans="1:7" s="257" customFormat="1" ht="13.5" customHeight="1">
      <c r="A29" s="953" t="s">
        <v>792</v>
      </c>
      <c r="B29" s="291" t="s">
        <v>2367</v>
      </c>
      <c r="C29" s="281">
        <f ca="1">ROUND(C21*F27,4)</f>
        <v>4.0000000000000001E-3</v>
      </c>
      <c r="D29" s="278"/>
      <c r="E29" s="279"/>
      <c r="F29" s="289"/>
      <c r="G29" s="290"/>
    </row>
    <row r="30" spans="1:7" s="257" customFormat="1" ht="13.5" customHeight="1">
      <c r="A30" s="298" t="s">
        <v>2368</v>
      </c>
      <c r="B30" s="253" t="s">
        <v>2369</v>
      </c>
      <c r="C30" s="278">
        <f>ROUND(F30/(1+'数据-取费表'!C42),4)</f>
        <v>5.2400000000000002E-2</v>
      </c>
      <c r="D30" s="279" t="s">
        <v>2364</v>
      </c>
      <c r="E30" s="284"/>
      <c r="F30" s="280">
        <f>'数据-取费表'!B41</f>
        <v>5.5000000000000007E-2</v>
      </c>
      <c r="G30" s="277" t="s">
        <v>2370</v>
      </c>
    </row>
    <row r="31" spans="1:7" ht="16.5" customHeight="1">
      <c r="A31" s="252">
        <v>1</v>
      </c>
      <c r="B31" s="253" t="s">
        <v>2371</v>
      </c>
      <c r="C31" s="254">
        <f ca="1">ROUND((C5+C19+C20+C22+C27)/(1-C21-D22-D27-C30),0)</f>
        <v>26894426</v>
      </c>
      <c r="D31" s="273"/>
      <c r="E31" s="254"/>
      <c r="F31" s="293"/>
      <c r="G31" s="277" t="s">
        <v>2372</v>
      </c>
    </row>
    <row r="32" spans="1:7" s="251" customFormat="1" ht="15.75">
      <c r="A32" s="295" t="s">
        <v>2439</v>
      </c>
      <c r="B32" s="296"/>
      <c r="C32" s="296"/>
      <c r="D32" s="296"/>
      <c r="E32" s="296"/>
      <c r="F32" s="296"/>
      <c r="G32" s="297"/>
    </row>
    <row r="33" spans="1:7" s="257" customFormat="1" ht="13.5" customHeight="1">
      <c r="A33" s="298" t="s">
        <v>782</v>
      </c>
      <c r="B33" s="253" t="s">
        <v>2440</v>
      </c>
      <c r="C33" s="299">
        <f ca="1">SUM(C34:C38)</f>
        <v>184582533</v>
      </c>
      <c r="D33" s="275"/>
      <c r="E33" s="255"/>
      <c r="F33" s="284"/>
      <c r="G33" s="277"/>
    </row>
    <row r="34" spans="1:7" s="301" customFormat="1" ht="13.5" customHeight="1">
      <c r="A34" s="953" t="s">
        <v>791</v>
      </c>
      <c r="B34" s="258" t="s">
        <v>2375</v>
      </c>
      <c r="C34" s="263">
        <f ca="1">ROUND(IF(B1="",SUMPRODUCT('数据-取费表'!K6:K14,'数据-取费表'!L6:L14),INDIRECT("'数据-取费表'!l"&amp;$G$1)*INDIRECT("'数据-取费表'!k"&amp;$G$1)+'数据-取费表'!L14*INDIRECT("'数据-取费表'!S"&amp;$G$1)),0)</f>
        <v>167476050</v>
      </c>
      <c r="D34" s="260"/>
      <c r="E34" s="263"/>
      <c r="F34" s="300"/>
      <c r="G34" s="262"/>
    </row>
    <row r="35" spans="1:7" ht="13.5" customHeight="1">
      <c r="A35" s="953" t="s">
        <v>796</v>
      </c>
      <c r="B35" s="258" t="s">
        <v>2377</v>
      </c>
      <c r="C35" s="263">
        <f ca="1">ROUND(C34*F35,0)</f>
        <v>5024282</v>
      </c>
      <c r="D35" s="263"/>
      <c r="E35" s="263"/>
      <c r="F35" s="302">
        <f>'数据-取费表'!B33</f>
        <v>0.03</v>
      </c>
      <c r="G35" s="262" t="s">
        <v>2378</v>
      </c>
    </row>
    <row r="36" spans="1:7" ht="24">
      <c r="A36" s="953" t="s">
        <v>797</v>
      </c>
      <c r="B36" s="258" t="s">
        <v>2379</v>
      </c>
      <c r="C36" s="263">
        <f ca="1">ROUND(IF(B1="",SUM('数据-取费表'!AP6:AP13)*F36,IF(INDIRECT("'数据-取费表'!c"&amp;$G$1)="住宅",INDIRECT("'数据-取费表'!k"&amp;$G$1)*INDIRECT("'数据-取费表'!l"&amp;$G$1)*F36,0)),0)</f>
        <v>0</v>
      </c>
      <c r="D36" s="263"/>
      <c r="E36" s="263"/>
      <c r="F36" s="302">
        <f>'数据-取费表'!B34</f>
        <v>0</v>
      </c>
      <c r="G36" s="303" t="s">
        <v>2380</v>
      </c>
    </row>
    <row r="37" spans="1:7" s="301" customFormat="1" ht="13.5" customHeight="1">
      <c r="A37" s="953" t="s">
        <v>798</v>
      </c>
      <c r="B37" s="258" t="s">
        <v>2381</v>
      </c>
      <c r="C37" s="292">
        <f ca="1">ROUND(E37*D37,0)</f>
        <v>9570060</v>
      </c>
      <c r="D37" s="260">
        <f ca="1">D19</f>
        <v>47850.3</v>
      </c>
      <c r="E37" s="292">
        <f>'数据-取费表'!B35</f>
        <v>200</v>
      </c>
      <c r="F37" s="302"/>
      <c r="G37" s="304"/>
    </row>
    <row r="38" spans="1:7" ht="13.5" customHeight="1">
      <c r="A38" s="953" t="s">
        <v>799</v>
      </c>
      <c r="B38" s="258" t="s">
        <v>2383</v>
      </c>
      <c r="C38" s="263">
        <f ca="1">ROUND(C34*F38,0)</f>
        <v>2512141</v>
      </c>
      <c r="D38" s="263"/>
      <c r="E38" s="263"/>
      <c r="F38" s="302">
        <f>'数据-取费表'!B36</f>
        <v>1.4999999999999999E-2</v>
      </c>
      <c r="G38" s="262" t="s">
        <v>2378</v>
      </c>
    </row>
    <row r="39" spans="1:7" s="257" customFormat="1" ht="13.5" customHeight="1">
      <c r="A39" s="298" t="s">
        <v>2384</v>
      </c>
      <c r="B39" s="253" t="s">
        <v>2385</v>
      </c>
      <c r="C39" s="275">
        <f ca="1">ROUND(C33*F20,0)</f>
        <v>3691651</v>
      </c>
      <c r="D39" s="275"/>
      <c r="E39" s="275"/>
      <c r="F39" s="276"/>
      <c r="G39" s="277" t="s">
        <v>2386</v>
      </c>
    </row>
    <row r="40" spans="1:7" s="257" customFormat="1" ht="13.5" customHeight="1">
      <c r="A40" s="298" t="s">
        <v>2387</v>
      </c>
      <c r="B40" s="253" t="s">
        <v>2388</v>
      </c>
      <c r="C40" s="1730">
        <f>F21</f>
        <v>0.02</v>
      </c>
      <c r="D40" s="279" t="s">
        <v>2389</v>
      </c>
      <c r="E40" s="275"/>
      <c r="F40" s="276"/>
      <c r="G40" s="277" t="s">
        <v>2390</v>
      </c>
    </row>
    <row r="41" spans="1:7" s="257" customFormat="1" ht="13.5" customHeight="1">
      <c r="A41" s="298" t="s">
        <v>2391</v>
      </c>
      <c r="B41" s="253" t="s">
        <v>2392</v>
      </c>
      <c r="C41" s="275">
        <f ca="1">ROUND(SUM(C42:C43),0)</f>
        <v>6668211</v>
      </c>
      <c r="D41" s="278">
        <f ca="1">C44</f>
        <v>6.9999999999999999E-4</v>
      </c>
      <c r="E41" s="279" t="s">
        <v>2389</v>
      </c>
      <c r="F41" s="280"/>
      <c r="G41" s="277" t="str">
        <f>IF('数据-取费表'!B22&lt;=1,"单利计息","复利计息")</f>
        <v>复利计息</v>
      </c>
    </row>
    <row r="42" spans="1:7" ht="13.5" customHeight="1">
      <c r="A42" s="953" t="s">
        <v>791</v>
      </c>
      <c r="B42" s="258" t="s">
        <v>2393</v>
      </c>
      <c r="C42" s="281">
        <f ca="1">ROUND(IF('数据-取费表'!B22&lt;=1,C33*F22*'数据-取费表'!B20/2,C33*(POWER((1+F22),'数据-取费表'!B20/2)-1)),0)</f>
        <v>6537462</v>
      </c>
      <c r="D42" s="281"/>
      <c r="E42" s="281"/>
      <c r="F42" s="282"/>
      <c r="G42" s="3272" t="s">
        <v>2441</v>
      </c>
    </row>
    <row r="43" spans="1:7" ht="13.5" customHeight="1">
      <c r="A43" s="953" t="s">
        <v>792</v>
      </c>
      <c r="B43" s="258" t="s">
        <v>2395</v>
      </c>
      <c r="C43" s="281">
        <f ca="1">ROUND(IF('数据-取费表'!B22&lt;=1,C39*F22*'数据-取费表'!B20/2,C39*(POWER((1+F22),'数据-取费表'!B20/2)-1)),0)</f>
        <v>130749</v>
      </c>
      <c r="D43" s="281"/>
      <c r="E43" s="281"/>
      <c r="F43" s="282"/>
      <c r="G43" s="3273"/>
    </row>
    <row r="44" spans="1:7" ht="13.5" customHeight="1">
      <c r="A44" s="953" t="s">
        <v>793</v>
      </c>
      <c r="B44" s="258" t="s">
        <v>2396</v>
      </c>
      <c r="C44" s="281">
        <f ca="1">ROUND(IF('数据-取费表'!B22&lt;=1,C40*F22*'数据-取费表'!B20/2,C40*(POWER((1+F22),'数据-取费表'!B20/2)-1)),4)</f>
        <v>6.9999999999999999E-4</v>
      </c>
      <c r="D44" s="281"/>
      <c r="E44" s="281"/>
      <c r="F44" s="282"/>
      <c r="G44" s="3274"/>
    </row>
    <row r="45" spans="1:7" s="257" customFormat="1" ht="13.5" customHeight="1">
      <c r="A45" s="298" t="s">
        <v>2397</v>
      </c>
      <c r="B45" s="287" t="s">
        <v>2363</v>
      </c>
      <c r="C45" s="288">
        <f ca="1">C46</f>
        <v>37654837</v>
      </c>
      <c r="D45" s="278">
        <f ca="1">C47</f>
        <v>4.0000000000000001E-3</v>
      </c>
      <c r="E45" s="279" t="s">
        <v>2389</v>
      </c>
      <c r="F45" s="289"/>
      <c r="G45" s="290" t="s">
        <v>2398</v>
      </c>
    </row>
    <row r="46" spans="1:7" s="257" customFormat="1" ht="13.5" customHeight="1">
      <c r="A46" s="953" t="s">
        <v>791</v>
      </c>
      <c r="B46" s="291" t="s">
        <v>2399</v>
      </c>
      <c r="C46" s="292">
        <f ca="1">ROUND((C33+C39)*F27,0)</f>
        <v>37654837</v>
      </c>
      <c r="D46" s="306"/>
      <c r="E46" s="279"/>
      <c r="F46" s="289"/>
      <c r="G46" s="290"/>
    </row>
    <row r="47" spans="1:7" s="257" customFormat="1" ht="13.5" customHeight="1">
      <c r="A47" s="953" t="s">
        <v>792</v>
      </c>
      <c r="B47" s="291" t="s">
        <v>2400</v>
      </c>
      <c r="C47" s="281">
        <f ca="1">ROUND(C40*F27,4)</f>
        <v>4.0000000000000001E-3</v>
      </c>
      <c r="D47" s="306"/>
      <c r="E47" s="279"/>
      <c r="F47" s="289"/>
      <c r="G47" s="290"/>
    </row>
    <row r="48" spans="1:7" s="257" customFormat="1" ht="13.5" customHeight="1">
      <c r="A48" s="298" t="s">
        <v>2362</v>
      </c>
      <c r="B48" s="253" t="s">
        <v>2401</v>
      </c>
      <c r="C48" s="305">
        <f>ROUND(F30/(1+'数据-取费表'!C42),4)</f>
        <v>5.2400000000000002E-2</v>
      </c>
      <c r="D48" s="279" t="s">
        <v>2389</v>
      </c>
      <c r="E48" s="275"/>
      <c r="F48" s="280"/>
      <c r="G48" s="277" t="s">
        <v>2402</v>
      </c>
    </row>
    <row r="49" spans="1:7" ht="16.5" customHeight="1">
      <c r="A49" s="298" t="s">
        <v>2368</v>
      </c>
      <c r="B49" s="253" t="s">
        <v>2442</v>
      </c>
      <c r="C49" s="275">
        <f ca="1">ROUND((C33+C39+C41+C45)/(1-C40-D41-D45-C48),0)</f>
        <v>252028640</v>
      </c>
      <c r="D49" s="275"/>
      <c r="E49" s="275"/>
      <c r="F49" s="307"/>
      <c r="G49" s="277" t="s">
        <v>2404</v>
      </c>
    </row>
    <row r="50" spans="1:7" s="301" customFormat="1">
      <c r="A50" s="298" t="s">
        <v>2405</v>
      </c>
      <c r="B50" s="253" t="s">
        <v>2406</v>
      </c>
      <c r="C50" s="275"/>
      <c r="D50" s="275"/>
      <c r="E50" s="275"/>
      <c r="F50" s="307">
        <f>IF('数据-取费表'!B24=0,'数据-取费表'!N16,1)</f>
        <v>0.88</v>
      </c>
      <c r="G50" s="290"/>
    </row>
    <row r="51" spans="1:7" ht="16.5" customHeight="1">
      <c r="A51" s="298" t="s">
        <v>2408</v>
      </c>
      <c r="B51" s="253" t="s">
        <v>2443</v>
      </c>
      <c r="C51" s="275">
        <f ca="1">ROUND(C49*F50,0)</f>
        <v>221785203</v>
      </c>
      <c r="D51" s="275"/>
      <c r="E51" s="275"/>
      <c r="F51" s="307"/>
      <c r="G51" s="277" t="s">
        <v>2410</v>
      </c>
    </row>
    <row r="52" spans="1:7" s="251" customFormat="1" ht="16.5" thickBot="1">
      <c r="A52" s="308" t="s">
        <v>2411</v>
      </c>
      <c r="B52" s="309"/>
      <c r="C52" s="310">
        <f ca="1">C31+C51</f>
        <v>248679629</v>
      </c>
      <c r="D52" s="309"/>
      <c r="E52" s="309"/>
      <c r="F52" s="309"/>
      <c r="G52" s="311"/>
    </row>
    <row r="55" spans="1:7" ht="15">
      <c r="B55" s="313" t="s">
        <v>2412</v>
      </c>
      <c r="C55" s="314"/>
    </row>
    <row r="56" spans="1:7">
      <c r="B56" s="316" t="s">
        <v>1513</v>
      </c>
      <c r="C56" s="318">
        <f ca="1">1-C57</f>
        <v>0.10799999999999998</v>
      </c>
    </row>
    <row r="57" spans="1:7">
      <c r="B57" s="316" t="s">
        <v>1514</v>
      </c>
      <c r="C57" s="317">
        <f ca="1">ROUND(C51/C52,3)</f>
        <v>0.89200000000000002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2444</v>
      </c>
      <c r="B1" s="1583"/>
      <c r="C1" s="1584"/>
      <c r="D1" s="1582"/>
      <c r="E1" s="319"/>
      <c r="F1" s="319"/>
      <c r="G1" s="1583"/>
      <c r="H1" s="319"/>
      <c r="I1" s="319"/>
      <c r="J1" s="319"/>
      <c r="K1" s="319">
        <f>MATCH(C1,'数据-取费表'!A6:A16,0)+5</f>
        <v>7</v>
      </c>
    </row>
    <row r="2" spans="1:33" ht="18" customHeight="1">
      <c r="A2" s="244" t="s">
        <v>2312</v>
      </c>
      <c r="B2" s="247">
        <f ca="1">C32</f>
        <v>-1138</v>
      </c>
      <c r="C2" s="319" t="s">
        <v>2445</v>
      </c>
      <c r="D2" s="319"/>
      <c r="E2" s="319"/>
      <c r="F2" s="319"/>
      <c r="G2" s="319"/>
      <c r="H2" s="319"/>
      <c r="I2" s="319"/>
      <c r="J2" s="319"/>
      <c r="K2" s="319"/>
    </row>
    <row r="3" spans="1:33" ht="18" customHeight="1" thickBot="1">
      <c r="A3" s="246" t="s">
        <v>2314</v>
      </c>
      <c r="B3" s="247">
        <f ca="1">ROUND(B2*10000/IF(C1="",'数据-汇总表'!E3,INDIRECT("'数据-取费表'!K"&amp;$K$1)),0)</f>
        <v>-238</v>
      </c>
      <c r="C3" s="319" t="s">
        <v>2446</v>
      </c>
      <c r="D3" s="319"/>
      <c r="E3" s="319"/>
      <c r="F3" s="319"/>
      <c r="G3" s="319"/>
      <c r="H3" s="319"/>
      <c r="I3" s="319"/>
      <c r="J3" s="319"/>
      <c r="K3" s="319"/>
    </row>
    <row r="4" spans="1:33" s="958" customFormat="1" ht="16.5" customHeight="1">
      <c r="A4" s="955" t="s">
        <v>2447</v>
      </c>
      <c r="B4" s="956"/>
      <c r="C4" s="998">
        <f>SUM(C8:K8)</f>
        <v>0</v>
      </c>
      <c r="D4" s="956"/>
      <c r="E4" s="956"/>
      <c r="F4" s="956"/>
      <c r="G4" s="956"/>
      <c r="H4" s="956"/>
      <c r="I4" s="956"/>
      <c r="J4" s="956"/>
      <c r="K4" s="957"/>
    </row>
    <row r="5" spans="1:33" s="962" customFormat="1" ht="24.75">
      <c r="A5" s="959" t="s">
        <v>2448</v>
      </c>
      <c r="B5" s="960" t="s">
        <v>2449</v>
      </c>
      <c r="C5" s="2555" t="s">
        <v>2450</v>
      </c>
      <c r="D5" s="2555" t="s">
        <v>2451</v>
      </c>
      <c r="E5" s="2555" t="s">
        <v>2452</v>
      </c>
      <c r="F5" s="2555"/>
      <c r="G5" s="2555"/>
      <c r="H5" s="2555"/>
      <c r="I5" s="2555"/>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2453</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2454</v>
      </c>
      <c r="B7" s="139" t="s">
        <v>2455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2456</v>
      </c>
      <c r="B8" s="176" t="s">
        <v>2457</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2458</v>
      </c>
      <c r="B9" s="956"/>
      <c r="C9" s="956"/>
      <c r="D9" s="956"/>
      <c r="E9" s="956"/>
      <c r="F9" s="956"/>
      <c r="G9" s="956"/>
      <c r="H9" s="956"/>
      <c r="I9" s="956"/>
      <c r="J9" s="956"/>
      <c r="K9" s="957"/>
    </row>
    <row r="10" spans="1:33" s="972" customFormat="1" ht="13.5" customHeight="1">
      <c r="A10" s="959" t="s">
        <v>2459</v>
      </c>
      <c r="B10" s="8" t="s">
        <v>2460</v>
      </c>
      <c r="C10" s="968" t="s">
        <v>2461</v>
      </c>
      <c r="D10" s="969" t="s">
        <v>2462</v>
      </c>
      <c r="E10" s="969" t="s">
        <v>2463</v>
      </c>
      <c r="F10" s="969" t="s">
        <v>2464</v>
      </c>
      <c r="G10" s="8"/>
      <c r="H10" s="970"/>
      <c r="I10" s="970"/>
      <c r="J10" s="970"/>
      <c r="K10" s="971"/>
    </row>
    <row r="11" spans="1:33" s="977" customFormat="1" ht="13.5" customHeight="1">
      <c r="A11" s="973" t="s">
        <v>1334</v>
      </c>
      <c r="B11" s="974" t="s">
        <v>2465</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2466</v>
      </c>
      <c r="C12" s="24">
        <f ca="1">ROUND(C11*F12,0)</f>
        <v>0</v>
      </c>
      <c r="D12" s="975"/>
      <c r="E12" s="374"/>
      <c r="F12" s="978">
        <f>'数据-取费表'!B33</f>
        <v>0.03</v>
      </c>
      <c r="G12" s="8" t="s">
        <v>2467</v>
      </c>
      <c r="H12" s="970"/>
      <c r="I12" s="970"/>
      <c r="J12" s="970"/>
      <c r="K12" s="971"/>
    </row>
    <row r="13" spans="1:33" s="977" customFormat="1" ht="13.5" customHeight="1">
      <c r="A13" s="973" t="s">
        <v>1336</v>
      </c>
      <c r="B13" s="974" t="s">
        <v>2468</v>
      </c>
      <c r="C13" s="24">
        <f ca="1">ROUND(IF(C1="",SUMIF('数据-取费表'!C:C,"住宅",'数据-取费表'!P:P)*F13,IF(INDIRECT("'数据-取费表'!c"&amp;$K$1)="住宅",INDIRECT("'数据-取费表'!P"&amp;$K$1)*F13,0)),0)</f>
        <v>0</v>
      </c>
      <c r="D13" s="1035"/>
      <c r="E13" s="374"/>
      <c r="F13" s="978">
        <f>'数据-取费表'!B34</f>
        <v>0</v>
      </c>
      <c r="G13" s="8" t="s">
        <v>2469</v>
      </c>
      <c r="H13" s="970"/>
      <c r="I13" s="970"/>
      <c r="J13" s="970"/>
      <c r="K13" s="971"/>
    </row>
    <row r="14" spans="1:33" s="979" customFormat="1" ht="13.5" customHeight="1">
      <c r="A14" s="973" t="s">
        <v>1337</v>
      </c>
      <c r="B14" s="974" t="s">
        <v>2470</v>
      </c>
      <c r="C14" s="24">
        <f ca="1">ROUND(D14*E14*F11/10000,0)</f>
        <v>0</v>
      </c>
      <c r="D14" s="1035">
        <f ca="1">IF(C1="",'数据-汇总表'!E3,INDIRECT("'数据-取费表'!K"&amp;$K$1)+INDIRECT("'数据-取费表'!S"&amp;$K$1))</f>
        <v>47850.3</v>
      </c>
      <c r="E14" s="24">
        <f>'数据-取费表'!B35</f>
        <v>200</v>
      </c>
      <c r="F14" s="978"/>
      <c r="G14" s="8" t="s">
        <v>2471</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2472</v>
      </c>
      <c r="C15" s="985">
        <f ca="1">ROUND(C11*F15,0)</f>
        <v>0</v>
      </c>
      <c r="D15" s="980"/>
      <c r="E15" s="985"/>
      <c r="F15" s="986">
        <f>'数据-取费表'!B36</f>
        <v>1.4999999999999999E-2</v>
      </c>
      <c r="G15" s="139" t="s">
        <v>2473</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2474</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2475</v>
      </c>
      <c r="C17" s="24">
        <f ca="1">ROUND(D17*E17/10000,0)</f>
        <v>0</v>
      </c>
      <c r="D17" s="1035">
        <f ca="1">D14</f>
        <v>47850.3</v>
      </c>
      <c r="E17" s="24">
        <f>'数据-取费表'!B32</f>
        <v>0</v>
      </c>
      <c r="F17" s="980"/>
      <c r="G17" s="139" t="s">
        <v>2476</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2477</v>
      </c>
      <c r="C18" s="24">
        <f ca="1">C19+C20-IF(C1="",'数据-取费表'!B29,IF(G18="已全部缴纳",C19+C20,H18))</f>
        <v>957</v>
      </c>
      <c r="D18" s="1035"/>
      <c r="E18" s="24"/>
      <c r="F18" s="978"/>
      <c r="G18" s="2557"/>
      <c r="H18" s="1579"/>
      <c r="I18" s="2558" t="s">
        <v>2478</v>
      </c>
      <c r="J18" s="981"/>
      <c r="K18" s="982"/>
    </row>
    <row r="19" spans="1:33" s="977" customFormat="1" ht="13.5" customHeight="1">
      <c r="A19" s="973" t="s">
        <v>805</v>
      </c>
      <c r="B19" s="974" t="s">
        <v>2479</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2480</v>
      </c>
      <c r="C20" s="24">
        <f ca="1">ROUND(D20*E20/10000,0)</f>
        <v>957</v>
      </c>
      <c r="D20" s="1035">
        <f ca="1">IF(C1="",'数据-汇总表'!E6,IF(INDIRECT("'数据-取费表'!c"&amp;$K$1)="住宅",INDIRECT("'数据-取费表'!s"&amp;$K$1),INDIRECT("'数据-取费表'!k"&amp;$K$1)+INDIRECT("'数据-取费表'!s"&amp;$K$1)))</f>
        <v>47850.3</v>
      </c>
      <c r="E20" s="24">
        <f>'数据-取费表'!B28</f>
        <v>200</v>
      </c>
      <c r="F20" s="978"/>
      <c r="G20" s="15"/>
      <c r="H20" s="983"/>
      <c r="I20" s="983"/>
      <c r="J20" s="983"/>
      <c r="K20" s="984"/>
    </row>
    <row r="21" spans="1:33" s="977" customFormat="1" ht="13.5" customHeight="1">
      <c r="A21" s="963" t="s">
        <v>802</v>
      </c>
      <c r="B21" s="987" t="s">
        <v>2481</v>
      </c>
      <c r="C21" s="988">
        <f ca="1">C16+C17+C18</f>
        <v>957</v>
      </c>
      <c r="D21" s="989"/>
      <c r="E21" s="324"/>
      <c r="F21" s="324"/>
      <c r="G21" s="139" t="s">
        <v>2482</v>
      </c>
      <c r="H21" s="981"/>
      <c r="I21" s="981"/>
      <c r="J21" s="981"/>
      <c r="K21" s="982"/>
    </row>
    <row r="22" spans="1:33" s="977" customFormat="1" ht="13.5" customHeight="1">
      <c r="A22" s="963" t="s">
        <v>2454</v>
      </c>
      <c r="B22" s="987" t="s">
        <v>2483</v>
      </c>
      <c r="C22" s="988">
        <f ca="1">ROUND(C21*F22,0)</f>
        <v>19</v>
      </c>
      <c r="D22" s="324"/>
      <c r="E22" s="324"/>
      <c r="F22" s="990">
        <f>'数据-取费表'!B37</f>
        <v>0.02</v>
      </c>
      <c r="G22" s="8" t="s">
        <v>2484</v>
      </c>
      <c r="H22" s="970"/>
      <c r="I22" s="970"/>
      <c r="J22" s="970"/>
      <c r="K22" s="971"/>
    </row>
    <row r="23" spans="1:33" s="977" customFormat="1" ht="13.5" customHeight="1">
      <c r="A23" s="963" t="s">
        <v>2456</v>
      </c>
      <c r="B23" s="987" t="s">
        <v>2485</v>
      </c>
      <c r="C23" s="988">
        <f ca="1">ROUND(C4*F23*F11,0)</f>
        <v>0</v>
      </c>
      <c r="D23" s="324"/>
      <c r="E23" s="324"/>
      <c r="F23" s="990">
        <f>'数据-取费表'!B38</f>
        <v>0.02</v>
      </c>
      <c r="G23" s="8" t="s">
        <v>2486</v>
      </c>
      <c r="H23" s="970"/>
      <c r="I23" s="970"/>
      <c r="J23" s="970"/>
      <c r="K23" s="971"/>
    </row>
    <row r="24" spans="1:33" s="977" customFormat="1" ht="13.5" customHeight="1">
      <c r="A24" s="963" t="s">
        <v>2487</v>
      </c>
      <c r="B24" s="987" t="s">
        <v>2488</v>
      </c>
      <c r="C24" s="323">
        <f>ROUND(F24/(1+'数据-取费表'!C42),4)</f>
        <v>2.9000000000000001E-2</v>
      </c>
      <c r="D24" s="324" t="s">
        <v>15</v>
      </c>
      <c r="E24" s="324"/>
      <c r="F24" s="990">
        <f>'数据-取费表'!B48+'数据-取费表'!B49</f>
        <v>3.0499999999999999E-2</v>
      </c>
      <c r="G24" s="8" t="s">
        <v>2489</v>
      </c>
      <c r="H24" s="992"/>
      <c r="I24" s="992"/>
      <c r="J24" s="992"/>
      <c r="K24" s="993"/>
    </row>
    <row r="25" spans="1:33" s="977" customFormat="1" ht="13.5" customHeight="1">
      <c r="A25" s="963" t="s">
        <v>2490</v>
      </c>
      <c r="B25" s="989" t="s">
        <v>2491</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2492</v>
      </c>
      <c r="C26" s="1359">
        <f ca="1">ROUND(IF('数据-取费表'!B22&lt;=1,(1+C24)*F25*'数据-取费表'!B24,(1+C24)*(POWER((1+F25),'数据-取费表'!B24)-1)),4)</f>
        <v>0</v>
      </c>
      <c r="D26" s="327"/>
      <c r="E26" s="328"/>
      <c r="F26" s="329"/>
      <c r="G26" s="2559"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2493</v>
      </c>
      <c r="C27" s="1360">
        <f ca="1">ROUND(IF('数据-取费表'!B22&lt;=1,(C21+C22+C23)*F25*'数据-取费表'!B24/2,(C21+C22+C23)*(POWER((1+F25),'数据-取费表'!B24/2)-1)),0)</f>
        <v>0</v>
      </c>
      <c r="D27" s="327"/>
      <c r="E27" s="328"/>
      <c r="F27" s="329"/>
      <c r="G27" s="2559" t="str">
        <f>IF('数据-取费表'!B22&lt;=1,"（1）-（3）项×年利率×建设期÷2","（1）-（3）项×((1+年利率)^(建设期÷2)-1)")</f>
        <v>（1）-（3）项×((1+年利率)^(建设期÷2)-1)</v>
      </c>
      <c r="H27" s="981"/>
      <c r="I27" s="981"/>
      <c r="J27" s="981"/>
      <c r="K27" s="982"/>
    </row>
    <row r="28" spans="1:33" s="332" customFormat="1" ht="13.5" customHeight="1">
      <c r="A28" s="963" t="s">
        <v>2494</v>
      </c>
      <c r="B28" s="2560" t="s">
        <v>2495</v>
      </c>
      <c r="C28" s="330">
        <f ca="1">C30</f>
        <v>195</v>
      </c>
      <c r="D28" s="323">
        <f ca="1">C29</f>
        <v>0</v>
      </c>
      <c r="E28" s="325" t="s">
        <v>15</v>
      </c>
      <c r="F28" s="331">
        <f ca="1">IF(C1="",'数据-取费表'!Q16,INDIRECT("'数据-取费表'!q"&amp;$K$1))</f>
        <v>0.2</v>
      </c>
      <c r="G28" s="991"/>
      <c r="H28" s="992"/>
      <c r="I28" s="992"/>
      <c r="J28" s="992"/>
      <c r="K28" s="993"/>
    </row>
    <row r="29" spans="1:33" s="334" customFormat="1" ht="13.5" customHeight="1">
      <c r="A29" s="973" t="s">
        <v>803</v>
      </c>
      <c r="B29" s="996" t="s">
        <v>2496</v>
      </c>
      <c r="C29" s="327">
        <f ca="1">ROUND((1+C24)*F28*'数据-取费表'!B24/'数据-取费表'!B20,4)</f>
        <v>0</v>
      </c>
      <c r="D29" s="327"/>
      <c r="E29" s="328"/>
      <c r="F29" s="333"/>
      <c r="G29" s="139" t="s">
        <v>2497</v>
      </c>
      <c r="H29" s="981"/>
      <c r="I29" s="981"/>
      <c r="J29" s="981"/>
      <c r="K29" s="982"/>
    </row>
    <row r="30" spans="1:33" s="334" customFormat="1" ht="13.5" customHeight="1">
      <c r="A30" s="973" t="s">
        <v>804</v>
      </c>
      <c r="B30" s="996" t="s">
        <v>2498</v>
      </c>
      <c r="C30" s="335">
        <f ca="1">ROUND((C21+C22+C23)*F28,0)</f>
        <v>195</v>
      </c>
      <c r="D30" s="327"/>
      <c r="E30" s="328"/>
      <c r="F30" s="333"/>
      <c r="G30" s="139"/>
      <c r="H30" s="981"/>
      <c r="I30" s="981"/>
      <c r="J30" s="981"/>
      <c r="K30" s="982"/>
    </row>
    <row r="31" spans="1:33" s="977" customFormat="1" ht="13.5" customHeight="1" thickBot="1">
      <c r="A31" s="2561" t="s">
        <v>2499</v>
      </c>
      <c r="B31" s="1007" t="s">
        <v>2500</v>
      </c>
      <c r="C31" s="1008">
        <f>ROUND(C4*F31/(1+'数据-取费表'!C42),0)</f>
        <v>0</v>
      </c>
      <c r="D31" s="1009"/>
      <c r="E31" s="1010"/>
      <c r="F31" s="1011">
        <f>'数据-取费表'!B41</f>
        <v>5.5000000000000007E-2</v>
      </c>
      <c r="G31" s="1012" t="s">
        <v>2501</v>
      </c>
      <c r="H31" s="1013"/>
      <c r="I31" s="1013"/>
      <c r="J31" s="1013"/>
      <c r="K31" s="1014"/>
    </row>
    <row r="32" spans="1:33" s="972" customFormat="1" ht="13.5" customHeight="1" thickBot="1">
      <c r="A32" s="1002" t="s">
        <v>2502</v>
      </c>
      <c r="B32" s="1003"/>
      <c r="C32" s="1004">
        <f ca="1">ROUND((C4-C21-C22-C23-C25-C28-C31)/(1+C24+D25+D28),0)</f>
        <v>-1138</v>
      </c>
      <c r="D32" s="1003"/>
      <c r="E32" s="1003"/>
      <c r="F32" s="1003"/>
      <c r="G32" s="1005" t="s">
        <v>2503</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45" sqref="E4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1588</v>
      </c>
      <c r="B1" s="781"/>
      <c r="C1" s="1839" t="s">
        <v>3049</v>
      </c>
      <c r="D1" s="1822" t="s">
        <v>70</v>
      </c>
      <c r="E1" s="1823" t="s">
        <v>1387</v>
      </c>
      <c r="F1" s="1285">
        <f ca="1">J53</f>
        <v>35.69</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f ca="1">C40+J29+L46</f>
        <v>101617</v>
      </c>
      <c r="C2" s="1847" t="s">
        <v>1516</v>
      </c>
      <c r="D2" s="1847"/>
      <c r="E2" s="1848"/>
      <c r="F2" s="1849"/>
      <c r="G2" s="1850"/>
      <c r="H2" s="1842"/>
      <c r="I2" s="1842"/>
      <c r="J2" s="1842"/>
      <c r="K2" s="1843"/>
      <c r="L2" s="1842"/>
      <c r="M2" s="1842"/>
    </row>
    <row r="3" spans="1:37" ht="18" customHeight="1" thickBot="1">
      <c r="A3" s="1851" t="s">
        <v>1517</v>
      </c>
      <c r="B3" s="1852">
        <f ca="1">IF(ISERROR(B2*10000/F43),0,ROUND(B2*10000/F43,0))</f>
        <v>21236</v>
      </c>
      <c r="C3" s="1847" t="s">
        <v>1518</v>
      </c>
      <c r="D3" s="1847"/>
      <c r="E3" s="1848"/>
      <c r="F3" s="1849"/>
      <c r="G3" s="1850"/>
      <c r="H3" s="743" t="s">
        <v>1587</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5596</v>
      </c>
      <c r="D5" s="1824" t="s">
        <v>1402</v>
      </c>
      <c r="E5" s="1295"/>
      <c r="F5" s="1296"/>
      <c r="G5" s="1853"/>
      <c r="H5" s="343">
        <v>1</v>
      </c>
      <c r="I5" s="344" t="s">
        <v>1401</v>
      </c>
      <c r="J5" s="1294">
        <f ca="1">J6+J10+J12</f>
        <v>8028</v>
      </c>
      <c r="K5" s="1824" t="s">
        <v>1402</v>
      </c>
      <c r="L5" s="1295"/>
      <c r="M5" s="1296"/>
    </row>
    <row r="6" spans="1:37" ht="18" customHeight="1">
      <c r="A6" s="1293" t="s">
        <v>1035</v>
      </c>
      <c r="B6" s="3277" t="s">
        <v>1403</v>
      </c>
      <c r="C6" s="1298">
        <f ca="1">ROUND(F6*F8*F7*(1-F9)/10000,0)</f>
        <v>5589</v>
      </c>
      <c r="D6" s="163" t="s">
        <v>3017</v>
      </c>
      <c r="E6" s="346" t="s">
        <v>1405</v>
      </c>
      <c r="F6" s="347">
        <f ca="1">INDIRECT("'数据-取费表'!u"&amp;$G$1)</f>
        <v>3.2</v>
      </c>
      <c r="G6" s="1853"/>
      <c r="H6" s="1293" t="s">
        <v>1035</v>
      </c>
      <c r="I6" s="3277" t="s">
        <v>1403</v>
      </c>
      <c r="J6" s="345">
        <f ca="1">ROUND(M6*M8*M7*(1-M9)/10000,0)</f>
        <v>8017</v>
      </c>
      <c r="K6" s="163" t="s">
        <v>3016</v>
      </c>
      <c r="L6" s="346" t="s">
        <v>1405</v>
      </c>
      <c r="M6" s="347">
        <f ca="1">INDIRECT("'数据-取费表'!z"&amp;$G$1)</f>
        <v>5.0999999999999996</v>
      </c>
    </row>
    <row r="7" spans="1:37" ht="18" customHeight="1">
      <c r="A7" s="1297"/>
      <c r="B7" s="3278"/>
      <c r="C7" s="1299"/>
      <c r="D7" s="351"/>
      <c r="E7" s="1300" t="s">
        <v>1406</v>
      </c>
      <c r="F7" s="347">
        <f ca="1">IF(INDIRECT("'数据-取费表'!ah"&amp;$G$1)="",INDIRECT("'数据-取费表'!k"&amp;$G$1),INDIRECT("'数据-取费表'!ah"&amp;$G$1))</f>
        <v>47850.3</v>
      </c>
      <c r="G7" s="1853"/>
      <c r="H7" s="348"/>
      <c r="I7" s="3278"/>
      <c r="J7" s="350"/>
      <c r="K7" s="351"/>
      <c r="L7" s="346" t="s">
        <v>1406</v>
      </c>
      <c r="M7" s="347">
        <f ca="1">F7</f>
        <v>47850.3</v>
      </c>
    </row>
    <row r="8" spans="1:37" ht="18" customHeight="1">
      <c r="A8" s="348"/>
      <c r="B8" s="3278"/>
      <c r="C8" s="350"/>
      <c r="D8" s="351"/>
      <c r="E8" s="346" t="s">
        <v>1407</v>
      </c>
      <c r="F8" s="347">
        <f ca="1">INDIRECT("'数据-取费表'!ai"&amp;$G$1)</f>
        <v>365</v>
      </c>
      <c r="G8" s="1853"/>
      <c r="H8" s="348"/>
      <c r="I8" s="3278"/>
      <c r="J8" s="350"/>
      <c r="K8" s="351"/>
      <c r="L8" s="346" t="s">
        <v>1407</v>
      </c>
      <c r="M8" s="347">
        <f ca="1">INDIRECT("'数据-取费表'!ai"&amp;$G$1)</f>
        <v>365</v>
      </c>
    </row>
    <row r="9" spans="1:37" ht="18" customHeight="1">
      <c r="A9" s="348"/>
      <c r="B9" s="3279"/>
      <c r="C9" s="350"/>
      <c r="D9" s="351"/>
      <c r="E9" s="346" t="s">
        <v>1408</v>
      </c>
      <c r="F9" s="356">
        <f ca="1">INDIRECT("'数据-取费表'!w"&amp;$G$1)</f>
        <v>0</v>
      </c>
      <c r="G9" s="1853"/>
      <c r="H9" s="348"/>
      <c r="I9" s="3279"/>
      <c r="J9" s="350"/>
      <c r="K9" s="351"/>
      <c r="L9" s="357" t="s">
        <v>1408</v>
      </c>
      <c r="M9" s="358">
        <f ca="1">INDIRECT("'数据-取费表'!ab"&amp;$G$1)</f>
        <v>0.1</v>
      </c>
    </row>
    <row r="10" spans="1:37" ht="18" customHeight="1">
      <c r="A10" s="1293" t="s">
        <v>1039</v>
      </c>
      <c r="B10" s="1825" t="s">
        <v>1409</v>
      </c>
      <c r="C10" s="360">
        <f ca="1">ROUND(IF(F10="押一",F6*F8*F7/12*F11,IF(F10="押二",F6*F8*F7/12*2*F11,IF(F10="押三",F6*F8*F7/12*3*F11,C11*F11)))/10000,0)</f>
        <v>7</v>
      </c>
      <c r="D10" s="1826" t="s">
        <v>3018</v>
      </c>
      <c r="E10" s="357" t="s">
        <v>1411</v>
      </c>
      <c r="F10" s="1368" t="s">
        <v>3231</v>
      </c>
      <c r="G10" s="1853"/>
      <c r="H10" s="1293" t="s">
        <v>1039</v>
      </c>
      <c r="I10" s="1825" t="s">
        <v>1409</v>
      </c>
      <c r="J10" s="345">
        <f ca="1">ROUND(IF(M10="押一",M6*M8*M7/12*M11,IF(M10="押二",M6*M8*M7/12*2*M11,IF(M10="押三",M6*M8*M7/12*3*M11,J11*M11)))/10000,0)</f>
        <v>11</v>
      </c>
      <c r="K10" s="1826" t="s">
        <v>3019</v>
      </c>
      <c r="L10" s="357" t="s">
        <v>1411</v>
      </c>
      <c r="M10" s="1368" t="s">
        <v>3231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22178</v>
      </c>
      <c r="D13" s="1333" t="s">
        <v>1415</v>
      </c>
      <c r="E13" s="1333" t="s">
        <v>1416</v>
      </c>
      <c r="F13" s="1334">
        <f ca="1">INDIRECT("'数据-取费表'!y"&amp;$G$1)</f>
        <v>0.88</v>
      </c>
      <c r="G13" s="1853"/>
      <c r="H13" s="1331">
        <v>2</v>
      </c>
      <c r="I13" s="1332" t="s">
        <v>1414</v>
      </c>
      <c r="J13" s="1292">
        <f ca="1">ROUND(J14*J15,0)</f>
        <v>16381</v>
      </c>
      <c r="K13" s="1339" t="s">
        <v>1415</v>
      </c>
      <c r="L13" s="1854"/>
      <c r="M13" s="1855"/>
    </row>
    <row r="14" spans="1:37" ht="18" customHeight="1">
      <c r="A14" s="1203" t="s">
        <v>1034</v>
      </c>
      <c r="B14" s="346" t="s">
        <v>1417</v>
      </c>
      <c r="C14" s="362">
        <f ca="1">INDIRECT("'数据-取费表'!m"&amp;$G$1)+INDIRECT("'数据-取费表'!t"&amp;$G$1)</f>
        <v>16748</v>
      </c>
      <c r="D14" s="1802" t="s">
        <v>1418</v>
      </c>
      <c r="E14" s="1796"/>
      <c r="F14" s="363"/>
      <c r="G14" s="1853"/>
      <c r="H14" s="1203" t="s">
        <v>1035</v>
      </c>
      <c r="I14" s="346" t="s">
        <v>1419</v>
      </c>
      <c r="J14" s="24">
        <f ca="1">C29</f>
        <v>25202</v>
      </c>
      <c r="K14" s="15"/>
      <c r="L14" s="981"/>
      <c r="M14" s="982"/>
    </row>
    <row r="15" spans="1:37" s="1860" customFormat="1" ht="18" customHeight="1" thickBot="1">
      <c r="A15" s="1203" t="s">
        <v>1036</v>
      </c>
      <c r="B15" s="346" t="s">
        <v>1420</v>
      </c>
      <c r="C15" s="24">
        <f ca="1">ROUND(C14*F15,0)</f>
        <v>502</v>
      </c>
      <c r="D15" s="364" t="s">
        <v>1421</v>
      </c>
      <c r="E15" s="364" t="s">
        <v>1422</v>
      </c>
      <c r="F15" s="365">
        <f>'数据-取费表'!B33</f>
        <v>0.03</v>
      </c>
      <c r="G15" s="1856"/>
      <c r="H15" s="1341" t="s">
        <v>1039</v>
      </c>
      <c r="I15" s="1342" t="s">
        <v>1416</v>
      </c>
      <c r="J15" s="1351">
        <f ca="1">INDIRECT("'数据-取费表'!ad"&amp;$G$1)</f>
        <v>0.65</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1120</v>
      </c>
      <c r="K16" s="1339" t="s">
        <v>1425</v>
      </c>
      <c r="L16" s="1340"/>
      <c r="M16" s="1296"/>
    </row>
    <row r="17" spans="1:37" s="1860" customFormat="1" ht="18" customHeight="1">
      <c r="A17" s="1203" t="s">
        <v>1390</v>
      </c>
      <c r="B17" s="346" t="s">
        <v>1426</v>
      </c>
      <c r="C17" s="24">
        <f ca="1">ROUND(F17*(F43+INDIRECT("'数据-取费表'!S"&amp;$G$1))/10000,0)</f>
        <v>957</v>
      </c>
      <c r="D17" s="346" t="s">
        <v>1427</v>
      </c>
      <c r="E17" s="346" t="s">
        <v>1428</v>
      </c>
      <c r="F17" s="26">
        <f>'数据-取费表'!B35</f>
        <v>200</v>
      </c>
      <c r="G17" s="1856"/>
      <c r="H17" s="1203" t="s">
        <v>1035</v>
      </c>
      <c r="I17" s="346" t="s">
        <v>1429</v>
      </c>
      <c r="J17" s="24">
        <f ca="1">ROUND(IF(项目基本情况!B11="自然人",J5*M17,J18+J19+J20),1)</f>
        <v>637.4</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251</v>
      </c>
      <c r="D18" s="346" t="s">
        <v>1421</v>
      </c>
      <c r="E18" s="346" t="s">
        <v>1422</v>
      </c>
      <c r="F18" s="366">
        <f>'数据-取费表'!B36</f>
        <v>1.4999999999999999E-2</v>
      </c>
      <c r="G18" s="1856"/>
      <c r="H18" s="1203" t="s">
        <v>1034</v>
      </c>
      <c r="I18" s="346" t="s">
        <v>1433</v>
      </c>
      <c r="J18" s="24">
        <f ca="1">ROUND(J5*M18/(1+'数据-取费表'!C42),2)</f>
        <v>420.51</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18458</v>
      </c>
      <c r="D19" s="139" t="s">
        <v>1436</v>
      </c>
      <c r="E19" s="1820"/>
      <c r="F19" s="26"/>
      <c r="G19" s="1853"/>
      <c r="H19" s="1203" t="s">
        <v>1036</v>
      </c>
      <c r="I19" s="346" t="s">
        <v>1437</v>
      </c>
      <c r="J19" s="24">
        <f ca="1">IF(K19="按租金收入计税",ROUND(J5*M19,2),ROUND(C29*M19*0.7,2))</f>
        <v>211.7</v>
      </c>
      <c r="K19" s="1830" t="s">
        <v>1438</v>
      </c>
      <c r="L19" s="346" t="s">
        <v>1422</v>
      </c>
      <c r="M19" s="366">
        <f>IF(K19="按租金收入计税",'数据-取费表'!B51,'数据-取费表'!B50)</f>
        <v>1.2E-2</v>
      </c>
    </row>
    <row r="20" spans="1:37" s="1860" customFormat="1" ht="18" customHeight="1">
      <c r="A20" s="1203" t="s">
        <v>1039</v>
      </c>
      <c r="B20" s="346" t="s">
        <v>1439</v>
      </c>
      <c r="C20" s="24">
        <f ca="1">ROUND(C19*F20,0)</f>
        <v>369</v>
      </c>
      <c r="D20" s="368" t="s">
        <v>1440</v>
      </c>
      <c r="E20" s="346" t="s">
        <v>1422</v>
      </c>
      <c r="F20" s="366">
        <f>'数据-取费表'!B37</f>
        <v>0.02</v>
      </c>
      <c r="G20" s="1856"/>
      <c r="H20" s="1203" t="s">
        <v>1389</v>
      </c>
      <c r="I20" s="163" t="s">
        <v>1441</v>
      </c>
      <c r="J20" s="25">
        <f ca="1">ROUND(M20*M21/10000,2)</f>
        <v>5.17</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18</v>
      </c>
      <c r="D21" s="368" t="s">
        <v>1445</v>
      </c>
      <c r="E21" s="346" t="s">
        <v>1446</v>
      </c>
      <c r="F21" s="366">
        <f>'数据-取费表'!B38</f>
        <v>0.02</v>
      </c>
      <c r="G21" s="1856"/>
      <c r="H21" s="371"/>
      <c r="I21" s="355"/>
      <c r="J21" s="29"/>
      <c r="K21" s="372"/>
      <c r="L21" s="346" t="s">
        <v>1447</v>
      </c>
      <c r="M21" s="347">
        <f ca="1">INDIRECT("'数据-取费表'!r"&amp;$G$1)</f>
        <v>34445.57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ROUND(J14*M22,1)</f>
        <v>378</v>
      </c>
      <c r="K22" s="1800" t="s">
        <v>1450</v>
      </c>
      <c r="L22" s="346" t="s">
        <v>1422</v>
      </c>
      <c r="M22" s="373">
        <f ca="1">INDIRECT("'数据-取费表'!Ak"&amp;$G$1)</f>
        <v>1.4999999999999999E-2</v>
      </c>
    </row>
    <row r="23" spans="1:37" s="1860" customFormat="1" ht="18" customHeight="1">
      <c r="A23" s="1203" t="s">
        <v>1034</v>
      </c>
      <c r="B23" s="346" t="s">
        <v>1451</v>
      </c>
      <c r="C23" s="24">
        <f ca="1">IF('数据-取费表'!B22&lt;=1,ROUND(C19*F24*F23/2,0)+ROUND(C20*F24*F23/2,0),ROUND(C19*(POWER((1+F24),F23/2)-1),0)+ROUND(C20*(POWER((1+F24),F23/2)-1),0))</f>
        <v>667</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ROUND(J13*M23,1)</f>
        <v>24.6</v>
      </c>
      <c r="K23" s="1800" t="s">
        <v>1454</v>
      </c>
      <c r="L23" s="346" t="s">
        <v>1455</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6.9999999999999999E-4</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80.3</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4"/>
      <c r="D25" s="139" t="s">
        <v>1462</v>
      </c>
      <c r="E25" s="1820"/>
      <c r="F25" s="26"/>
      <c r="G25" s="1853"/>
      <c r="H25" s="1331" t="s">
        <v>1031</v>
      </c>
      <c r="I25" s="1346" t="s">
        <v>1463</v>
      </c>
      <c r="J25" s="354">
        <f ca="1">J5-J16</f>
        <v>6908</v>
      </c>
      <c r="K25" s="1347" t="s">
        <v>1464</v>
      </c>
      <c r="L25" s="1348"/>
      <c r="M25" s="1349"/>
    </row>
    <row r="26" spans="1:37">
      <c r="A26" s="1203" t="s">
        <v>1034</v>
      </c>
      <c r="B26" s="346" t="s">
        <v>1465</v>
      </c>
      <c r="C26" s="24">
        <f ca="1">ROUND((C19+C20)*F26,0)</f>
        <v>3765</v>
      </c>
      <c r="D26" s="368" t="s">
        <v>1466</v>
      </c>
      <c r="E26" s="357" t="s">
        <v>1467</v>
      </c>
      <c r="F26" s="356">
        <f ca="1">INDIRECT("'数据-取费表'!q"&amp;$G$1)</f>
        <v>0.2</v>
      </c>
      <c r="G26" s="1853"/>
      <c r="H26" s="343" t="s">
        <v>1032</v>
      </c>
      <c r="I26" s="344" t="s">
        <v>1468</v>
      </c>
      <c r="J26" s="345">
        <f ca="1">IF(J5&lt;&gt;0,ROUND(J25*(1-((1+M28)/(1+M26))^M27)/(M26-M28),0),0)</f>
        <v>109889</v>
      </c>
      <c r="K26" s="369" t="s">
        <v>1469</v>
      </c>
      <c r="L26" s="346" t="s">
        <v>1470</v>
      </c>
      <c r="M26" s="356">
        <f ca="1">INDIRECT("'数据-取费表'!I"&amp;$G$1)</f>
        <v>5.5E-2</v>
      </c>
    </row>
    <row r="27" spans="1:37" ht="18" customHeight="1">
      <c r="A27" s="1203" t="s">
        <v>1036</v>
      </c>
      <c r="B27" s="346" t="s">
        <v>1471</v>
      </c>
      <c r="C27" s="24">
        <f ca="1">ROUND(F21*F26,4)</f>
        <v>4.0000000000000001E-3</v>
      </c>
      <c r="D27" s="368" t="s">
        <v>1472</v>
      </c>
      <c r="E27" s="364"/>
      <c r="F27" s="365"/>
      <c r="G27" s="1853"/>
      <c r="H27" s="348"/>
      <c r="I27" s="349"/>
      <c r="J27" s="350"/>
      <c r="K27" s="377" t="s">
        <v>1473</v>
      </c>
      <c r="L27" s="346" t="s">
        <v>1474</v>
      </c>
      <c r="M27" s="378">
        <f ca="1">INDIRECT("'数据-取费表'!ag"&amp;$G$1)</f>
        <v>21.139999999999997</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0.03</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25202</v>
      </c>
      <c r="D29" s="1344"/>
      <c r="E29" s="1342"/>
      <c r="F29" s="1345"/>
      <c r="G29" s="1856"/>
      <c r="H29" s="379" t="s">
        <v>1033</v>
      </c>
      <c r="I29" s="380" t="s">
        <v>1479</v>
      </c>
      <c r="J29" s="381">
        <f ca="1">ROUND(J26/(1+F40)^F41,0)</f>
        <v>50423</v>
      </c>
      <c r="K29" s="382" t="s">
        <v>1480</v>
      </c>
      <c r="L29" s="383"/>
      <c r="M29" s="384">
        <f ca="1">INDIRECT("'数据-取费表'!k"&amp;$G$1)</f>
        <v>47850.3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977</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ROUND(IF(项目基本情况!B11="自然人",C5*F31,C32+C33+C34),1)</f>
        <v>510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IF(项目基本情况!B11="自然人","——",ROUND(C5*F32/(1+'数据-取费表'!C42),2))</f>
        <v>293.12</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IF(项目基本情况!B11="自然人","——",IF(D33="按租金收入计税",ROUND(C5*F33,2),IF(D33="按房产原值计税",ROUND(C29*F33*0.7,2),INDIRECT("'数据-取费表'!Aj"&amp;$G$1))))</f>
        <v>211.7</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IF(项目基本情况!B11="自然人","——",ROUND(F34*F35/10000,2))</f>
        <v>5.17</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34445.57</v>
      </c>
      <c r="G35" s="1853"/>
      <c r="H35" s="744"/>
      <c r="I35" s="1862"/>
      <c r="J35" s="1863"/>
      <c r="K35" s="1864"/>
      <c r="L35" s="1861"/>
      <c r="M35" s="1861"/>
    </row>
    <row r="36" spans="1:18" ht="18" customHeight="1">
      <c r="A36" s="1354" t="s">
        <v>1039</v>
      </c>
      <c r="B36" s="346" t="s">
        <v>1449</v>
      </c>
      <c r="C36" s="24">
        <f ca="1">ROUND(C29*F36,1)</f>
        <v>378</v>
      </c>
      <c r="D36" s="1800" t="s">
        <v>1482</v>
      </c>
      <c r="E36" s="346" t="s">
        <v>1422</v>
      </c>
      <c r="F36" s="373">
        <f ca="1">INDIRECT("'数据-取费表'!Ak"&amp;$G$1)</f>
        <v>1.4999999999999999E-2</v>
      </c>
      <c r="G36" s="1853"/>
      <c r="H36" s="1861"/>
      <c r="I36" s="1862"/>
      <c r="J36" s="1863"/>
      <c r="K36" s="750"/>
      <c r="L36" s="1861"/>
      <c r="M36" s="1861"/>
    </row>
    <row r="37" spans="1:18" ht="18" customHeight="1">
      <c r="A37" s="1203" t="s">
        <v>1075</v>
      </c>
      <c r="B37" s="346" t="s">
        <v>1453</v>
      </c>
      <c r="C37" s="24">
        <f ca="1">ROUND(C13*F37,1)</f>
        <v>33.299999999999997</v>
      </c>
      <c r="D37" s="1800" t="s">
        <v>1454</v>
      </c>
      <c r="E37" s="346" t="s">
        <v>1455</v>
      </c>
      <c r="F37" s="375">
        <f ca="1">INDIRECT("'数据-取费表'!Al"&amp;$G$1)</f>
        <v>1.5E-3</v>
      </c>
      <c r="G37" s="1853"/>
      <c r="H37" s="1861"/>
      <c r="I37" s="1862"/>
      <c r="J37" s="1863"/>
      <c r="K37" s="750"/>
      <c r="L37" s="1861"/>
      <c r="M37" s="1861"/>
    </row>
    <row r="38" spans="1:18" ht="18" customHeight="1" thickBot="1">
      <c r="A38" s="1341" t="s">
        <v>1393</v>
      </c>
      <c r="B38" s="1342" t="s">
        <v>1439</v>
      </c>
      <c r="C38" s="1343">
        <f ca="1">ROUND(C5*F38,1)</f>
        <v>56</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4">
        <f ca="1">C5-C30</f>
        <v>4619</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51194</v>
      </c>
      <c r="D40" s="369" t="s">
        <v>1469</v>
      </c>
      <c r="E40" s="346" t="s">
        <v>1470</v>
      </c>
      <c r="F40" s="356">
        <f ca="1">INDIRECT("'数据-取费表'!I"&amp;$G$1)</f>
        <v>5.5E-2</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14.55</v>
      </c>
      <c r="G41" s="1853"/>
      <c r="H41" s="731"/>
      <c r="I41" s="1862"/>
      <c r="J41" s="1863"/>
      <c r="K41" s="750"/>
      <c r="L41" s="731"/>
      <c r="M41" s="731"/>
    </row>
    <row r="42" spans="1:18" ht="18" customHeight="1">
      <c r="A42" s="352"/>
      <c r="B42" s="353"/>
      <c r="C42" s="354"/>
      <c r="D42" s="372"/>
      <c r="E42" s="346" t="s">
        <v>1477</v>
      </c>
      <c r="F42" s="356">
        <f ca="1">INDIRECT("'数据-取费表'!v"&amp;$G$1)</f>
        <v>0.02</v>
      </c>
      <c r="G42" s="1853"/>
      <c r="H42" s="731"/>
      <c r="I42" s="1862"/>
      <c r="J42" s="1863"/>
      <c r="K42" s="750"/>
      <c r="L42" s="731"/>
      <c r="M42" s="731"/>
    </row>
    <row r="43" spans="1:18" ht="18" customHeight="1" thickBot="1">
      <c r="A43" s="379" t="s">
        <v>1033</v>
      </c>
      <c r="B43" s="380" t="s">
        <v>1487</v>
      </c>
      <c r="C43" s="381">
        <f ca="1">ROUND(C40*10000/F43,0)</f>
        <v>10699</v>
      </c>
      <c r="D43" s="382" t="s">
        <v>1488</v>
      </c>
      <c r="E43" s="383" t="s">
        <v>1489</v>
      </c>
      <c r="F43" s="384">
        <f ca="1">INDIRECT("'数据-取费表'!k"&amp;$G$1)</f>
        <v>47850.3</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f ca="1">C68-C40</f>
        <v>-1213</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t="s">
        <v>3070</v>
      </c>
      <c r="K47" s="1884" t="s">
        <v>1527</v>
      </c>
      <c r="L47" s="1885">
        <f ca="1">INDIRECT("'数据-取费表'!d"&amp;$G$1)</f>
        <v>50</v>
      </c>
      <c r="M47" s="1840" t="str">
        <f>IF(ISNUMBER(FIND("住宅",C1)),"住宅","非住宅")</f>
        <v>非住宅</v>
      </c>
      <c r="O47" s="1886" t="s">
        <v>1040</v>
      </c>
      <c r="P47" s="1887" t="s">
        <v>1528</v>
      </c>
      <c r="Q47" s="1888">
        <f ca="1">C40+J29</f>
        <v>101617</v>
      </c>
      <c r="R47" s="1888" t="s">
        <v>1529</v>
      </c>
    </row>
    <row r="48" spans="1:18" s="1844" customFormat="1" ht="28.5" thickBot="1">
      <c r="A48" s="1362" t="s">
        <v>1135</v>
      </c>
      <c r="B48" s="344" t="s">
        <v>1401</v>
      </c>
      <c r="C48" s="1819">
        <f ca="1">C49+C53+C55</f>
        <v>5194</v>
      </c>
      <c r="D48" s="1364"/>
      <c r="E48" s="1365"/>
      <c r="F48" s="1183"/>
      <c r="G48" s="791"/>
      <c r="H48" s="792"/>
      <c r="I48" s="1889" t="s">
        <v>1530</v>
      </c>
      <c r="J48" s="1890" t="s">
        <v>3086</v>
      </c>
      <c r="K48" s="1891" t="s">
        <v>1531</v>
      </c>
      <c r="L48" s="1892">
        <f ca="1">INDIRECT("'数据-取费表'!f"&amp;$G$1)</f>
        <v>35.69</v>
      </c>
      <c r="O48" s="1886" t="s">
        <v>1041</v>
      </c>
      <c r="P48" s="1887" t="s">
        <v>1532</v>
      </c>
      <c r="Q48" s="1888" t="str">
        <f ca="1">J60</f>
        <v>0</v>
      </c>
      <c r="R48" s="1888" t="s">
        <v>1533</v>
      </c>
    </row>
    <row r="49" spans="1:18" s="1844" customFormat="1" ht="13.5" thickBot="1">
      <c r="A49" s="1196" t="s">
        <v>1136</v>
      </c>
      <c r="B49" s="1831" t="s">
        <v>1490</v>
      </c>
      <c r="C49" s="1366">
        <f ca="1">ROUND(F49*F51*F50*(1-F52)/10000,0)</f>
        <v>5187</v>
      </c>
      <c r="D49" s="1278" t="s">
        <v>3020</v>
      </c>
      <c r="E49" s="1832" t="s">
        <v>1491</v>
      </c>
      <c r="F49" s="1283">
        <v>3.3</v>
      </c>
      <c r="G49" s="1893"/>
      <c r="H49" s="792"/>
      <c r="I49" s="1889" t="s">
        <v>1534</v>
      </c>
      <c r="J49" s="1894">
        <v>2005</v>
      </c>
      <c r="K49" s="1891" t="s">
        <v>1535</v>
      </c>
      <c r="L49" s="1895"/>
      <c r="O49" s="1896" t="s">
        <v>1042</v>
      </c>
      <c r="P49" s="1887" t="s">
        <v>1536</v>
      </c>
      <c r="Q49" s="1888">
        <f ca="1">C29</f>
        <v>25202</v>
      </c>
      <c r="R49" s="1888" t="s">
        <v>1529</v>
      </c>
    </row>
    <row r="50" spans="1:18" s="1844" customFormat="1" ht="13.5" thickBot="1">
      <c r="A50" s="1197"/>
      <c r="B50" s="1200"/>
      <c r="C50" s="1370"/>
      <c r="D50" s="1174"/>
      <c r="E50" s="1279" t="s">
        <v>1406</v>
      </c>
      <c r="F50" s="1280">
        <f ca="1">F7</f>
        <v>47850.3</v>
      </c>
      <c r="H50" s="792"/>
      <c r="I50" s="1889" t="s">
        <v>1537</v>
      </c>
      <c r="J50" s="1897">
        <f>SUMPRODUCT((I63:I65=J47)*(J62:L62=J48)*(J63:L65))</f>
        <v>60</v>
      </c>
      <c r="K50" s="1891" t="s">
        <v>1538</v>
      </c>
      <c r="L50" s="1895">
        <f ca="1">基准地价修正!B2</f>
        <v>7524</v>
      </c>
      <c r="M50" s="1898"/>
      <c r="O50" s="1896" t="s">
        <v>1043</v>
      </c>
      <c r="P50" s="1887" t="s">
        <v>1539</v>
      </c>
      <c r="Q50" s="1899" t="e">
        <f ca="1">J58</f>
        <v>#VALUE!</v>
      </c>
      <c r="R50" s="1888"/>
    </row>
    <row r="51" spans="1:18" s="1844" customFormat="1" ht="13.5" thickBot="1">
      <c r="A51" s="1198"/>
      <c r="B51" s="1200"/>
      <c r="C51" s="1201"/>
      <c r="D51" s="1174"/>
      <c r="E51" s="1202" t="s">
        <v>1407</v>
      </c>
      <c r="F51" s="347">
        <f ca="1">F8</f>
        <v>365</v>
      </c>
      <c r="I51" s="1900" t="s">
        <v>1540</v>
      </c>
      <c r="J51" s="1901">
        <f>IF(J49="",J50,J49+J50-YEAR('数据-取费表'!B2))</f>
        <v>47</v>
      </c>
      <c r="K51" s="1902" t="s">
        <v>1541</v>
      </c>
      <c r="L51" s="1903">
        <f ca="1">ROUND(-PV(INDIRECT("'数据-取费表'!h"&amp;$G$1),L48,(C39-C13*C76),0),0)</f>
        <v>45093</v>
      </c>
      <c r="M51" s="1904"/>
      <c r="O51" s="1896" t="s">
        <v>1044</v>
      </c>
      <c r="P51" s="1887" t="s">
        <v>1542</v>
      </c>
      <c r="Q51" s="1899">
        <f>J52</f>
        <v>9.0000000000000011E-2</v>
      </c>
      <c r="R51" s="1888"/>
    </row>
    <row r="52" spans="1:18" s="1844" customFormat="1" ht="13.5" thickBot="1">
      <c r="A52" s="1198"/>
      <c r="B52" s="1200"/>
      <c r="C52" s="1201"/>
      <c r="D52" s="1174"/>
      <c r="E52" s="1202" t="s">
        <v>1408</v>
      </c>
      <c r="F52" s="1277">
        <f>'数据-取费表'!AB6</f>
        <v>0.1</v>
      </c>
      <c r="I52" s="1905" t="s">
        <v>1543</v>
      </c>
      <c r="J52" s="1906">
        <f>'数据-取费表'!J6+0.005</f>
        <v>9.0000000000000011E-2</v>
      </c>
      <c r="K52" s="1905" t="s">
        <v>1544</v>
      </c>
      <c r="L52" s="1906">
        <f ca="1">基准地价修正!G20</f>
        <v>4.8000000000000001E-2</v>
      </c>
      <c r="O52" s="1896" t="s">
        <v>1045</v>
      </c>
      <c r="P52" s="1887" t="s">
        <v>1545</v>
      </c>
      <c r="Q52" s="1888">
        <f ca="1">J53</f>
        <v>35.69</v>
      </c>
      <c r="R52" s="1888" t="s">
        <v>1546</v>
      </c>
    </row>
    <row r="53" spans="1:18" s="1844" customFormat="1" ht="24.75" thickBot="1">
      <c r="A53" s="1407" t="s">
        <v>1137</v>
      </c>
      <c r="B53" s="1833" t="s">
        <v>1409</v>
      </c>
      <c r="C53" s="360">
        <f ca="1">ROUND(IF(F53="押一",F49*F51*F50/12*F11,IF(F53="押二",F49*F51*F50/12*2*F11,IF(F53="押三",F49*F51*F50/12*3*F11,C54*F11)))/10000,0)</f>
        <v>7</v>
      </c>
      <c r="D53" s="1826" t="s">
        <v>3018</v>
      </c>
      <c r="E53" s="357" t="s">
        <v>1411</v>
      </c>
      <c r="F53" s="1368" t="s">
        <v>3231</v>
      </c>
      <c r="I53" s="1907" t="s">
        <v>1547</v>
      </c>
      <c r="J53" s="1908">
        <f ca="1">IF(M47="住宅",J51,IF(D1="——",MIN(J51,L48),IF(D1="在建（套用方法）",MIN(J51,L48-'数据-取费表'!B24),IF(D1="土地（套用方法）",MIN(J51,L48-'数据-取费表'!B20)))))</f>
        <v>35.69</v>
      </c>
      <c r="K53" s="3275" t="s">
        <v>1548</v>
      </c>
      <c r="L53" s="3276"/>
      <c r="O53" s="1886" t="s">
        <v>1046</v>
      </c>
      <c r="P53" s="1887" t="s">
        <v>1549</v>
      </c>
      <c r="Q53" s="1888">
        <f ca="1">Q47+Q48</f>
        <v>101617</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t="s">
        <v>3295</v>
      </c>
      <c r="O55" s="1879" t="s">
        <v>1522</v>
      </c>
      <c r="P55" s="1880" t="s">
        <v>1523</v>
      </c>
      <c r="Q55" s="1881" t="s">
        <v>1524</v>
      </c>
      <c r="R55" s="1881" t="s">
        <v>1525</v>
      </c>
    </row>
    <row r="56" spans="1:18" s="1844" customFormat="1" ht="25.5" thickTop="1" thickBot="1">
      <c r="A56" s="1178">
        <v>2</v>
      </c>
      <c r="B56" s="1179" t="s">
        <v>1414</v>
      </c>
      <c r="C56" s="275">
        <f ca="1">C13</f>
        <v>22178</v>
      </c>
      <c r="D56" s="1916"/>
      <c r="E56" s="1917"/>
      <c r="F56" s="1909"/>
      <c r="I56" s="1918" t="s">
        <v>1553</v>
      </c>
      <c r="J56" s="1919" t="s">
        <v>3051</v>
      </c>
      <c r="K56" s="1889" t="s">
        <v>1554</v>
      </c>
      <c r="L56" s="1892" t="str">
        <f ca="1">IF(L48&lt;J51,"——",L48-J53)</f>
        <v>——</v>
      </c>
      <c r="O56" s="1886" t="s">
        <v>1040</v>
      </c>
      <c r="P56" s="1887" t="s">
        <v>1528</v>
      </c>
      <c r="Q56" s="1888">
        <f ca="1">C40+J29</f>
        <v>101617</v>
      </c>
      <c r="R56" s="1888" t="s">
        <v>1529</v>
      </c>
    </row>
    <row r="57" spans="1:18" s="1844" customFormat="1" ht="24.75" thickBot="1">
      <c r="A57" s="1920"/>
      <c r="B57" s="1171" t="s">
        <v>1478</v>
      </c>
      <c r="C57" s="281">
        <f ca="1">C29</f>
        <v>25202</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59" t="s">
        <v>1030</v>
      </c>
      <c r="B58" s="1179" t="s">
        <v>1424</v>
      </c>
      <c r="C58" s="360">
        <f ca="1">ROUND(C59+C64+C65+C66,0)</f>
        <v>952</v>
      </c>
      <c r="D58" s="1181" t="s">
        <v>1425</v>
      </c>
      <c r="E58" s="1182"/>
      <c r="F58" s="1183"/>
      <c r="I58" s="1924" t="s">
        <v>1559</v>
      </c>
      <c r="J58" s="1926" t="e">
        <f ca="1">IF(J55&lt;0.4,0.4,J55)</f>
        <v>#VALUE!</v>
      </c>
      <c r="K58" s="1902" t="s">
        <v>1560</v>
      </c>
      <c r="L58" s="1892">
        <f ca="1">ROUND(POWER(1+L52,L47-L48)*(POWER(1+L52,L48)-1)/(POWER(1+L52,L47)-1),4)</f>
        <v>0.89859999999999995</v>
      </c>
      <c r="O58" s="1896" t="s">
        <v>1042</v>
      </c>
      <c r="P58" s="1887" t="s">
        <v>1561</v>
      </c>
      <c r="Q58" s="1888">
        <f ca="1">IF(L55="比较法",L49,IF(L55="基准地价",L50,0))</f>
        <v>7524</v>
      </c>
      <c r="R58" s="1888" t="s">
        <v>1529</v>
      </c>
    </row>
    <row r="59" spans="1:18" s="1844" customFormat="1" ht="24.75" thickBot="1">
      <c r="A59" s="1203" t="s">
        <v>1035</v>
      </c>
      <c r="B59" s="1171" t="s">
        <v>1429</v>
      </c>
      <c r="C59" s="24">
        <f ca="1">ROUND(IF(项目基本情况!B11="自然人",C48*F59,C60+C61+C62),1)</f>
        <v>488.9</v>
      </c>
      <c r="D59" s="1184" t="s">
        <v>1430</v>
      </c>
      <c r="E59" s="1185" t="s">
        <v>1431</v>
      </c>
      <c r="F59" s="367"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f ca="1">ROUND(IF(D1="在建（套用方法）",M59,IF(D1="土地（套用方法）",N59,POWER(1+L52,L47-J51)*(POWER(1+L52,J51)-1)/(POWER(1+L52,L47)-1))),4)</f>
        <v>0.98399999999999999</v>
      </c>
      <c r="M59" s="1840">
        <f ca="1">ROUND(POWER(1+L52,L47-(J51+'数据-取费表'!B24))*(POWER(1+L52,(J51+'数据-取费表'!B24))-1)/(POWER(1+L52,L47)-1),4)</f>
        <v>0.98399999999999999</v>
      </c>
      <c r="N59" s="1840">
        <f ca="1">ROUND(POWER(1+L52,L47-(J51+'数据-取费表'!B20))*(POWER(1+L52,(J51+'数据-取费表'!B20))-1)/(POWER(1+L52,L47)-1),4)</f>
        <v>0.99229999999999996</v>
      </c>
      <c r="O59" s="1896" t="s">
        <v>1043</v>
      </c>
      <c r="P59" s="1887" t="s">
        <v>1563</v>
      </c>
      <c r="Q59" s="1899">
        <f ca="1">L52</f>
        <v>4.8000000000000001E-2</v>
      </c>
      <c r="R59" s="1888"/>
    </row>
    <row r="60" spans="1:18" s="1844" customFormat="1" ht="16.5" thickBot="1">
      <c r="A60" s="1203" t="s">
        <v>1034</v>
      </c>
      <c r="B60" s="1171" t="s">
        <v>1433</v>
      </c>
      <c r="C60" s="24">
        <f ca="1">IF(项目基本情况!B11="自然人","——",ROUND(C48*F60/(1+'数据-取费表'!C42),2))</f>
        <v>272.07</v>
      </c>
      <c r="D60" s="1185" t="s">
        <v>1434</v>
      </c>
      <c r="E60" s="1171" t="s">
        <v>1422</v>
      </c>
      <c r="F60" s="376">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f ca="1">L58</f>
        <v>0.89859999999999995</v>
      </c>
      <c r="R60" s="1888" t="s">
        <v>1567</v>
      </c>
    </row>
    <row r="61" spans="1:18" s="1844" customFormat="1" ht="13.5" thickBot="1">
      <c r="A61" s="1203" t="s">
        <v>1492</v>
      </c>
      <c r="B61" s="1171" t="s">
        <v>1493</v>
      </c>
      <c r="C61" s="24">
        <f ca="1">IF(项目基本情况!B11="自然人","——",IF(D61="按租金收入计税",ROUND(C48*F61,2),IF(D61="按房产原值计税",ROUND(C57*F61*0.7,2),INDIRECT("'数据-取费表'!Aj"&amp;$G$1))))</f>
        <v>211.7</v>
      </c>
      <c r="D61" s="1830" t="s">
        <v>1438</v>
      </c>
      <c r="E61" s="1171" t="s">
        <v>1494</v>
      </c>
      <c r="F61" s="366">
        <f t="shared" si="0"/>
        <v>1.2E-2</v>
      </c>
      <c r="I61" s="1930"/>
      <c r="J61" s="1930"/>
      <c r="K61" s="1930"/>
      <c r="L61" s="1930"/>
      <c r="O61" s="1896" t="s">
        <v>1045</v>
      </c>
      <c r="P61" s="1887" t="str">
        <f>K59</f>
        <v>建筑物剩余耐用年限下的土地年期修正系数Kn</v>
      </c>
      <c r="Q61" s="1888">
        <f ca="1">L59</f>
        <v>0.98399999999999999</v>
      </c>
      <c r="R61" s="1888" t="s">
        <v>1568</v>
      </c>
    </row>
    <row r="62" spans="1:18" s="1844" customFormat="1" ht="13.5" thickBot="1">
      <c r="A62" s="1203" t="s">
        <v>1495</v>
      </c>
      <c r="B62" s="1170" t="s">
        <v>1496</v>
      </c>
      <c r="C62" s="25">
        <f ca="1">IF(项目基本情况!B11="自然人","——",ROUND(F62*F63/10000,2))</f>
        <v>5.17</v>
      </c>
      <c r="D62" s="1186" t="s">
        <v>1497</v>
      </c>
      <c r="E62" s="1171" t="s">
        <v>1498</v>
      </c>
      <c r="F62" s="370">
        <f t="shared" si="0"/>
        <v>1.5</v>
      </c>
      <c r="I62" s="1931" t="s">
        <v>1569</v>
      </c>
      <c r="J62" s="1932" t="s">
        <v>1570</v>
      </c>
      <c r="K62" s="1932" t="s">
        <v>1571</v>
      </c>
      <c r="L62" s="1932" t="s">
        <v>1572</v>
      </c>
      <c r="M62" s="1933" t="s">
        <v>1573</v>
      </c>
      <c r="O62" s="1886" t="s">
        <v>1046</v>
      </c>
      <c r="P62" s="1887" t="s">
        <v>1574</v>
      </c>
      <c r="Q62" s="1888">
        <f ca="1">Q56+Q57</f>
        <v>101617</v>
      </c>
      <c r="R62" s="1888" t="s">
        <v>1047</v>
      </c>
    </row>
    <row r="63" spans="1:18" s="1844" customFormat="1" ht="13.5" thickBot="1">
      <c r="A63" s="371"/>
      <c r="B63" s="1177"/>
      <c r="C63" s="29"/>
      <c r="D63" s="1187"/>
      <c r="E63" s="1171" t="s">
        <v>1499</v>
      </c>
      <c r="F63" s="347">
        <f t="shared" ca="1" si="0"/>
        <v>34445.57</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ROUND(C57*F64,1)</f>
        <v>378</v>
      </c>
      <c r="D64" s="1185" t="s">
        <v>1502</v>
      </c>
      <c r="E64" s="1171" t="s">
        <v>1494</v>
      </c>
      <c r="F64" s="373">
        <f t="shared" ca="1" si="0"/>
        <v>1.4999999999999999E-2</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ROUND(C56*F65,1)</f>
        <v>33.299999999999997</v>
      </c>
      <c r="D65" s="1185" t="s">
        <v>1454</v>
      </c>
      <c r="E65" s="1171" t="s">
        <v>1455</v>
      </c>
      <c r="F65" s="375">
        <f t="shared" ca="1" si="0"/>
        <v>1.5E-3</v>
      </c>
      <c r="I65" s="1931" t="s">
        <v>1578</v>
      </c>
      <c r="J65" s="1932">
        <v>40</v>
      </c>
      <c r="K65" s="1932">
        <v>30</v>
      </c>
      <c r="L65" s="1932">
        <v>50</v>
      </c>
      <c r="M65" s="1934">
        <v>0.02</v>
      </c>
      <c r="O65" s="1886" t="s">
        <v>1040</v>
      </c>
      <c r="P65" s="1887" t="s">
        <v>1579</v>
      </c>
      <c r="Q65" s="1888">
        <f ca="1">C40+J29</f>
        <v>101617</v>
      </c>
      <c r="R65" s="1888" t="s">
        <v>1529</v>
      </c>
    </row>
    <row r="66" spans="1:18" s="1844" customFormat="1" ht="16.5" thickBot="1">
      <c r="A66" s="1203" t="s">
        <v>1504</v>
      </c>
      <c r="B66" s="1171" t="s">
        <v>1439</v>
      </c>
      <c r="C66" s="24">
        <f ca="1">ROUND(C48*F66,1)</f>
        <v>51.9</v>
      </c>
      <c r="D66" s="1185" t="s">
        <v>1505</v>
      </c>
      <c r="E66" s="1171" t="s">
        <v>1422</v>
      </c>
      <c r="F66" s="356">
        <f t="shared" ca="1" si="0"/>
        <v>0.01</v>
      </c>
      <c r="O66" s="1886" t="s">
        <v>1041</v>
      </c>
      <c r="P66" s="1887" t="s">
        <v>1557</v>
      </c>
      <c r="Q66" s="1888">
        <f ca="1">L60</f>
        <v>0</v>
      </c>
      <c r="R66" s="1888" t="s">
        <v>1580</v>
      </c>
    </row>
    <row r="67" spans="1:18" s="1844" customFormat="1" ht="16.5" thickBot="1">
      <c r="A67" s="1178" t="s">
        <v>1031</v>
      </c>
      <c r="B67" s="1188" t="s">
        <v>1463</v>
      </c>
      <c r="C67" s="360">
        <f ca="1">C48-C58</f>
        <v>4242</v>
      </c>
      <c r="D67" s="1184" t="s">
        <v>1464</v>
      </c>
      <c r="E67" s="1189"/>
      <c r="F67" s="1190"/>
      <c r="O67" s="1896" t="s">
        <v>1042</v>
      </c>
      <c r="P67" s="1887" t="s">
        <v>1561</v>
      </c>
      <c r="Q67" s="1935">
        <f ca="1">L51</f>
        <v>45093</v>
      </c>
      <c r="R67" s="1888" t="s">
        <v>1581</v>
      </c>
    </row>
    <row r="68" spans="1:18" s="1844" customFormat="1" ht="16.5" thickBot="1">
      <c r="A68" s="1168" t="s">
        <v>1032</v>
      </c>
      <c r="B68" s="1169" t="s">
        <v>1485</v>
      </c>
      <c r="C68" s="345">
        <f ca="1">ROUND(C67*(1-((1+F70)/(1+F68))^F69)/(F68-F70),0)</f>
        <v>49981</v>
      </c>
      <c r="D68" s="1186" t="s">
        <v>1469</v>
      </c>
      <c r="E68" s="1171" t="s">
        <v>1470</v>
      </c>
      <c r="F68" s="356">
        <f ca="1">F40</f>
        <v>5.5E-2</v>
      </c>
      <c r="O68" s="1896" t="s">
        <v>1043</v>
      </c>
      <c r="P68" s="1936" t="s">
        <v>1582</v>
      </c>
      <c r="Q68" s="1888">
        <f ca="1">ROUND(Q69-Q70*Q71,0)</f>
        <v>2734</v>
      </c>
      <c r="R68" s="1888" t="s">
        <v>1051</v>
      </c>
    </row>
    <row r="69" spans="1:18" s="1844" customFormat="1" ht="13.5" thickBot="1">
      <c r="A69" s="1172"/>
      <c r="B69" s="1173"/>
      <c r="C69" s="350"/>
      <c r="D69" s="1191" t="s">
        <v>1473</v>
      </c>
      <c r="E69" s="1171" t="s">
        <v>1474</v>
      </c>
      <c r="F69" s="378">
        <f ca="1">F41</f>
        <v>14.55</v>
      </c>
      <c r="O69" s="1896" t="s">
        <v>1048</v>
      </c>
      <c r="P69" s="1936" t="s">
        <v>1583</v>
      </c>
      <c r="Q69" s="1888">
        <f ca="1">C39</f>
        <v>4619</v>
      </c>
      <c r="R69" s="1888" t="s">
        <v>1529</v>
      </c>
    </row>
    <row r="70" spans="1:18" s="1844" customFormat="1" ht="13.5" thickBot="1">
      <c r="A70" s="1175"/>
      <c r="B70" s="1176"/>
      <c r="C70" s="354"/>
      <c r="D70" s="1187"/>
      <c r="E70" s="1171" t="s">
        <v>1477</v>
      </c>
      <c r="F70" s="1277">
        <f>'数据-取费表'!AA6</f>
        <v>0.03</v>
      </c>
      <c r="O70" s="1896" t="s">
        <v>1049</v>
      </c>
      <c r="P70" s="1936" t="s">
        <v>1584</v>
      </c>
      <c r="Q70" s="1888">
        <f ca="1">C13</f>
        <v>22178</v>
      </c>
      <c r="R70" s="1888" t="s">
        <v>1529</v>
      </c>
    </row>
    <row r="71" spans="1:18" s="1844" customFormat="1" ht="13.5" thickBot="1">
      <c r="A71" s="1192" t="s">
        <v>1033</v>
      </c>
      <c r="B71" s="1193" t="s">
        <v>1487</v>
      </c>
      <c r="C71" s="381">
        <f ca="1">ROUND(C68*10000/F71,0)</f>
        <v>10445</v>
      </c>
      <c r="D71" s="1194" t="s">
        <v>1488</v>
      </c>
      <c r="E71" s="1195" t="s">
        <v>1489</v>
      </c>
      <c r="F71" s="384">
        <f ca="1">F43</f>
        <v>47850.3</v>
      </c>
      <c r="O71" s="1896" t="s">
        <v>1050</v>
      </c>
      <c r="P71" s="1936" t="s">
        <v>1585</v>
      </c>
      <c r="Q71" s="1899">
        <f ca="1">C76</f>
        <v>8.5000000000000006E-2</v>
      </c>
      <c r="R71" s="1888"/>
    </row>
    <row r="72" spans="1:18" s="1844" customFormat="1" ht="13.5" thickBot="1">
      <c r="B72" s="795"/>
      <c r="C72" s="795"/>
      <c r="O72" s="1896" t="s">
        <v>1044</v>
      </c>
      <c r="P72" s="1887" t="s">
        <v>1563</v>
      </c>
      <c r="Q72" s="1899">
        <f ca="1">L52</f>
        <v>4.8000000000000001E-2</v>
      </c>
      <c r="R72" s="1888"/>
    </row>
    <row r="73" spans="1:18" ht="16.5" thickBot="1">
      <c r="A73" s="1844"/>
      <c r="B73" s="795"/>
      <c r="C73" s="795"/>
      <c r="D73" s="1844"/>
      <c r="E73" s="1844"/>
      <c r="F73" s="1844"/>
      <c r="O73" s="1896" t="s">
        <v>1045</v>
      </c>
      <c r="P73" s="1887" t="s">
        <v>1566</v>
      </c>
      <c r="Q73" s="1888">
        <f ca="1">L58</f>
        <v>0.89859999999999995</v>
      </c>
      <c r="R73" s="1888" t="s">
        <v>1567</v>
      </c>
    </row>
    <row r="74" spans="1:18" ht="13.5" thickBot="1">
      <c r="A74" s="1844"/>
      <c r="B74" s="316" t="s">
        <v>1586</v>
      </c>
      <c r="C74" s="1938"/>
      <c r="D74" s="1844"/>
      <c r="E74" s="1844"/>
      <c r="F74" s="1844"/>
      <c r="O74" s="1896" t="s">
        <v>1052</v>
      </c>
      <c r="P74" s="1887" t="str">
        <f>K59</f>
        <v>建筑物剩余耐用年限下的土地年期修正系数Kn</v>
      </c>
      <c r="Q74" s="1888">
        <f ca="1">L59</f>
        <v>0.98399999999999999</v>
      </c>
      <c r="R74" s="1888" t="s">
        <v>1568</v>
      </c>
    </row>
    <row r="75" spans="1:18" ht="13.5" thickBot="1">
      <c r="A75" s="1844"/>
      <c r="B75" s="385" t="s">
        <v>1506</v>
      </c>
      <c r="C75" s="386">
        <f ca="1">ROUND(C13*C76,0)</f>
        <v>1885</v>
      </c>
      <c r="D75" s="1844"/>
      <c r="E75" s="1844"/>
      <c r="F75" s="1844"/>
      <c r="K75" s="1870"/>
      <c r="L75" s="1844"/>
      <c r="O75" s="1886" t="s">
        <v>1046</v>
      </c>
      <c r="P75" s="1887" t="s">
        <v>1549</v>
      </c>
      <c r="Q75" s="1888">
        <f ca="1">Q65+Q66</f>
        <v>101617</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0.59200000000000008</v>
      </c>
    </row>
    <row r="80" spans="1:18">
      <c r="B80" s="385" t="s">
        <v>1511</v>
      </c>
      <c r="C80" s="317">
        <f ca="1">ROUND(C75/C39,3)</f>
        <v>0.40799999999999997</v>
      </c>
    </row>
    <row r="81" spans="2:3">
      <c r="B81" s="313" t="s">
        <v>1512</v>
      </c>
      <c r="C81" s="281"/>
    </row>
    <row r="82" spans="2:3">
      <c r="B82" s="316" t="s">
        <v>1513</v>
      </c>
      <c r="C82" s="318">
        <f ca="1">1-C83</f>
        <v>0.56699999999999995</v>
      </c>
    </row>
    <row r="83" spans="2:3">
      <c r="B83" s="316" t="s">
        <v>1514</v>
      </c>
      <c r="C83" s="317">
        <f ca="1">ROUND(C13/C40,3)</f>
        <v>0.433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1588</v>
      </c>
      <c r="B1" s="781"/>
      <c r="C1" s="1839"/>
      <c r="D1" s="1822"/>
      <c r="E1" s="1823" t="s">
        <v>1387</v>
      </c>
      <c r="F1" s="1285" t="b">
        <f>J53</f>
        <v>0</v>
      </c>
      <c r="G1" s="183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3" t="s">
        <v>1587</v>
      </c>
      <c r="I3" s="1842"/>
      <c r="J3" s="1842"/>
      <c r="K3" s="1843"/>
      <c r="L3" s="1842"/>
      <c r="M3" s="1842"/>
    </row>
    <row r="4" spans="1:37" ht="18" customHeight="1">
      <c r="A4" s="339" t="s">
        <v>1594</v>
      </c>
      <c r="B4" s="340" t="s">
        <v>1595</v>
      </c>
      <c r="C4" s="340" t="s">
        <v>1596</v>
      </c>
      <c r="D4" s="340" t="s">
        <v>1597</v>
      </c>
      <c r="E4" s="341" t="s">
        <v>1598</v>
      </c>
      <c r="F4" s="342"/>
      <c r="G4" s="1853"/>
      <c r="H4" s="339" t="s">
        <v>1594</v>
      </c>
      <c r="I4" s="340" t="s">
        <v>1595</v>
      </c>
      <c r="J4" s="340" t="s">
        <v>1596</v>
      </c>
      <c r="K4" s="340" t="s">
        <v>1597</v>
      </c>
      <c r="L4" s="341" t="s">
        <v>1598</v>
      </c>
      <c r="M4" s="342"/>
    </row>
    <row r="5" spans="1:37" ht="18" customHeight="1">
      <c r="A5" s="343">
        <v>1</v>
      </c>
      <c r="B5" s="344" t="s">
        <v>1599</v>
      </c>
      <c r="C5" s="1294">
        <f ca="1">C6+C10+C12</f>
        <v>0</v>
      </c>
      <c r="D5" s="1824" t="s">
        <v>1600</v>
      </c>
      <c r="E5" s="1295"/>
      <c r="F5" s="1296"/>
      <c r="G5" s="1853"/>
      <c r="H5" s="343">
        <v>1</v>
      </c>
      <c r="I5" s="344" t="s">
        <v>1599</v>
      </c>
      <c r="J5" s="1294">
        <f ca="1">J6+J10+J12</f>
        <v>0</v>
      </c>
      <c r="K5" s="1824" t="s">
        <v>1600</v>
      </c>
      <c r="L5" s="1295"/>
      <c r="M5" s="1296"/>
    </row>
    <row r="6" spans="1:37" ht="18" customHeight="1">
      <c r="A6" s="1293" t="s">
        <v>1035</v>
      </c>
      <c r="B6" s="3277" t="s">
        <v>1403</v>
      </c>
      <c r="C6" s="1298">
        <f ca="1">ROUND(F6*F8*F7*(1-F9),0)</f>
        <v>0</v>
      </c>
      <c r="D6" s="163" t="s">
        <v>3012</v>
      </c>
      <c r="E6" s="346" t="s">
        <v>1405</v>
      </c>
      <c r="F6" s="347">
        <f ca="1">INDIRECT("'数据-取费表'!u"&amp;$G$1)</f>
        <v>0</v>
      </c>
      <c r="G6" s="1853"/>
      <c r="H6" s="1293" t="s">
        <v>1035</v>
      </c>
      <c r="I6" s="3277" t="s">
        <v>1403</v>
      </c>
      <c r="J6" s="345">
        <f ca="1">ROUND(M6*M8*M7*(1-M9),0)</f>
        <v>0</v>
      </c>
      <c r="K6" s="1836" t="s">
        <v>3015</v>
      </c>
      <c r="L6" s="346" t="s">
        <v>1405</v>
      </c>
      <c r="M6" s="347">
        <f ca="1">INDIRECT("'数据-取费表'!z"&amp;$G$1)</f>
        <v>0</v>
      </c>
    </row>
    <row r="7" spans="1:37" ht="18" customHeight="1">
      <c r="A7" s="1297"/>
      <c r="B7" s="3278"/>
      <c r="C7" s="1299"/>
      <c r="D7" s="351"/>
      <c r="E7" s="1300" t="s">
        <v>1406</v>
      </c>
      <c r="F7" s="347">
        <f ca="1">IF(INDIRECT("'数据-取费表'!ah"&amp;$G$1)="",INDIRECT("'数据-取费表'!k"&amp;$G$1),INDIRECT("'数据-取费表'!ah"&amp;$G$1))</f>
        <v>0</v>
      </c>
      <c r="G7" s="1853"/>
      <c r="H7" s="348"/>
      <c r="I7" s="3278"/>
      <c r="J7" s="350"/>
      <c r="K7" s="351"/>
      <c r="L7" s="346" t="s">
        <v>1406</v>
      </c>
      <c r="M7" s="347">
        <f ca="1">F7</f>
        <v>0</v>
      </c>
    </row>
    <row r="8" spans="1:37" ht="18" customHeight="1">
      <c r="A8" s="348"/>
      <c r="B8" s="3278"/>
      <c r="C8" s="350"/>
      <c r="D8" s="351"/>
      <c r="E8" s="346" t="s">
        <v>1407</v>
      </c>
      <c r="F8" s="347">
        <f ca="1">INDIRECT("'数据-取费表'!ai"&amp;$G$1)</f>
        <v>0</v>
      </c>
      <c r="G8" s="1853"/>
      <c r="H8" s="348"/>
      <c r="I8" s="3278"/>
      <c r="J8" s="350"/>
      <c r="K8" s="351"/>
      <c r="L8" s="346" t="s">
        <v>1407</v>
      </c>
      <c r="M8" s="347">
        <f ca="1">INDIRECT("'数据-取费表'!ai"&amp;$G$1)</f>
        <v>0</v>
      </c>
    </row>
    <row r="9" spans="1:37" ht="18" customHeight="1">
      <c r="A9" s="348"/>
      <c r="B9" s="3279"/>
      <c r="C9" s="350"/>
      <c r="D9" s="351"/>
      <c r="E9" s="346" t="s">
        <v>1408</v>
      </c>
      <c r="F9" s="356">
        <f ca="1">INDIRECT("'数据-取费表'!w"&amp;$G$1)</f>
        <v>0</v>
      </c>
      <c r="G9" s="1853"/>
      <c r="H9" s="348"/>
      <c r="I9" s="3279"/>
      <c r="J9" s="350"/>
      <c r="K9" s="351"/>
      <c r="L9" s="357" t="s">
        <v>1408</v>
      </c>
      <c r="M9" s="358">
        <f ca="1">INDIRECT("'数据-取费表'!ab"&amp;$G$1)</f>
        <v>0</v>
      </c>
    </row>
    <row r="10" spans="1:37" ht="18" customHeight="1">
      <c r="A10" s="1293" t="s">
        <v>1039</v>
      </c>
      <c r="B10" s="1825" t="s">
        <v>1409</v>
      </c>
      <c r="C10" s="360">
        <f ca="1">ROUND(IF(F10="押一",F6*F8*F7/12*F11,IF(F10="押二",F6*F8*F7/12*2*F11,IF(F10="押三",F6*F8*F7/12*3*F11,C11*F11))),0)</f>
        <v>0</v>
      </c>
      <c r="D10" s="1826" t="s">
        <v>3013</v>
      </c>
      <c r="E10" s="357" t="s">
        <v>1411</v>
      </c>
      <c r="F10" s="1368"/>
      <c r="G10" s="1853"/>
      <c r="H10" s="1293" t="s">
        <v>1039</v>
      </c>
      <c r="I10" s="1825" t="s">
        <v>1409</v>
      </c>
      <c r="J10" s="345">
        <f ca="1">ROUND(IF(M10="押一",M6*M8*M7/12*M11,IF(M10="押二",M6*M8*M7/12*2*M11,IF(M10="押三",M6*M8*M7/12*3*M11,J11*M11))),0)</f>
        <v>0</v>
      </c>
      <c r="K10" s="1837" t="s">
        <v>3014</v>
      </c>
      <c r="L10" s="357" t="s">
        <v>1411</v>
      </c>
      <c r="M10" s="1368"/>
    </row>
    <row r="11" spans="1:37" ht="18" customHeight="1">
      <c r="A11" s="352"/>
      <c r="B11" s="1827" t="s">
        <v>1601</v>
      </c>
      <c r="C11" s="1180"/>
      <c r="D11" s="351"/>
      <c r="E11" s="357" t="s">
        <v>1412</v>
      </c>
      <c r="F11" s="358">
        <f ca="1">'数据-取费表'!B39</f>
        <v>1.4999999999999999E-2</v>
      </c>
      <c r="G11" s="1853"/>
      <c r="H11" s="1301"/>
      <c r="I11" s="1827" t="s">
        <v>1602</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0</v>
      </c>
      <c r="D14" s="1802" t="s">
        <v>1418</v>
      </c>
      <c r="E14" s="1796"/>
      <c r="F14" s="363"/>
      <c r="G14" s="1853"/>
      <c r="H14" s="1203" t="s">
        <v>1035</v>
      </c>
      <c r="I14" s="346" t="s">
        <v>1419</v>
      </c>
      <c r="J14" s="24">
        <f ca="1">C29</f>
        <v>0</v>
      </c>
      <c r="K14" s="15"/>
      <c r="L14" s="981"/>
      <c r="M14" s="982"/>
    </row>
    <row r="15" spans="1:37" s="1860" customFormat="1" ht="18" customHeight="1" thickBot="1">
      <c r="A15" s="1203" t="s">
        <v>1036</v>
      </c>
      <c r="B15" s="346" t="s">
        <v>1420</v>
      </c>
      <c r="C15" s="24">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4">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4">
        <f ca="1">ROUND(F17*(F43+INDIRECT("'数据-取费表'!S"&amp;$G$1)),0)</f>
        <v>0</v>
      </c>
      <c r="D17" s="346" t="s">
        <v>1427</v>
      </c>
      <c r="E17" s="346" t="s">
        <v>1428</v>
      </c>
      <c r="F17" s="26">
        <f>'数据-取费表'!B35</f>
        <v>200</v>
      </c>
      <c r="G17" s="1856"/>
      <c r="H17" s="1203" t="s">
        <v>1035</v>
      </c>
      <c r="I17" s="346" t="s">
        <v>1429</v>
      </c>
      <c r="J17" s="24">
        <f ca="1">ROUND(IF(项目基本情况!B11="自然人",J5*M17,J18+J19+J20),0)</f>
        <v>0</v>
      </c>
      <c r="K17" s="1802" t="s">
        <v>1430</v>
      </c>
      <c r="L17" s="1800" t="s">
        <v>1431</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4">
        <f ca="1">ROUND(C14*F18,0)</f>
        <v>0</v>
      </c>
      <c r="D18" s="346" t="s">
        <v>1421</v>
      </c>
      <c r="E18" s="346" t="s">
        <v>1422</v>
      </c>
      <c r="F18" s="366">
        <f>'数据-取费表'!B36</f>
        <v>1.4999999999999999E-2</v>
      </c>
      <c r="G18" s="1856"/>
      <c r="H18" s="1203" t="s">
        <v>1034</v>
      </c>
      <c r="I18" s="346" t="s">
        <v>1433</v>
      </c>
      <c r="J18" s="24">
        <f ca="1">ROUND(J5*M18/(1+'数据-取费表'!C42),0)</f>
        <v>0</v>
      </c>
      <c r="K18" s="1800" t="s">
        <v>1434</v>
      </c>
      <c r="L18" s="346" t="s">
        <v>1422</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4">
        <f ca="1">SUM(C14:C18)</f>
        <v>0</v>
      </c>
      <c r="D19" s="139" t="s">
        <v>1436</v>
      </c>
      <c r="E19" s="1820"/>
      <c r="F19" s="26"/>
      <c r="G19" s="1853"/>
      <c r="H19" s="1203" t="s">
        <v>1036</v>
      </c>
      <c r="I19" s="346" t="s">
        <v>1437</v>
      </c>
      <c r="J19" s="24">
        <f ca="1">IF(K19="按租金收入计税",ROUND(J5*M19,0),ROUND(C29*M19*0.7,0))</f>
        <v>0</v>
      </c>
      <c r="K19" s="1830" t="s">
        <v>1438</v>
      </c>
      <c r="L19" s="346" t="s">
        <v>1422</v>
      </c>
      <c r="M19" s="366">
        <f>IF(K19="按租金收入计税",'数据-取费表'!B51,'数据-取费表'!B50)</f>
        <v>1.2E-2</v>
      </c>
    </row>
    <row r="20" spans="1:37" s="1860" customFormat="1" ht="18" customHeight="1">
      <c r="A20" s="1203" t="s">
        <v>1039</v>
      </c>
      <c r="B20" s="346" t="s">
        <v>1439</v>
      </c>
      <c r="C20" s="24">
        <f ca="1">ROUND(C19*F20,0)</f>
        <v>0</v>
      </c>
      <c r="D20" s="368" t="s">
        <v>1440</v>
      </c>
      <c r="E20" s="346" t="s">
        <v>1422</v>
      </c>
      <c r="F20" s="366">
        <f>'数据-取费表'!B37</f>
        <v>0.02</v>
      </c>
      <c r="G20" s="1856"/>
      <c r="H20" s="1203" t="s">
        <v>1389</v>
      </c>
      <c r="I20" s="163" t="s">
        <v>1441</v>
      </c>
      <c r="J20" s="25">
        <f ca="1">ROUND(M20*M21,0)</f>
        <v>0</v>
      </c>
      <c r="K20" s="369" t="s">
        <v>1442</v>
      </c>
      <c r="L20" s="346" t="s">
        <v>1443</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4" t="s">
        <v>1</v>
      </c>
      <c r="D21" s="368" t="s">
        <v>1445</v>
      </c>
      <c r="E21" s="346" t="s">
        <v>1446</v>
      </c>
      <c r="F21" s="366">
        <f>'数据-取费表'!B38</f>
        <v>0.02</v>
      </c>
      <c r="G21" s="1856"/>
      <c r="H21" s="371"/>
      <c r="I21" s="355"/>
      <c r="J21" s="29"/>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4"/>
      <c r="D22" s="139" t="str">
        <f>IF(F23&lt;=1,"单利计息。","复利计息。")&amp;"建造成本、管理费用、销售费用产生的利息。"</f>
        <v>复利计息。建造成本、管理费用、销售费用产生的利息。</v>
      </c>
      <c r="E22" s="1820"/>
      <c r="F22" s="26"/>
      <c r="G22" s="1853"/>
      <c r="H22" s="1203" t="s">
        <v>1039</v>
      </c>
      <c r="I22" s="346" t="s">
        <v>1449</v>
      </c>
      <c r="J22" s="24">
        <f ca="1">ROUND(J14*M22,0)</f>
        <v>0</v>
      </c>
      <c r="K22" s="1800" t="s">
        <v>1450</v>
      </c>
      <c r="L22" s="346" t="s">
        <v>1422</v>
      </c>
      <c r="M22" s="373">
        <f ca="1">INDIRECT("'数据-取费表'!Ak"&amp;$G$1)</f>
        <v>0</v>
      </c>
    </row>
    <row r="23" spans="1:37" s="1860" customFormat="1" ht="18" customHeight="1">
      <c r="A23" s="1203" t="s">
        <v>1034</v>
      </c>
      <c r="B23" s="346" t="s">
        <v>1451</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1.5</v>
      </c>
      <c r="G23" s="1856"/>
      <c r="H23" s="1203" t="s">
        <v>1075</v>
      </c>
      <c r="I23" s="346" t="s">
        <v>1453</v>
      </c>
      <c r="J23" s="24">
        <f ca="1">ROUND(J13*M23,0)</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4">
        <f ca="1">ROUND(IF('数据-取费表'!B22&lt;=1,F21*F24*F23/2,F21*(POWER((1+F24),F23/2)-1)),4)</f>
        <v>6.9999999999999999E-4</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4"/>
      <c r="D25" s="139" t="s">
        <v>1462</v>
      </c>
      <c r="E25" s="1820"/>
      <c r="F25" s="26"/>
      <c r="G25" s="1853"/>
      <c r="H25" s="1331" t="s">
        <v>1031</v>
      </c>
      <c r="I25" s="1346" t="s">
        <v>1463</v>
      </c>
      <c r="J25" s="354">
        <f ca="1">J5-J16</f>
        <v>0</v>
      </c>
      <c r="K25" s="1347" t="s">
        <v>1464</v>
      </c>
      <c r="L25" s="1348"/>
      <c r="M25" s="1349"/>
    </row>
    <row r="26" spans="1:37" ht="18" customHeight="1">
      <c r="A26" s="1203" t="s">
        <v>1034</v>
      </c>
      <c r="B26" s="346" t="s">
        <v>1465</v>
      </c>
      <c r="C26" s="24">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4">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4">
        <f>ROUND(F28/(1+'数据-取费表'!C42),4)</f>
        <v>5.2400000000000002E-2</v>
      </c>
      <c r="D28" s="368" t="s">
        <v>1476</v>
      </c>
      <c r="E28" s="346" t="s">
        <v>1422</v>
      </c>
      <c r="F28" s="366">
        <f>'数据-取费表'!B41</f>
        <v>5.5000000000000007E-2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4">
        <f ca="1">ROUND(IF(项目基本情况!B11="自然人",C5*F31,C32+C33+C34),0)</f>
        <v>0</v>
      </c>
      <c r="D31" s="1802" t="s">
        <v>1430</v>
      </c>
      <c r="E31" s="1800" t="s">
        <v>1481</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1433</v>
      </c>
      <c r="C32" s="24">
        <f ca="1">IF(项目基本情况!B11="自然人","——",ROUND(C5*F32/(1+'数据-取费表'!C42),0))</f>
        <v>0</v>
      </c>
      <c r="D32" s="1800" t="s">
        <v>1434</v>
      </c>
      <c r="E32" s="346" t="s">
        <v>1422</v>
      </c>
      <c r="F32" s="376">
        <f>'数据-取费表'!B41</f>
        <v>5.5000000000000007E-2</v>
      </c>
      <c r="G32" s="1853"/>
      <c r="H32" s="744"/>
      <c r="I32" s="745"/>
      <c r="J32" s="746"/>
      <c r="K32" s="747"/>
      <c r="L32" s="748"/>
      <c r="M32" s="749"/>
    </row>
    <row r="33" spans="1:18" ht="18" customHeight="1">
      <c r="A33" s="1203" t="s">
        <v>1036</v>
      </c>
      <c r="B33" s="346" t="s">
        <v>1437</v>
      </c>
      <c r="C33" s="24">
        <f ca="1">IF(项目基本情况!B11="自然人","——",IF(D33="按租金收入计税",ROUND(C5*F33,0),IF(D33="按房产原值计税",ROUND(C29*F33*0.7,0),INDIRECT("'数据-取费表'!Aj"&amp;$G$1))))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5">
        <f ca="1">IF(项目基本情况!B11="自然人","——",ROUND(F34*F35,))</f>
        <v>0</v>
      </c>
      <c r="D34" s="369" t="s">
        <v>1442</v>
      </c>
      <c r="E34" s="346" t="s">
        <v>1443</v>
      </c>
      <c r="F34" s="370">
        <f>'数据-取费表'!B52</f>
        <v>1.5</v>
      </c>
      <c r="G34" s="1853"/>
      <c r="H34" s="744"/>
      <c r="I34" s="1862"/>
      <c r="J34" s="1863"/>
      <c r="K34" s="1865"/>
      <c r="L34" s="1866"/>
      <c r="M34" s="1866"/>
    </row>
    <row r="35" spans="1:18" ht="18" customHeight="1">
      <c r="A35" s="1355"/>
      <c r="B35" s="1353"/>
      <c r="C35" s="29"/>
      <c r="D35" s="372"/>
      <c r="E35" s="346" t="s">
        <v>1447</v>
      </c>
      <c r="F35" s="347">
        <f ca="1">INDIRECT("'数据-取费表'!r"&amp;$G$1)</f>
        <v>0</v>
      </c>
      <c r="G35" s="1853"/>
      <c r="H35" s="744"/>
      <c r="I35" s="1862"/>
      <c r="J35" s="1863"/>
      <c r="K35" s="1864"/>
      <c r="L35" s="1861"/>
      <c r="M35" s="1861"/>
    </row>
    <row r="36" spans="1:18" ht="18" customHeight="1">
      <c r="A36" s="1354" t="s">
        <v>1039</v>
      </c>
      <c r="B36" s="346" t="s">
        <v>1449</v>
      </c>
      <c r="C36" s="24">
        <f ca="1">ROUND(C29*F36,0)</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4">
        <f ca="1">ROUND(C13*F37,0)</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1519</v>
      </c>
      <c r="P45" s="1841"/>
      <c r="Q45" s="1841"/>
      <c r="R45" s="1841"/>
    </row>
    <row r="46" spans="1:18" s="1844" customFormat="1" ht="13.5" thickBot="1">
      <c r="A46" s="1872" t="s">
        <v>1520</v>
      </c>
      <c r="C46" s="1873" t="e">
        <f ca="1">ROUND(C45/10000,0)</f>
        <v>#DIV/0!</v>
      </c>
      <c r="D46" s="1874" t="str">
        <f>C2</f>
        <v>万元</v>
      </c>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201"/>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30.75" customHeight="1" thickBot="1">
      <c r="A53" s="1363" t="s">
        <v>1137</v>
      </c>
      <c r="B53" s="368" t="s">
        <v>1409</v>
      </c>
      <c r="C53" s="360">
        <f ca="1">ROUND(IF(F53="押一",F49*F51*F50/12*F11,IF(F53="押二",F49*F51*F50/12*2*F11,IF(F53="押三",F49*F51*F50/12*3*F11,C54*F11))),0)</f>
        <v>0</v>
      </c>
      <c r="D53" s="1826" t="s">
        <v>1410</v>
      </c>
      <c r="E53" s="357" t="s">
        <v>1411</v>
      </c>
      <c r="F53" s="1368"/>
      <c r="I53" s="1907" t="s">
        <v>1547</v>
      </c>
      <c r="J53" s="1908" t="b">
        <f>IF(M47="住宅",J51,IF(D1="——",MIN(J51,L48),IF(D1="在建（套用方法）",MIN(J51,L48-'数据-取费表'!B24),IF(D1="土地（套用方法）",MIN(J51,L48-'数据-取费表'!B20)))))</f>
        <v>0</v>
      </c>
      <c r="K53" s="3275" t="s">
        <v>1548</v>
      </c>
      <c r="L53" s="3276"/>
      <c r="O53" s="1886" t="s">
        <v>1046</v>
      </c>
      <c r="P53" s="1887" t="s">
        <v>1549</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0</v>
      </c>
      <c r="D56" s="1916"/>
      <c r="E56" s="1917"/>
      <c r="F56" s="1909"/>
      <c r="I56" s="1918" t="s">
        <v>1553</v>
      </c>
      <c r="J56" s="1919"/>
      <c r="K56" s="1889" t="s">
        <v>1554</v>
      </c>
      <c r="L56" s="1892">
        <f ca="1">IF(L48&lt;J51,"——",L48-J51)</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59" t="s">
        <v>1030</v>
      </c>
      <c r="B58" s="1179" t="s">
        <v>1424</v>
      </c>
      <c r="C58" s="360">
        <f ca="1">ROUND(C59+C64+C65+C66,0)</f>
        <v>0</v>
      </c>
      <c r="D58" s="1181" t="s">
        <v>1425</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1529</v>
      </c>
    </row>
    <row r="59" spans="1:18" s="1844" customFormat="1" ht="24.75" thickBot="1">
      <c r="A59" s="1203" t="s">
        <v>1035</v>
      </c>
      <c r="B59" s="1171" t="s">
        <v>1429</v>
      </c>
      <c r="C59" s="24">
        <f ca="1">ROUND(IF(项目基本情况!B11="自然人",C48*F59,C60+C61+C62),0)</f>
        <v>0</v>
      </c>
      <c r="D59" s="1184" t="s">
        <v>1430</v>
      </c>
      <c r="E59" s="1185" t="s">
        <v>1431</v>
      </c>
      <c r="F59" s="367"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6">
        <f t="shared" ref="F60:F66" si="0">F32</f>
        <v>5.5000000000000007E-2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1492</v>
      </c>
      <c r="B61" s="1171" t="s">
        <v>1493</v>
      </c>
      <c r="C61" s="24">
        <f ca="1">IF(项目基本情况!B11="自然人","——",IF(D61="按租金收入计税",ROUND(C48*F61,0),IF(D61="按房产原值计税",ROUND(C57*F61*0.7,0),INDIRECT("'数据-取费表'!Aj"&amp;$G$1))))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1495</v>
      </c>
      <c r="B62" s="1170" t="s">
        <v>1496</v>
      </c>
      <c r="C62" s="25">
        <f ca="1">IF(项目基本情况!B11="自然人","——",ROUND(F62*F63,0))</f>
        <v>0</v>
      </c>
      <c r="D62" s="1186" t="s">
        <v>1497</v>
      </c>
      <c r="E62" s="1171" t="s">
        <v>1498</v>
      </c>
      <c r="F62" s="370">
        <f t="shared" si="0"/>
        <v>1.5</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1"/>
      <c r="B63" s="1177"/>
      <c r="C63" s="29"/>
      <c r="D63" s="1187"/>
      <c r="E63" s="1171" t="s">
        <v>1499</v>
      </c>
      <c r="F63" s="347">
        <f t="shared" ca="1" si="0"/>
        <v>0</v>
      </c>
      <c r="I63" s="1931" t="s">
        <v>1575</v>
      </c>
      <c r="J63" s="1932">
        <v>70</v>
      </c>
      <c r="K63" s="1932">
        <v>50</v>
      </c>
      <c r="L63" s="1932">
        <v>80</v>
      </c>
      <c r="M63" s="1934">
        <v>0.02</v>
      </c>
      <c r="O63" s="1871" t="s">
        <v>1576</v>
      </c>
      <c r="P63" s="1841"/>
      <c r="Q63" s="1841"/>
      <c r="R63" s="1841"/>
    </row>
    <row r="64" spans="1:18" s="1844" customFormat="1" ht="13.5" thickBot="1">
      <c r="A64" s="1203" t="s">
        <v>1500</v>
      </c>
      <c r="B64" s="1171" t="s">
        <v>1501</v>
      </c>
      <c r="C64" s="24">
        <f ca="1">ROUND(C57*F64,0)</f>
        <v>0</v>
      </c>
      <c r="D64" s="1185" t="s">
        <v>1502</v>
      </c>
      <c r="E64" s="1171" t="s">
        <v>1494</v>
      </c>
      <c r="F64" s="373">
        <f t="shared" ca="1" si="0"/>
        <v>0</v>
      </c>
      <c r="I64" s="1931" t="s">
        <v>1577</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0</v>
      </c>
      <c r="D65" s="1185" t="s">
        <v>1454</v>
      </c>
      <c r="E65" s="1171" t="s">
        <v>1455</v>
      </c>
      <c r="F65" s="375">
        <f t="shared" ca="1" si="0"/>
        <v>0</v>
      </c>
      <c r="I65" s="1931" t="s">
        <v>1578</v>
      </c>
      <c r="J65" s="1932">
        <v>40</v>
      </c>
      <c r="K65" s="1932">
        <v>30</v>
      </c>
      <c r="L65" s="1932">
        <v>50</v>
      </c>
      <c r="M65" s="1934">
        <v>0.02</v>
      </c>
      <c r="O65" s="1886" t="s">
        <v>1040</v>
      </c>
      <c r="P65" s="1887" t="s">
        <v>1579</v>
      </c>
      <c r="Q65" s="1888" t="e">
        <f ca="1">C40+J29</f>
        <v>#DIV/0!</v>
      </c>
      <c r="R65" s="1888" t="s">
        <v>1529</v>
      </c>
    </row>
    <row r="66" spans="1:18" s="1844" customFormat="1" ht="16.5" thickBot="1">
      <c r="A66" s="1203" t="s">
        <v>1504</v>
      </c>
      <c r="B66" s="1171" t="s">
        <v>1439</v>
      </c>
      <c r="C66" s="24">
        <f ca="1">ROUND(C48*F66,0)</f>
        <v>0</v>
      </c>
      <c r="D66" s="1185" t="s">
        <v>1505</v>
      </c>
      <c r="E66" s="1171" t="s">
        <v>1422</v>
      </c>
      <c r="F66" s="356">
        <f t="shared" ca="1" si="0"/>
        <v>0</v>
      </c>
      <c r="O66" s="1886" t="s">
        <v>1041</v>
      </c>
      <c r="P66" s="1887" t="s">
        <v>1557</v>
      </c>
      <c r="Q66" s="1888" t="e">
        <f ca="1">L60</f>
        <v>#DIV/0!</v>
      </c>
      <c r="R66" s="1888" t="s">
        <v>1580</v>
      </c>
    </row>
    <row r="67" spans="1:18" s="1844" customFormat="1" ht="16.5" thickBot="1">
      <c r="A67" s="1178" t="s">
        <v>1031</v>
      </c>
      <c r="B67" s="1188" t="s">
        <v>1463</v>
      </c>
      <c r="C67" s="360">
        <f ca="1">C48-C58</f>
        <v>0</v>
      </c>
      <c r="D67" s="1184" t="s">
        <v>1464</v>
      </c>
      <c r="E67" s="1189"/>
      <c r="F67" s="1190"/>
      <c r="O67" s="1896" t="s">
        <v>1042</v>
      </c>
      <c r="P67" s="1887" t="s">
        <v>1561</v>
      </c>
      <c r="Q67" s="1935">
        <f ca="1">L51</f>
        <v>0</v>
      </c>
      <c r="R67" s="1888" t="s">
        <v>1581</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1582</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1583</v>
      </c>
      <c r="Q69" s="1888">
        <f ca="1">C39</f>
        <v>0</v>
      </c>
      <c r="R69" s="1888" t="s">
        <v>1529</v>
      </c>
    </row>
    <row r="70" spans="1:18" s="1844" customFormat="1" ht="13.5" thickBot="1">
      <c r="A70" s="1175"/>
      <c r="B70" s="1176"/>
      <c r="C70" s="354"/>
      <c r="D70" s="1187"/>
      <c r="E70" s="1171" t="s">
        <v>1477</v>
      </c>
      <c r="F70" s="1277">
        <f ca="1">F42</f>
        <v>0</v>
      </c>
      <c r="O70" s="1896" t="s">
        <v>1049</v>
      </c>
      <c r="P70" s="1936" t="s">
        <v>1584</v>
      </c>
      <c r="Q70" s="1888">
        <f ca="1">C13</f>
        <v>0</v>
      </c>
      <c r="R70" s="1888" t="s">
        <v>1529</v>
      </c>
    </row>
    <row r="71" spans="1:18" s="1844" customFormat="1" ht="13.5" thickBot="1">
      <c r="A71" s="1192" t="s">
        <v>1033</v>
      </c>
      <c r="B71" s="1193" t="s">
        <v>1487</v>
      </c>
      <c r="C71" s="381" t="e">
        <f ca="1">ROUND(C68/F71,0)</f>
        <v>#DIV/0!</v>
      </c>
      <c r="D71" s="1194" t="s">
        <v>1488</v>
      </c>
      <c r="E71" s="1195" t="s">
        <v>1489</v>
      </c>
      <c r="F71" s="384">
        <f ca="1">F43</f>
        <v>0</v>
      </c>
      <c r="O71" s="1896" t="s">
        <v>1050</v>
      </c>
      <c r="P71" s="1936" t="s">
        <v>1585</v>
      </c>
      <c r="Q71" s="1899">
        <f ca="1">C76</f>
        <v>0</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6"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2511</v>
      </c>
      <c r="B1" s="2563"/>
      <c r="C1" s="2563"/>
      <c r="D1" s="2563"/>
      <c r="E1" s="2564"/>
    </row>
    <row r="2" spans="1:6" ht="15.75">
      <c r="A2" s="2565" t="s">
        <v>2312</v>
      </c>
      <c r="B2" s="2566">
        <f ca="1">SUMIF(B6:B13,"&lt;&gt;#ref!",B6:B13)</f>
        <v>101617</v>
      </c>
      <c r="C2" s="2567" t="s">
        <v>2504</v>
      </c>
      <c r="D2" s="2568" t="s">
        <v>2505</v>
      </c>
      <c r="E2" s="2569">
        <f>SUM(E6:E13)</f>
        <v>47850.3</v>
      </c>
    </row>
    <row r="3" spans="1:6" ht="15.75">
      <c r="A3" s="2565" t="s">
        <v>1395</v>
      </c>
      <c r="B3" s="2566">
        <f ca="1">ROUND(B2*10000/E2,0)</f>
        <v>21236</v>
      </c>
      <c r="C3" s="2567" t="s">
        <v>2512</v>
      </c>
      <c r="D3" s="2570"/>
      <c r="E3" s="2571"/>
    </row>
    <row r="4" spans="1:6" ht="15.75">
      <c r="A4" s="2572"/>
      <c r="B4" s="2570"/>
      <c r="C4" s="2570"/>
      <c r="D4" s="2570"/>
      <c r="E4" s="2571"/>
    </row>
    <row r="5" spans="1:6" ht="15">
      <c r="A5" s="2573" t="s">
        <v>2506</v>
      </c>
      <c r="B5" s="3280" t="s">
        <v>2507</v>
      </c>
      <c r="C5" s="3280"/>
      <c r="D5" s="2574"/>
      <c r="E5" s="2575" t="s">
        <v>2508</v>
      </c>
      <c r="F5" s="2576" t="s">
        <v>2509</v>
      </c>
    </row>
    <row r="6" spans="1:6">
      <c r="A6" s="2577" t="str">
        <f>'数据-取费表'!AN6</f>
        <v>收益法</v>
      </c>
      <c r="B6" s="2576">
        <f ca="1">IF(F6="是",'数据-取费表'!AO6,0)</f>
        <v>101617</v>
      </c>
      <c r="C6" s="2567" t="s">
        <v>2504</v>
      </c>
      <c r="D6" s="2570"/>
      <c r="E6" s="2578">
        <f>IF(OR(A6=0,F6="否"),0,'数据-取费表'!K6+'数据-取费表'!S6)</f>
        <v>47850.3</v>
      </c>
      <c r="F6" s="2579" t="s">
        <v>2510</v>
      </c>
    </row>
    <row r="7" spans="1:6">
      <c r="A7" s="2577">
        <f>'数据-取费表'!AN7</f>
        <v>0</v>
      </c>
      <c r="B7" s="2576" t="e">
        <f ca="1">IF(F7="是",'数据-取费表'!AO7,0)</f>
        <v>#REF!</v>
      </c>
      <c r="C7" s="2567" t="s">
        <v>2504</v>
      </c>
      <c r="D7" s="2570"/>
      <c r="E7" s="2578">
        <f>IF(OR(A7=0,F7="否"),0,'数据-取费表'!K7+'数据-取费表'!S7)</f>
        <v>0</v>
      </c>
      <c r="F7" s="2579" t="s">
        <v>2510</v>
      </c>
    </row>
    <row r="8" spans="1:6">
      <c r="A8" s="2577">
        <f>'数据-取费表'!AN8</f>
        <v>0</v>
      </c>
      <c r="B8" s="2576" t="e">
        <f ca="1">IF(F8="是",'数据-取费表'!AO8,0)</f>
        <v>#REF!</v>
      </c>
      <c r="C8" s="2567" t="s">
        <v>2504</v>
      </c>
      <c r="D8" s="2570"/>
      <c r="E8" s="2578">
        <f>IF(OR(A8=0,F8="否"),0,'数据-取费表'!K8+'数据-取费表'!S8)</f>
        <v>0</v>
      </c>
      <c r="F8" s="2579" t="s">
        <v>2510</v>
      </c>
    </row>
    <row r="9" spans="1:6">
      <c r="A9" s="2577">
        <f>'数据-取费表'!AN9</f>
        <v>0</v>
      </c>
      <c r="B9" s="2576" t="e">
        <f ca="1">IF(F9="是",'数据-取费表'!AO9,0)</f>
        <v>#REF!</v>
      </c>
      <c r="C9" s="2567" t="s">
        <v>2504</v>
      </c>
      <c r="D9" s="2570"/>
      <c r="E9" s="2578">
        <f>IF(OR(A9=0,F9="否"),0,'数据-取费表'!K9+'数据-取费表'!S9)</f>
        <v>0</v>
      </c>
      <c r="F9" s="2579" t="s">
        <v>2510</v>
      </c>
    </row>
    <row r="10" spans="1:6">
      <c r="A10" s="2577">
        <f>'数据-取费表'!AN10</f>
        <v>0</v>
      </c>
      <c r="B10" s="2576" t="e">
        <f ca="1">IF(F10="是",'数据-取费表'!AO10,0)</f>
        <v>#REF!</v>
      </c>
      <c r="C10" s="2567" t="s">
        <v>2504</v>
      </c>
      <c r="D10" s="2570"/>
      <c r="E10" s="2578">
        <f>IF(OR(A10=0,F10="否"),0,'数据-取费表'!K10+'数据-取费表'!S10)</f>
        <v>0</v>
      </c>
      <c r="F10" s="2579" t="s">
        <v>2510</v>
      </c>
    </row>
    <row r="11" spans="1:6">
      <c r="A11" s="2577">
        <f>'数据-取费表'!AN11</f>
        <v>0</v>
      </c>
      <c r="B11" s="2576" t="e">
        <f ca="1">IF(F11="是",'数据-取费表'!AO11,0)</f>
        <v>#REF!</v>
      </c>
      <c r="C11" s="2567" t="s">
        <v>2504</v>
      </c>
      <c r="D11" s="2570"/>
      <c r="E11" s="2578">
        <f>IF(OR(A11=0,F11="否"),0,'数据-取费表'!K11+'数据-取费表'!S11)</f>
        <v>0</v>
      </c>
      <c r="F11" s="2579" t="s">
        <v>2510</v>
      </c>
    </row>
    <row r="12" spans="1:6">
      <c r="A12" s="2577">
        <f>'数据-取费表'!AN12</f>
        <v>0</v>
      </c>
      <c r="B12" s="2576" t="e">
        <f ca="1">IF(F12="是",'数据-取费表'!AO12,0)</f>
        <v>#REF!</v>
      </c>
      <c r="C12" s="2567" t="s">
        <v>2504</v>
      </c>
      <c r="D12" s="2570"/>
      <c r="E12" s="2578">
        <f>IF(OR(A12=0,F12="否"),0,'数据-取费表'!K12+'数据-取费表'!S12)</f>
        <v>0</v>
      </c>
      <c r="F12" s="2579" t="s">
        <v>2510</v>
      </c>
    </row>
    <row r="13" spans="1:6" ht="15" thickBot="1">
      <c r="A13" s="2580">
        <f>'数据-取费表'!AN13</f>
        <v>0</v>
      </c>
      <c r="B13" s="2576" t="e">
        <f ca="1">IF(F13="是",'数据-取费表'!AO13,0)</f>
        <v>#REF!</v>
      </c>
      <c r="C13" s="2581" t="s">
        <v>2504</v>
      </c>
      <c r="D13" s="2582"/>
      <c r="E13" s="2578">
        <f>IF(OR(A13=0,F13="否"),0,'数据-取费表'!K13+'数据-取费表'!S13)</f>
        <v>0</v>
      </c>
      <c r="F13" s="2579" t="s">
        <v>2510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1" t="s">
        <v>1076</v>
      </c>
      <c r="B1" s="3282"/>
      <c r="C1" s="3283"/>
      <c r="D1" s="3284">
        <f>SUM(I10,I15,I20,I21,I23)</f>
        <v>0</v>
      </c>
      <c r="E1" s="3284"/>
      <c r="F1" s="3284"/>
      <c r="G1" s="3284"/>
      <c r="H1" s="3284"/>
      <c r="I1" s="3285"/>
    </row>
    <row r="2" spans="1:9">
      <c r="A2" s="3286" t="s">
        <v>1077</v>
      </c>
      <c r="B2" s="3287" t="s">
        <v>1078</v>
      </c>
      <c r="C2" s="3287"/>
      <c r="D2" s="1303" t="s">
        <v>1079</v>
      </c>
      <c r="E2" s="1303" t="s">
        <v>1080</v>
      </c>
      <c r="F2" s="1303" t="s">
        <v>1081</v>
      </c>
      <c r="G2" s="1303" t="s">
        <v>1082</v>
      </c>
      <c r="H2" s="1303" t="s">
        <v>1083</v>
      </c>
      <c r="I2" s="1304" t="s">
        <v>1084</v>
      </c>
    </row>
    <row r="3" spans="1:9">
      <c r="A3" s="3286"/>
      <c r="B3" s="3287" t="s">
        <v>1085</v>
      </c>
      <c r="C3" s="3287"/>
      <c r="D3" s="1305"/>
      <c r="E3" s="1303"/>
      <c r="F3" s="1306"/>
      <c r="G3" s="1306"/>
      <c r="H3" s="1307"/>
      <c r="I3" s="1308">
        <f>ROUND(D3*E3*F3*G3*H3/10000,0)</f>
        <v>0</v>
      </c>
    </row>
    <row r="4" spans="1:9">
      <c r="A4" s="3286"/>
      <c r="B4" s="3287" t="s">
        <v>1086</v>
      </c>
      <c r="C4" s="3287"/>
      <c r="D4" s="1305"/>
      <c r="E4" s="1303"/>
      <c r="F4" s="1306"/>
      <c r="G4" s="1306"/>
      <c r="H4" s="1307"/>
      <c r="I4" s="1308">
        <f t="shared" ref="I4:I9" si="0">ROUND(D4*E4*F4*G4*H4/10000,0)</f>
        <v>0</v>
      </c>
    </row>
    <row r="5" spans="1:9">
      <c r="A5" s="3286"/>
      <c r="B5" s="3287" t="s">
        <v>1087</v>
      </c>
      <c r="C5" s="3287"/>
      <c r="D5" s="1305"/>
      <c r="E5" s="1303"/>
      <c r="F5" s="1306"/>
      <c r="G5" s="1306"/>
      <c r="H5" s="1307"/>
      <c r="I5" s="1308">
        <f t="shared" si="0"/>
        <v>0</v>
      </c>
    </row>
    <row r="6" spans="1:9">
      <c r="A6" s="3286"/>
      <c r="B6" s="3287" t="s">
        <v>1088</v>
      </c>
      <c r="C6" s="3287"/>
      <c r="D6" s="1305"/>
      <c r="E6" s="1303"/>
      <c r="F6" s="1306"/>
      <c r="G6" s="1306"/>
      <c r="H6" s="1307"/>
      <c r="I6" s="1308">
        <f t="shared" si="0"/>
        <v>0</v>
      </c>
    </row>
    <row r="7" spans="1:9">
      <c r="A7" s="3286"/>
      <c r="B7" s="3287" t="s">
        <v>1089</v>
      </c>
      <c r="C7" s="3287"/>
      <c r="D7" s="1305"/>
      <c r="E7" s="1303"/>
      <c r="F7" s="1306"/>
      <c r="G7" s="1306"/>
      <c r="H7" s="1307"/>
      <c r="I7" s="1308">
        <f t="shared" si="0"/>
        <v>0</v>
      </c>
    </row>
    <row r="8" spans="1:9">
      <c r="A8" s="3286"/>
      <c r="B8" s="3287" t="s">
        <v>1090</v>
      </c>
      <c r="C8" s="3287"/>
      <c r="D8" s="1305"/>
      <c r="E8" s="1303"/>
      <c r="F8" s="1306"/>
      <c r="G8" s="1306"/>
      <c r="H8" s="1307"/>
      <c r="I8" s="1308">
        <f t="shared" si="0"/>
        <v>0</v>
      </c>
    </row>
    <row r="9" spans="1:9">
      <c r="A9" s="3286"/>
      <c r="B9" s="3287" t="s">
        <v>1091</v>
      </c>
      <c r="C9" s="3287"/>
      <c r="D9" s="1305"/>
      <c r="E9" s="1303"/>
      <c r="F9" s="1306"/>
      <c r="G9" s="1306"/>
      <c r="H9" s="1307"/>
      <c r="I9" s="1308">
        <f t="shared" si="0"/>
        <v>0</v>
      </c>
    </row>
    <row r="10" spans="1:9">
      <c r="A10" s="3286"/>
      <c r="B10" s="3288" t="s">
        <v>1092</v>
      </c>
      <c r="C10" s="3288"/>
      <c r="D10" s="1309"/>
      <c r="E10" s="1309" t="e">
        <f>ROUND(D1*10000/D10/H9,0)</f>
        <v>#DIV/0!</v>
      </c>
      <c r="F10" s="1310"/>
      <c r="G10" s="1310"/>
      <c r="H10" s="1311"/>
      <c r="I10" s="1312">
        <f>SUM(I3:I9)</f>
        <v>0</v>
      </c>
    </row>
    <row r="11" spans="1:9" ht="14.25">
      <c r="A11" s="3286" t="s">
        <v>1093</v>
      </c>
      <c r="B11" s="3287" t="s">
        <v>1094</v>
      </c>
      <c r="C11" s="3287"/>
      <c r="D11" s="1305" t="s">
        <v>1095</v>
      </c>
      <c r="E11" s="1305" t="s">
        <v>1096</v>
      </c>
      <c r="F11" s="1306" t="s">
        <v>1097</v>
      </c>
      <c r="G11" s="1306" t="s">
        <v>1083</v>
      </c>
      <c r="H11" s="1313" t="s">
        <v>1098</v>
      </c>
      <c r="I11" s="1304" t="s">
        <v>1084</v>
      </c>
    </row>
    <row r="12" spans="1:9">
      <c r="A12" s="3286"/>
      <c r="B12" s="3287" t="s">
        <v>1099</v>
      </c>
      <c r="C12" s="3287"/>
      <c r="D12" s="1305"/>
      <c r="E12" s="1305"/>
      <c r="F12" s="1306"/>
      <c r="G12" s="1307"/>
      <c r="H12" s="1314"/>
      <c r="I12" s="1304">
        <f>ROUND(D12*E12*F12*G12/10000,0)</f>
        <v>0</v>
      </c>
    </row>
    <row r="13" spans="1:9">
      <c r="A13" s="3286"/>
      <c r="B13" s="3287" t="s">
        <v>1100</v>
      </c>
      <c r="C13" s="3287"/>
      <c r="D13" s="1305"/>
      <c r="E13" s="1305"/>
      <c r="F13" s="1306"/>
      <c r="G13" s="1307"/>
      <c r="H13" s="1314"/>
      <c r="I13" s="1304">
        <f>ROUND(D13*E13*F13*G13/10000,0)</f>
        <v>0</v>
      </c>
    </row>
    <row r="14" spans="1:9">
      <c r="A14" s="3286"/>
      <c r="B14" s="3287" t="s">
        <v>1101</v>
      </c>
      <c r="C14" s="3287"/>
      <c r="D14" s="1305"/>
      <c r="E14" s="1305"/>
      <c r="F14" s="1306"/>
      <c r="G14" s="1307"/>
      <c r="H14" s="1314"/>
      <c r="I14" s="1304">
        <f>ROUND(D14*E14*F14*G14/10000,0)</f>
        <v>0</v>
      </c>
    </row>
    <row r="15" spans="1:9">
      <c r="A15" s="3286"/>
      <c r="B15" s="3288" t="s">
        <v>1092</v>
      </c>
      <c r="C15" s="3288"/>
      <c r="D15" s="1309"/>
      <c r="E15" s="1309">
        <f>SUM(E12:E14)</f>
        <v>0</v>
      </c>
      <c r="F15" s="1310"/>
      <c r="G15" s="1307"/>
      <c r="H15" s="1314"/>
      <c r="I15" s="1315">
        <f>SUM(I12:I14)</f>
        <v>0</v>
      </c>
    </row>
    <row r="16" spans="1:9" ht="24">
      <c r="A16" s="3286" t="s">
        <v>1102</v>
      </c>
      <c r="B16" s="3287" t="s">
        <v>1103</v>
      </c>
      <c r="C16" s="3287"/>
      <c r="D16" s="1305" t="s">
        <v>1079</v>
      </c>
      <c r="E16" s="1316" t="s">
        <v>1104</v>
      </c>
      <c r="F16" s="1306" t="s">
        <v>1105</v>
      </c>
      <c r="G16" s="1307" t="s">
        <v>1083</v>
      </c>
      <c r="H16" s="1313" t="s">
        <v>1098</v>
      </c>
      <c r="I16" s="1304" t="s">
        <v>1084</v>
      </c>
    </row>
    <row r="17" spans="1:9" ht="14.25">
      <c r="A17" s="3286"/>
      <c r="B17" s="3287" t="s">
        <v>1106</v>
      </c>
      <c r="C17" s="3287"/>
      <c r="D17" s="1305"/>
      <c r="E17" s="1305"/>
      <c r="F17" s="1306"/>
      <c r="G17" s="1307"/>
      <c r="H17" s="1317"/>
      <c r="I17" s="1318">
        <f>ROUND(D17*E17*F17*G17/10000,0)</f>
        <v>0</v>
      </c>
    </row>
    <row r="18" spans="1:9" ht="14.25">
      <c r="A18" s="3286"/>
      <c r="B18" s="3287" t="s">
        <v>1107</v>
      </c>
      <c r="C18" s="3287"/>
      <c r="D18" s="1305"/>
      <c r="E18" s="1305"/>
      <c r="F18" s="1306"/>
      <c r="G18" s="1307"/>
      <c r="H18" s="1317"/>
      <c r="I18" s="1318">
        <f>ROUND(D18*E18*F18*G18/10000,0)</f>
        <v>0</v>
      </c>
    </row>
    <row r="19" spans="1:9" ht="14.25">
      <c r="A19" s="3286"/>
      <c r="B19" s="3287" t="s">
        <v>1108</v>
      </c>
      <c r="C19" s="3287"/>
      <c r="D19" s="1305"/>
      <c r="E19" s="1305"/>
      <c r="F19" s="1306"/>
      <c r="G19" s="1307"/>
      <c r="H19" s="1317"/>
      <c r="I19" s="1318">
        <f>ROUND(D19*E19*F19*G19/10000,0)</f>
        <v>0</v>
      </c>
    </row>
    <row r="20" spans="1:9">
      <c r="A20" s="3286"/>
      <c r="B20" s="3288" t="s">
        <v>1092</v>
      </c>
      <c r="C20" s="3288"/>
      <c r="D20" s="1309">
        <f>SUM(D17:D19)</f>
        <v>0</v>
      </c>
      <c r="E20" s="1309"/>
      <c r="F20" s="1310"/>
      <c r="G20" s="1307"/>
      <c r="H20" s="1314"/>
      <c r="I20" s="1315">
        <f>SUM(I17:I19)</f>
        <v>0</v>
      </c>
    </row>
    <row r="21" spans="1:9">
      <c r="A21" s="3286" t="s">
        <v>1109</v>
      </c>
      <c r="B21" s="3290"/>
      <c r="C21" s="3290"/>
      <c r="D21" s="3290"/>
      <c r="E21" s="3290"/>
      <c r="F21" s="3290"/>
      <c r="G21" s="3290"/>
      <c r="H21" s="1767">
        <v>0.1</v>
      </c>
      <c r="I21" s="1312">
        <f>ROUND(I10*H21,0)</f>
        <v>0</v>
      </c>
    </row>
    <row r="22" spans="1:9" ht="14.25">
      <c r="A22" s="3291" t="s">
        <v>1110</v>
      </c>
      <c r="B22" s="3292"/>
      <c r="C22" s="3293"/>
      <c r="D22" s="1319" t="s">
        <v>1111</v>
      </c>
      <c r="E22" s="1319" t="s">
        <v>1112</v>
      </c>
      <c r="F22" s="1320" t="s">
        <v>1113</v>
      </c>
      <c r="G22" s="1320" t="s">
        <v>1114</v>
      </c>
      <c r="H22" s="1313" t="s">
        <v>1115</v>
      </c>
      <c r="I22" s="1304" t="s">
        <v>1116</v>
      </c>
    </row>
    <row r="23" spans="1:9" ht="14.25" thickBot="1">
      <c r="A23" s="3294"/>
      <c r="B23" s="3295"/>
      <c r="C23" s="3296"/>
      <c r="D23" s="1321"/>
      <c r="E23" s="1321"/>
      <c r="F23" s="1321"/>
      <c r="G23" s="1322"/>
      <c r="H23" s="1323"/>
      <c r="I23" s="1324">
        <f>ROUND(E23*D23*F23*(1-G23)/10000,0)</f>
        <v>0</v>
      </c>
    </row>
    <row r="26" spans="1:9">
      <c r="A26" s="1325" t="s">
        <v>1117</v>
      </c>
      <c r="B26" s="1325"/>
      <c r="C26" s="1325"/>
      <c r="D26" s="1325"/>
      <c r="E26" s="3297">
        <f>C27-C30-C31-C32</f>
        <v>0</v>
      </c>
      <c r="F26" s="3297"/>
      <c r="G26" s="3297"/>
      <c r="H26" s="1739" t="s">
        <v>1340</v>
      </c>
    </row>
    <row r="27" spans="1:9">
      <c r="A27" s="1326">
        <v>1</v>
      </c>
      <c r="B27" s="1327" t="s">
        <v>1118</v>
      </c>
      <c r="C27" s="1327">
        <f>C28+C29</f>
        <v>0</v>
      </c>
      <c r="D27" s="1327"/>
      <c r="E27" s="3298"/>
      <c r="F27" s="3298"/>
      <c r="G27" s="3298"/>
    </row>
    <row r="28" spans="1:9">
      <c r="A28" s="1328" t="s">
        <v>1119</v>
      </c>
      <c r="B28" s="1327" t="s">
        <v>1120</v>
      </c>
      <c r="C28" s="1327"/>
      <c r="D28" s="1327"/>
      <c r="E28" s="3298"/>
      <c r="F28" s="3298"/>
      <c r="G28" s="3298"/>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89"/>
      <c r="F32" s="3289"/>
      <c r="G32" s="3289"/>
    </row>
    <row r="33" spans="1:7" hidden="1">
      <c r="A33" s="3299" t="s">
        <v>1129</v>
      </c>
      <c r="B33" s="3300"/>
      <c r="C33" s="3300"/>
      <c r="D33" s="3301"/>
      <c r="E33" s="3297"/>
      <c r="F33" s="3297"/>
      <c r="G33" s="3297"/>
    </row>
    <row r="34" spans="1:7" hidden="1">
      <c r="A34" s="1330">
        <v>1</v>
      </c>
      <c r="B34" s="1327" t="s">
        <v>1130</v>
      </c>
      <c r="C34" s="1327"/>
      <c r="D34" s="1327"/>
      <c r="E34" s="3298"/>
      <c r="F34" s="3298"/>
      <c r="G34" s="3298"/>
    </row>
    <row r="35" spans="1:7" hidden="1">
      <c r="A35" s="1330">
        <v>2</v>
      </c>
      <c r="B35" s="1327" t="s">
        <v>1131</v>
      </c>
      <c r="C35" s="1327"/>
      <c r="D35" s="1327"/>
      <c r="E35" s="3298"/>
      <c r="F35" s="3298"/>
      <c r="G35" s="3298"/>
    </row>
    <row r="36" spans="1:7" hidden="1">
      <c r="A36" s="1330">
        <v>3</v>
      </c>
      <c r="B36" s="1327" t="s">
        <v>1132</v>
      </c>
      <c r="C36" s="1327"/>
      <c r="D36" s="1327"/>
      <c r="E36" s="3298"/>
      <c r="F36" s="3298"/>
      <c r="G36" s="3298"/>
    </row>
    <row r="37" spans="1:7" hidden="1">
      <c r="A37" s="1330">
        <v>4</v>
      </c>
      <c r="B37" s="1327" t="s">
        <v>1133</v>
      </c>
      <c r="C37" s="1327"/>
      <c r="D37" s="1327"/>
      <c r="E37" s="3298"/>
      <c r="F37" s="3298"/>
      <c r="G37" s="3298"/>
    </row>
    <row r="38" spans="1:7" hidden="1">
      <c r="A38" s="3299" t="s">
        <v>1134</v>
      </c>
      <c r="B38" s="3300"/>
      <c r="C38" s="3300"/>
      <c r="D38" s="3301"/>
      <c r="E38" s="3297"/>
      <c r="F38" s="3297"/>
      <c r="G38" s="32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2513</v>
      </c>
      <c r="B1" s="2583" t="s">
        <v>2514</v>
      </c>
      <c r="C1" s="1636" t="s">
        <v>2515</v>
      </c>
      <c r="D1" s="1623"/>
      <c r="E1" s="2584"/>
      <c r="F1" s="2585" t="s">
        <v>2516</v>
      </c>
      <c r="G1" s="1633" t="s">
        <v>2517</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87"/>
      <c r="D2" s="1367" t="e">
        <f ca="1">SUMIF(INDIRECT("'"&amp;F2&amp;"'"&amp;"!A:A"),"承租人权益价值",INDIRECT("'"&amp;F2&amp;"'"&amp;"!c:c"))</f>
        <v>#REF!</v>
      </c>
      <c r="E2" s="2588" t="s">
        <v>2518</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1395</v>
      </c>
      <c r="B3" s="398" t="e">
        <f ca="1">IF(C2="——",C49,ROUND(B2*10000/D3,0))</f>
        <v>#DIV/0!</v>
      </c>
      <c r="C3" s="399" t="s">
        <v>2519</v>
      </c>
      <c r="D3" s="398">
        <f>IF(D1="",'数据-汇总表'!E3,SUMIF('数据-汇总表'!$C19:$C33,D1,'数据-汇总表'!$E19:$E33))</f>
        <v>47850.3</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0" t="s">
        <v>2520</v>
      </c>
      <c r="B4" s="401"/>
      <c r="C4" s="3320" t="s">
        <v>2521</v>
      </c>
      <c r="D4" s="3321"/>
      <c r="E4" s="3322" t="s">
        <v>2522</v>
      </c>
      <c r="F4" s="3323"/>
      <c r="G4" s="3320" t="s">
        <v>2523</v>
      </c>
      <c r="H4" s="3321"/>
      <c r="I4" s="3320" t="s">
        <v>2524</v>
      </c>
      <c r="J4" s="3321"/>
      <c r="K4" s="2597" t="s">
        <v>2525</v>
      </c>
      <c r="L4" s="1132"/>
      <c r="M4" s="1133"/>
      <c r="N4" s="1133"/>
      <c r="O4" s="1133"/>
      <c r="P4" s="3324" t="s">
        <v>2526</v>
      </c>
      <c r="Q4" s="3325"/>
      <c r="R4" s="3307" t="s">
        <v>2522</v>
      </c>
      <c r="S4" s="3308"/>
      <c r="T4" s="3307" t="s">
        <v>2523</v>
      </c>
      <c r="U4" s="3308"/>
      <c r="V4" s="3332" t="s">
        <v>2524</v>
      </c>
      <c r="W4" s="3332"/>
      <c r="X4" s="1815"/>
      <c r="Y4" s="3307" t="s">
        <v>2526</v>
      </c>
      <c r="Z4" s="3308"/>
      <c r="AA4" s="3302" t="s">
        <v>2522</v>
      </c>
      <c r="AB4" s="3302" t="s">
        <v>2523</v>
      </c>
      <c r="AC4" s="3302" t="s">
        <v>2524</v>
      </c>
    </row>
    <row r="5" spans="1:29" ht="15">
      <c r="A5" s="403"/>
      <c r="B5" s="404"/>
      <c r="C5" s="3313" t="s">
        <v>2527</v>
      </c>
      <c r="D5" s="3314"/>
      <c r="E5" s="3311" t="s">
        <v>2528</v>
      </c>
      <c r="F5" s="3312"/>
      <c r="G5" s="3313" t="s">
        <v>2529</v>
      </c>
      <c r="H5" s="3314"/>
      <c r="I5" s="3313" t="s">
        <v>2530</v>
      </c>
      <c r="J5" s="3314"/>
      <c r="K5" s="2598"/>
      <c r="L5" s="1132"/>
      <c r="M5" s="1133"/>
      <c r="N5" s="1133"/>
      <c r="O5" s="1133"/>
      <c r="P5" s="3326"/>
      <c r="Q5" s="3327"/>
      <c r="R5" s="3309"/>
      <c r="S5" s="3310"/>
      <c r="T5" s="3309"/>
      <c r="U5" s="3310"/>
      <c r="V5" s="3332"/>
      <c r="W5" s="3332"/>
      <c r="X5" s="1815"/>
      <c r="Y5" s="3309"/>
      <c r="Z5" s="3310"/>
      <c r="AA5" s="3303"/>
      <c r="AB5" s="3303"/>
      <c r="AC5" s="3303"/>
    </row>
    <row r="6" spans="1:29" ht="15.75" thickBot="1">
      <c r="A6" s="405"/>
      <c r="B6" s="406"/>
      <c r="C6" s="3315" t="s">
        <v>2531</v>
      </c>
      <c r="D6" s="3316"/>
      <c r="E6" s="3317" t="s">
        <v>2531</v>
      </c>
      <c r="F6" s="3318"/>
      <c r="G6" s="3315" t="s">
        <v>2531</v>
      </c>
      <c r="H6" s="3316"/>
      <c r="I6" s="3315" t="s">
        <v>2531</v>
      </c>
      <c r="J6" s="3316"/>
      <c r="K6" s="2598" t="s">
        <v>2532</v>
      </c>
      <c r="L6" s="1132"/>
      <c r="M6" s="1133"/>
      <c r="N6" s="1133"/>
      <c r="O6" s="1133"/>
      <c r="P6" s="3328"/>
      <c r="Q6" s="3329"/>
      <c r="R6" s="3309"/>
      <c r="S6" s="3310"/>
      <c r="T6" s="3330"/>
      <c r="U6" s="3331"/>
      <c r="V6" s="3332"/>
      <c r="W6" s="3332"/>
      <c r="X6" s="1815"/>
      <c r="Y6" s="3330"/>
      <c r="Z6" s="3331"/>
      <c r="AA6" s="3304"/>
      <c r="AB6" s="3304"/>
      <c r="AC6" s="3304"/>
    </row>
    <row r="7" spans="1:29" s="117" customFormat="1" ht="15.75" thickBot="1">
      <c r="A7" s="407" t="s">
        <v>2533</v>
      </c>
      <c r="B7" s="408"/>
      <c r="C7" s="409">
        <f>'数据-取费表'!B2</f>
        <v>43116</v>
      </c>
      <c r="D7" s="410">
        <v>100</v>
      </c>
      <c r="E7" s="411"/>
      <c r="F7" s="412">
        <f>SUMIF(58:58,YEAR(E7)&amp;"-"&amp;MONTH(E7),59:59)</f>
        <v>0</v>
      </c>
      <c r="G7" s="411"/>
      <c r="H7" s="410">
        <f>SUMIF(58:58,YEAR(G7)&amp;"-"&amp;MONTH(G7),59:59)</f>
        <v>0</v>
      </c>
      <c r="I7" s="411"/>
      <c r="J7" s="410">
        <f>SUMIF(58:58,YEAR(I7)&amp;"-"&amp;MONTH(I7),59:59)</f>
        <v>0</v>
      </c>
      <c r="K7" s="2599"/>
      <c r="L7" s="1134"/>
      <c r="M7" s="1135"/>
      <c r="N7" s="1135"/>
      <c r="O7" s="1135"/>
      <c r="P7" s="3305" t="s">
        <v>2534</v>
      </c>
      <c r="Q7" s="3333"/>
      <c r="R7" s="769" t="s">
        <v>23</v>
      </c>
      <c r="S7" s="770">
        <f t="shared" ref="S7:S15" si="0">F7</f>
        <v>0</v>
      </c>
      <c r="T7" s="769" t="s">
        <v>23</v>
      </c>
      <c r="U7" s="770">
        <f t="shared" ref="U7:U15" si="1">H7</f>
        <v>0</v>
      </c>
      <c r="V7" s="769" t="s">
        <v>23</v>
      </c>
      <c r="W7" s="770">
        <f t="shared" ref="W7:W15" si="2">J7</f>
        <v>0</v>
      </c>
      <c r="X7" s="771"/>
      <c r="Y7" s="3305" t="s">
        <v>2534</v>
      </c>
      <c r="Z7" s="3306"/>
      <c r="AA7" s="772" t="e">
        <f>D7/F7</f>
        <v>#DIV/0!</v>
      </c>
      <c r="AB7" s="772" t="e">
        <f>D7/H7</f>
        <v>#DIV/0!</v>
      </c>
      <c r="AC7" s="772" t="e">
        <f>D7/J7</f>
        <v>#DIV/0!</v>
      </c>
    </row>
    <row r="8" spans="1:29" s="117" customFormat="1" ht="15.75" thickBot="1">
      <c r="A8" s="407" t="s">
        <v>2535</v>
      </c>
      <c r="B8" s="408"/>
      <c r="C8" s="413" t="s">
        <v>2536</v>
      </c>
      <c r="D8" s="410">
        <v>100</v>
      </c>
      <c r="E8" s="2600"/>
      <c r="F8" s="412">
        <f>SUMIF(61:61,E8,62:62)-SUMIF(61:61,C8,62:62)+100</f>
        <v>0</v>
      </c>
      <c r="G8" s="413"/>
      <c r="H8" s="410">
        <f>SUMIF(61:61,G8,62:62)-SUMIF(61:61,C8,62:62)+100</f>
        <v>0</v>
      </c>
      <c r="I8" s="2600"/>
      <c r="J8" s="410">
        <f>SUMIF(61:61,I8,62:62)-SUMIF(61:61,C8,62:62)+100</f>
        <v>0</v>
      </c>
      <c r="K8" s="2599"/>
      <c r="L8" s="1134"/>
      <c r="M8" s="1135"/>
      <c r="N8" s="1135"/>
      <c r="O8" s="1135"/>
      <c r="P8" s="3305" t="s">
        <v>2537</v>
      </c>
      <c r="Q8" s="3306"/>
      <c r="R8" s="769" t="s">
        <v>23</v>
      </c>
      <c r="S8" s="770">
        <f t="shared" si="0"/>
        <v>0</v>
      </c>
      <c r="T8" s="769" t="s">
        <v>23</v>
      </c>
      <c r="U8" s="770">
        <f t="shared" si="1"/>
        <v>0</v>
      </c>
      <c r="V8" s="769" t="s">
        <v>23</v>
      </c>
      <c r="W8" s="770">
        <f t="shared" si="2"/>
        <v>0</v>
      </c>
      <c r="X8" s="771"/>
      <c r="Y8" s="3305" t="s">
        <v>2537</v>
      </c>
      <c r="Z8" s="3306"/>
      <c r="AA8" s="772" t="e">
        <f t="shared" ref="AA8:AA19" si="3">D8/F8</f>
        <v>#DIV/0!</v>
      </c>
      <c r="AB8" s="772" t="e">
        <f t="shared" ref="AB8:AB19" si="4">D8/H8</f>
        <v>#DIV/0!</v>
      </c>
      <c r="AC8" s="772" t="e">
        <f t="shared" ref="AC8:AC19" si="5">D8/J8</f>
        <v>#DIV/0!</v>
      </c>
    </row>
    <row r="9" spans="1:29" s="117" customFormat="1">
      <c r="A9" s="414" t="s">
        <v>2538</v>
      </c>
      <c r="B9" s="71" t="s">
        <v>2539</v>
      </c>
      <c r="C9" s="415"/>
      <c r="D9" s="134">
        <v>100</v>
      </c>
      <c r="E9" s="416"/>
      <c r="F9" s="417">
        <f>SUMIF(63:63,E9,64:64)-SUMIF(63:63,C9,64:64)+100</f>
        <v>100</v>
      </c>
      <c r="G9" s="418"/>
      <c r="H9" s="134">
        <f>SUMIF(63:63,G9,64:64)-SUMIF(63:63,C9,64:64)+100</f>
        <v>100</v>
      </c>
      <c r="I9" s="418"/>
      <c r="J9" s="134">
        <f>SUMIF(63:63,I9,64:64)-SUMIF(63:63,C9,64:64)+100</f>
        <v>100</v>
      </c>
      <c r="K9" s="2599"/>
      <c r="L9" s="1134"/>
      <c r="M9" s="1135"/>
      <c r="N9" s="1135"/>
      <c r="O9" s="1135"/>
      <c r="P9" s="3319" t="s">
        <v>2540</v>
      </c>
      <c r="Q9" s="1797" t="str">
        <f t="shared" ref="Q9:Q15" si="6">B9</f>
        <v>用途</v>
      </c>
      <c r="R9" s="769" t="s">
        <v>17</v>
      </c>
      <c r="S9" s="770">
        <f t="shared" si="0"/>
        <v>100</v>
      </c>
      <c r="T9" s="769" t="s">
        <v>17</v>
      </c>
      <c r="U9" s="770">
        <f t="shared" si="1"/>
        <v>100</v>
      </c>
      <c r="V9" s="769" t="s">
        <v>17</v>
      </c>
      <c r="W9" s="770">
        <f t="shared" si="2"/>
        <v>100</v>
      </c>
      <c r="X9" s="771"/>
      <c r="Y9" s="3132" t="s">
        <v>2541</v>
      </c>
      <c r="Z9" s="55" t="str">
        <f t="shared" ref="Z9:Z15" si="7">Q9</f>
        <v>用途</v>
      </c>
      <c r="AA9" s="772">
        <f t="shared" si="3"/>
        <v>1</v>
      </c>
      <c r="AB9" s="772">
        <f t="shared" si="4"/>
        <v>1</v>
      </c>
      <c r="AC9" s="772">
        <f t="shared" si="5"/>
        <v>1</v>
      </c>
    </row>
    <row r="10" spans="1:29" s="426" customFormat="1" ht="27">
      <c r="A10" s="420"/>
      <c r="B10" s="421" t="s">
        <v>2542</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319"/>
      <c r="Q10" s="1797" t="str">
        <f t="shared" si="6"/>
        <v>土地使用年限（年）</v>
      </c>
      <c r="R10" s="769" t="s">
        <v>17</v>
      </c>
      <c r="S10" s="770">
        <f t="shared" si="0"/>
        <v>100</v>
      </c>
      <c r="T10" s="769" t="s">
        <v>17</v>
      </c>
      <c r="U10" s="770">
        <f t="shared" si="1"/>
        <v>100</v>
      </c>
      <c r="V10" s="769" t="s">
        <v>17</v>
      </c>
      <c r="W10" s="770">
        <f t="shared" si="2"/>
        <v>100</v>
      </c>
      <c r="X10" s="771"/>
      <c r="Y10" s="3132"/>
      <c r="Z10" s="55" t="str">
        <f t="shared" si="7"/>
        <v>土地使用年限（年）</v>
      </c>
      <c r="AA10" s="772">
        <f t="shared" si="3"/>
        <v>1</v>
      </c>
      <c r="AB10" s="772">
        <f t="shared" si="4"/>
        <v>1</v>
      </c>
      <c r="AC10" s="772">
        <f t="shared" si="5"/>
        <v>1</v>
      </c>
    </row>
    <row r="11" spans="1:29" ht="15">
      <c r="A11" s="427"/>
      <c r="B11" s="421" t="s">
        <v>2543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319"/>
      <c r="Q11" s="1797" t="str">
        <f t="shared" si="6"/>
        <v>容积率</v>
      </c>
      <c r="R11" s="769" t="s">
        <v>21</v>
      </c>
      <c r="S11" s="770" t="e">
        <f t="shared" si="0"/>
        <v>#N/A</v>
      </c>
      <c r="T11" s="769" t="s">
        <v>21</v>
      </c>
      <c r="U11" s="770" t="e">
        <f t="shared" si="1"/>
        <v>#N/A</v>
      </c>
      <c r="V11" s="769" t="s">
        <v>21</v>
      </c>
      <c r="W11" s="770" t="e">
        <f t="shared" si="2"/>
        <v>#N/A</v>
      </c>
      <c r="X11" s="771"/>
      <c r="Y11" s="3132"/>
      <c r="Z11" s="55" t="str">
        <f t="shared" si="7"/>
        <v>容积率</v>
      </c>
      <c r="AA11" s="772" t="e">
        <f t="shared" si="3"/>
        <v>#N/A</v>
      </c>
      <c r="AB11" s="772" t="e">
        <f t="shared" si="4"/>
        <v>#N/A</v>
      </c>
      <c r="AC11" s="772" t="e">
        <f t="shared" si="5"/>
        <v>#N/A</v>
      </c>
    </row>
    <row r="12" spans="1:29" s="117"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4"/>
      <c r="M12" s="1135"/>
      <c r="N12" s="1135"/>
      <c r="O12" s="1135"/>
      <c r="P12" s="3319"/>
      <c r="Q12" s="1797">
        <f t="shared" si="6"/>
        <v>111</v>
      </c>
      <c r="R12" s="769" t="s">
        <v>21</v>
      </c>
      <c r="S12" s="770">
        <f t="shared" si="0"/>
        <v>100</v>
      </c>
      <c r="T12" s="769" t="s">
        <v>21</v>
      </c>
      <c r="U12" s="770">
        <f t="shared" si="1"/>
        <v>100</v>
      </c>
      <c r="V12" s="769" t="s">
        <v>21</v>
      </c>
      <c r="W12" s="770">
        <f t="shared" si="2"/>
        <v>100</v>
      </c>
      <c r="X12" s="771"/>
      <c r="Y12" s="3132"/>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42"/>
      <c r="M13" s="1133"/>
      <c r="N13" s="1133"/>
      <c r="O13" s="1133"/>
      <c r="P13" s="3319"/>
      <c r="Q13" s="1797">
        <f t="shared" si="6"/>
        <v>111</v>
      </c>
      <c r="R13" s="769" t="s">
        <v>21</v>
      </c>
      <c r="S13" s="770">
        <f t="shared" si="0"/>
        <v>100</v>
      </c>
      <c r="T13" s="769" t="s">
        <v>21</v>
      </c>
      <c r="U13" s="770">
        <f t="shared" si="1"/>
        <v>100</v>
      </c>
      <c r="V13" s="769" t="s">
        <v>21</v>
      </c>
      <c r="W13" s="770">
        <f t="shared" si="2"/>
        <v>100</v>
      </c>
      <c r="X13" s="771"/>
      <c r="Y13" s="3132"/>
      <c r="Z13" s="55">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42"/>
      <c r="M14" s="1133"/>
      <c r="N14" s="1133"/>
      <c r="O14" s="1133"/>
      <c r="P14" s="3319"/>
      <c r="Q14" s="1797">
        <f t="shared" si="6"/>
        <v>111</v>
      </c>
      <c r="R14" s="769" t="s">
        <v>21</v>
      </c>
      <c r="S14" s="770">
        <f t="shared" si="0"/>
        <v>100</v>
      </c>
      <c r="T14" s="769" t="s">
        <v>21</v>
      </c>
      <c r="U14" s="770">
        <f t="shared" si="1"/>
        <v>100</v>
      </c>
      <c r="V14" s="769" t="s">
        <v>21</v>
      </c>
      <c r="W14" s="770">
        <f t="shared" si="2"/>
        <v>100</v>
      </c>
      <c r="X14" s="771"/>
      <c r="Y14" s="3132"/>
      <c r="Z14" s="55">
        <f t="shared" si="7"/>
        <v>111</v>
      </c>
      <c r="AA14" s="772">
        <f t="shared" si="3"/>
        <v>1</v>
      </c>
      <c r="AB14" s="772">
        <f t="shared" si="4"/>
        <v>1</v>
      </c>
      <c r="AC14" s="772">
        <f t="shared" si="5"/>
        <v>1</v>
      </c>
    </row>
    <row r="15" spans="1:29" ht="15">
      <c r="A15" s="439" t="s">
        <v>2544</v>
      </c>
      <c r="B15" s="69" t="s">
        <v>2082</v>
      </c>
      <c r="C15" s="2604">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346" t="s">
        <v>2545</v>
      </c>
      <c r="Q15" s="1812" t="str">
        <f t="shared" si="6"/>
        <v>居住社区成熟度</v>
      </c>
      <c r="R15" s="773" t="s">
        <v>21</v>
      </c>
      <c r="S15" s="774">
        <f t="shared" si="0"/>
        <v>100</v>
      </c>
      <c r="T15" s="773" t="s">
        <v>21</v>
      </c>
      <c r="U15" s="774">
        <f t="shared" si="1"/>
        <v>100</v>
      </c>
      <c r="V15" s="773" t="s">
        <v>21</v>
      </c>
      <c r="W15" s="774">
        <f t="shared" si="2"/>
        <v>100</v>
      </c>
      <c r="X15" s="1815"/>
      <c r="Y15" s="3339" t="s">
        <v>2545</v>
      </c>
      <c r="Z15" s="1816" t="str">
        <f t="shared" si="7"/>
        <v>居住社区成熟度</v>
      </c>
      <c r="AA15" s="1813">
        <f t="shared" si="3"/>
        <v>1</v>
      </c>
      <c r="AB15" s="1813">
        <f t="shared" si="4"/>
        <v>1</v>
      </c>
      <c r="AC15" s="1813">
        <f t="shared" si="5"/>
        <v>1</v>
      </c>
    </row>
    <row r="16" spans="1:29" ht="15">
      <c r="A16" s="427"/>
      <c r="B16" s="445"/>
      <c r="C16" s="446"/>
      <c r="D16" s="447"/>
      <c r="E16" s="2605"/>
      <c r="F16" s="447"/>
      <c r="G16" s="2606"/>
      <c r="H16" s="449"/>
      <c r="I16" s="2606"/>
      <c r="J16" s="447"/>
      <c r="K16" s="2607"/>
      <c r="L16" s="1142"/>
      <c r="M16" s="1133"/>
      <c r="N16" s="1133"/>
      <c r="O16" s="1133"/>
      <c r="P16" s="3347"/>
      <c r="Q16" s="1812"/>
      <c r="R16" s="773"/>
      <c r="S16" s="774"/>
      <c r="T16" s="773"/>
      <c r="U16" s="774"/>
      <c r="V16" s="773"/>
      <c r="W16" s="774"/>
      <c r="X16" s="1815"/>
      <c r="Y16" s="3340"/>
      <c r="Z16" s="1816"/>
      <c r="AA16" s="1813">
        <v>1</v>
      </c>
      <c r="AB16" s="1813">
        <v>1</v>
      </c>
      <c r="AC16" s="1813">
        <v>1</v>
      </c>
    </row>
    <row r="17" spans="1:29" ht="15">
      <c r="A17" s="427"/>
      <c r="B17" s="450" t="s">
        <v>2088</v>
      </c>
      <c r="C17" s="2608">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347"/>
      <c r="Q17" s="1812" t="str">
        <f>B17</f>
        <v>交通便捷度</v>
      </c>
      <c r="R17" s="773" t="s">
        <v>21</v>
      </c>
      <c r="S17" s="774">
        <f>F17</f>
        <v>100</v>
      </c>
      <c r="T17" s="773" t="s">
        <v>21</v>
      </c>
      <c r="U17" s="774">
        <f>H17</f>
        <v>100</v>
      </c>
      <c r="V17" s="773" t="s">
        <v>21</v>
      </c>
      <c r="W17" s="774">
        <f>J17</f>
        <v>100</v>
      </c>
      <c r="X17" s="1815"/>
      <c r="Y17" s="3340"/>
      <c r="Z17" s="1816" t="str">
        <f>Q17</f>
        <v>交通便捷度</v>
      </c>
      <c r="AA17" s="1813">
        <f t="shared" si="3"/>
        <v>1</v>
      </c>
      <c r="AB17" s="1813">
        <f t="shared" si="4"/>
        <v>1</v>
      </c>
      <c r="AC17" s="1813">
        <f t="shared" si="5"/>
        <v>1</v>
      </c>
    </row>
    <row r="18" spans="1:29" ht="15">
      <c r="A18" s="427"/>
      <c r="B18" s="455"/>
      <c r="C18" s="2609"/>
      <c r="D18" s="449"/>
      <c r="E18" s="2610"/>
      <c r="F18" s="449"/>
      <c r="G18" s="2611"/>
      <c r="H18" s="447"/>
      <c r="I18" s="2611"/>
      <c r="J18" s="447"/>
      <c r="K18" s="2607"/>
      <c r="L18" s="1142"/>
      <c r="M18" s="1133"/>
      <c r="N18" s="1133"/>
      <c r="O18" s="1133"/>
      <c r="P18" s="3347"/>
      <c r="Q18" s="1812"/>
      <c r="R18" s="773"/>
      <c r="S18" s="774"/>
      <c r="T18" s="773"/>
      <c r="U18" s="774"/>
      <c r="V18" s="773"/>
      <c r="W18" s="774"/>
      <c r="X18" s="1815"/>
      <c r="Y18" s="3340"/>
      <c r="Z18" s="1816"/>
      <c r="AA18" s="1813">
        <v>1</v>
      </c>
      <c r="AB18" s="1813">
        <v>1</v>
      </c>
      <c r="AC18" s="1813">
        <v>1</v>
      </c>
    </row>
    <row r="19" spans="1:29" ht="15">
      <c r="A19" s="427"/>
      <c r="B19" s="450" t="s">
        <v>2087</v>
      </c>
      <c r="C19" s="2608">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347"/>
      <c r="Q19" s="1812" t="str">
        <f>B19</f>
        <v>公共配套设施</v>
      </c>
      <c r="R19" s="773" t="s">
        <v>21</v>
      </c>
      <c r="S19" s="774">
        <f>F19</f>
        <v>100</v>
      </c>
      <c r="T19" s="773" t="s">
        <v>21</v>
      </c>
      <c r="U19" s="774">
        <f>H19</f>
        <v>100</v>
      </c>
      <c r="V19" s="773" t="s">
        <v>21</v>
      </c>
      <c r="W19" s="774">
        <f>J19</f>
        <v>100</v>
      </c>
      <c r="X19" s="1815"/>
      <c r="Y19" s="3340"/>
      <c r="Z19" s="1816" t="str">
        <f>Q19</f>
        <v>公共配套设施</v>
      </c>
      <c r="AA19" s="1813">
        <f t="shared" si="3"/>
        <v>1</v>
      </c>
      <c r="AB19" s="1813">
        <f t="shared" si="4"/>
        <v>1</v>
      </c>
      <c r="AC19" s="1813">
        <f t="shared" si="5"/>
        <v>1</v>
      </c>
    </row>
    <row r="20" spans="1:29" ht="15">
      <c r="A20" s="427"/>
      <c r="B20" s="455"/>
      <c r="C20" s="446"/>
      <c r="D20" s="447"/>
      <c r="E20" s="2605"/>
      <c r="F20" s="447"/>
      <c r="G20" s="2606"/>
      <c r="H20" s="447"/>
      <c r="I20" s="2606"/>
      <c r="J20" s="447"/>
      <c r="K20" s="2607"/>
      <c r="L20" s="1142"/>
      <c r="M20" s="1133"/>
      <c r="N20" s="1133"/>
      <c r="O20" s="1133"/>
      <c r="P20" s="3347"/>
      <c r="Q20" s="1812"/>
      <c r="R20" s="773"/>
      <c r="S20" s="774"/>
      <c r="T20" s="773"/>
      <c r="U20" s="774"/>
      <c r="V20" s="773"/>
      <c r="W20" s="774"/>
      <c r="X20" s="1815"/>
      <c r="Y20" s="3340"/>
      <c r="Z20" s="1816"/>
      <c r="AA20" s="1813">
        <v>1</v>
      </c>
      <c r="AB20" s="1813">
        <v>1</v>
      </c>
      <c r="AC20" s="1813">
        <v>1</v>
      </c>
    </row>
    <row r="21" spans="1:29" ht="15">
      <c r="A21" s="427"/>
      <c r="B21" s="1386" t="s">
        <v>2089</v>
      </c>
      <c r="C21" s="2608">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347"/>
      <c r="Q21" s="1812" t="str">
        <f>B21</f>
        <v>基础设施水平</v>
      </c>
      <c r="R21" s="773" t="s">
        <v>17</v>
      </c>
      <c r="S21" s="774">
        <f>F21</f>
        <v>100</v>
      </c>
      <c r="T21" s="773" t="s">
        <v>17</v>
      </c>
      <c r="U21" s="774">
        <f>H21</f>
        <v>100</v>
      </c>
      <c r="V21" s="773" t="s">
        <v>17</v>
      </c>
      <c r="W21" s="774">
        <f>J21</f>
        <v>100</v>
      </c>
      <c r="X21" s="1815"/>
      <c r="Y21" s="3340"/>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7"/>
      <c r="G22" s="2612"/>
      <c r="H22" s="447"/>
      <c r="I22" s="446"/>
      <c r="J22" s="447"/>
      <c r="K22" s="2613"/>
      <c r="L22" s="1142"/>
      <c r="M22" s="1133"/>
      <c r="N22" s="1133"/>
      <c r="O22" s="1133"/>
      <c r="P22" s="3347"/>
      <c r="Q22" s="1812"/>
      <c r="R22" s="773"/>
      <c r="S22" s="774"/>
      <c r="T22" s="773"/>
      <c r="U22" s="774"/>
      <c r="V22" s="773"/>
      <c r="W22" s="774"/>
      <c r="X22" s="1815"/>
      <c r="Y22" s="3340"/>
      <c r="Z22" s="1816"/>
      <c r="AA22" s="1813">
        <v>1</v>
      </c>
      <c r="AB22" s="1813">
        <v>1</v>
      </c>
      <c r="AC22" s="1813">
        <v>1</v>
      </c>
    </row>
    <row r="23" spans="1:29" ht="15">
      <c r="A23" s="427"/>
      <c r="B23" s="450" t="s">
        <v>2091</v>
      </c>
      <c r="C23" s="2608">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347"/>
      <c r="Q23" s="1812" t="str">
        <f>B23</f>
        <v>自然及人文环境</v>
      </c>
      <c r="R23" s="773" t="s">
        <v>21</v>
      </c>
      <c r="S23" s="774">
        <f>F23</f>
        <v>100</v>
      </c>
      <c r="T23" s="773" t="s">
        <v>21</v>
      </c>
      <c r="U23" s="774">
        <f>H23</f>
        <v>100</v>
      </c>
      <c r="V23" s="773" t="s">
        <v>21</v>
      </c>
      <c r="W23" s="774">
        <f>J23</f>
        <v>100</v>
      </c>
      <c r="X23" s="1815"/>
      <c r="Y23" s="3340"/>
      <c r="Z23" s="1816" t="str">
        <f>Q23</f>
        <v>自然及人文环境</v>
      </c>
      <c r="AA23" s="1813">
        <f>D23/F23</f>
        <v>1</v>
      </c>
      <c r="AB23" s="1813">
        <f>D23/H23</f>
        <v>1</v>
      </c>
      <c r="AC23" s="1813">
        <f>D23/J23</f>
        <v>1</v>
      </c>
    </row>
    <row r="24" spans="1:29" ht="15">
      <c r="A24" s="427"/>
      <c r="B24" s="455"/>
      <c r="C24" s="446"/>
      <c r="D24" s="447"/>
      <c r="E24" s="2605"/>
      <c r="F24" s="447"/>
      <c r="G24" s="2606"/>
      <c r="H24" s="447"/>
      <c r="I24" s="2606"/>
      <c r="J24" s="447"/>
      <c r="K24" s="2607"/>
      <c r="L24" s="1142"/>
      <c r="M24" s="1133"/>
      <c r="N24" s="1133"/>
      <c r="O24" s="1133"/>
      <c r="P24" s="3347"/>
      <c r="Q24" s="1812"/>
      <c r="R24" s="773"/>
      <c r="S24" s="774"/>
      <c r="T24" s="773"/>
      <c r="U24" s="774"/>
      <c r="V24" s="773"/>
      <c r="W24" s="774"/>
      <c r="X24" s="1815"/>
      <c r="Y24" s="3340"/>
      <c r="Z24" s="1816"/>
      <c r="AA24" s="1813">
        <v>1</v>
      </c>
      <c r="AB24" s="1813">
        <v>1</v>
      </c>
      <c r="AC24" s="1813">
        <v>1</v>
      </c>
    </row>
    <row r="25" spans="1:29" ht="15">
      <c r="A25" s="427"/>
      <c r="B25" s="421" t="s">
        <v>2546</v>
      </c>
      <c r="C25" s="459"/>
      <c r="D25" s="434">
        <v>100</v>
      </c>
      <c r="E25" s="2614"/>
      <c r="F25" s="434">
        <f>SUMIF(86:86,E25,87:87)-SUMIF(86:86,C25,87:87)+100</f>
        <v>100</v>
      </c>
      <c r="G25" s="2615"/>
      <c r="H25" s="434">
        <f>SUMIF(86:86,G25,87:87)-SUMIF(86:86,C25,87:87)+100</f>
        <v>100</v>
      </c>
      <c r="I25" s="2615"/>
      <c r="J25" s="434">
        <f>SUMIF(86:86,I25,87:87)-SUMIF(86:86,C25,87:87)+100</f>
        <v>100</v>
      </c>
      <c r="K25" s="425"/>
      <c r="L25" s="1142"/>
      <c r="M25" s="1133"/>
      <c r="N25" s="1133"/>
      <c r="O25" s="1133"/>
      <c r="P25" s="3347"/>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340"/>
      <c r="Z25" s="1816" t="str">
        <f>Q25</f>
        <v>楼层-1</v>
      </c>
      <c r="AA25" s="1813">
        <f t="shared" ref="AA25:AA46" si="15">D25/F25</f>
        <v>1</v>
      </c>
      <c r="AB25" s="1813">
        <f t="shared" ref="AB25:AB46" si="16">D25/H25</f>
        <v>1</v>
      </c>
      <c r="AC25" s="1813">
        <f t="shared" ref="AC25:AC46" si="17">D25/J25</f>
        <v>1</v>
      </c>
    </row>
    <row r="26" spans="1:29" ht="15">
      <c r="A26" s="427"/>
      <c r="B26" s="421" t="s">
        <v>2547</v>
      </c>
      <c r="C26" s="459"/>
      <c r="D26" s="434">
        <v>100</v>
      </c>
      <c r="E26" s="2614"/>
      <c r="F26" s="434">
        <f>SUMIF(88:88,E26,89:89)-SUMIF(88:88,C26,89:89)+100</f>
        <v>100</v>
      </c>
      <c r="G26" s="2615"/>
      <c r="H26" s="434">
        <f>SUMIF(88:88,G26,89:89)-SUMIF(88:88,C26,89:89)+100</f>
        <v>100</v>
      </c>
      <c r="I26" s="2615"/>
      <c r="J26" s="434">
        <f>SUMIF(88:88,I26,89:89)-SUMIF(88:88,C26,89:89)+100</f>
        <v>100</v>
      </c>
      <c r="K26" s="425"/>
      <c r="L26" s="1142"/>
      <c r="M26" s="1133"/>
      <c r="N26" s="1133"/>
      <c r="O26" s="1133"/>
      <c r="P26" s="3347"/>
      <c r="Q26" s="1812" t="str">
        <f t="shared" si="11"/>
        <v>朝向</v>
      </c>
      <c r="R26" s="773" t="s">
        <v>21</v>
      </c>
      <c r="S26" s="774">
        <f t="shared" si="12"/>
        <v>100</v>
      </c>
      <c r="T26" s="773" t="s">
        <v>21</v>
      </c>
      <c r="U26" s="774">
        <f t="shared" si="13"/>
        <v>100</v>
      </c>
      <c r="V26" s="773" t="s">
        <v>21</v>
      </c>
      <c r="W26" s="774">
        <f t="shared" si="14"/>
        <v>100</v>
      </c>
      <c r="X26" s="1815"/>
      <c r="Y26" s="3340"/>
      <c r="Z26" s="1816" t="str">
        <f>Q26</f>
        <v>朝向</v>
      </c>
      <c r="AA26" s="1813">
        <f t="shared" si="15"/>
        <v>1</v>
      </c>
      <c r="AB26" s="1813">
        <f t="shared" si="16"/>
        <v>1</v>
      </c>
      <c r="AC26" s="1813">
        <f t="shared" si="17"/>
        <v>1</v>
      </c>
    </row>
    <row r="27" spans="1:29" s="117"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2"/>
      <c r="L27" s="1134"/>
      <c r="M27" s="1135"/>
      <c r="N27" s="1135"/>
      <c r="O27" s="1135"/>
      <c r="P27" s="3347"/>
      <c r="Q27" s="1797">
        <f t="shared" si="11"/>
        <v>111</v>
      </c>
      <c r="R27" s="769" t="s">
        <v>21</v>
      </c>
      <c r="S27" s="770">
        <f t="shared" si="12"/>
        <v>100</v>
      </c>
      <c r="T27" s="769" t="s">
        <v>21</v>
      </c>
      <c r="U27" s="770">
        <f t="shared" si="13"/>
        <v>100</v>
      </c>
      <c r="V27" s="769" t="s">
        <v>21</v>
      </c>
      <c r="W27" s="770">
        <f t="shared" si="14"/>
        <v>100</v>
      </c>
      <c r="X27" s="771"/>
      <c r="Y27" s="3340"/>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6"/>
      <c r="H28" s="434">
        <f>SUMIF(92:92,G28,93:93)-SUMIF(92:92,C28,93:93)+100</f>
        <v>100</v>
      </c>
      <c r="I28" s="433"/>
      <c r="J28" s="434">
        <f>SUMIF(92:92,I28,93:93)-SUMIF(92:92,C28,93:93)+100</f>
        <v>100</v>
      </c>
      <c r="K28" s="2602"/>
      <c r="L28" s="1142"/>
      <c r="M28" s="1133"/>
      <c r="N28" s="1133"/>
      <c r="O28" s="1133"/>
      <c r="P28" s="3347"/>
      <c r="Q28" s="1812">
        <f t="shared" si="11"/>
        <v>111</v>
      </c>
      <c r="R28" s="773" t="s">
        <v>21</v>
      </c>
      <c r="S28" s="774">
        <f t="shared" si="12"/>
        <v>100</v>
      </c>
      <c r="T28" s="773" t="s">
        <v>21</v>
      </c>
      <c r="U28" s="774">
        <f t="shared" si="13"/>
        <v>100</v>
      </c>
      <c r="V28" s="773" t="s">
        <v>21</v>
      </c>
      <c r="W28" s="774">
        <f t="shared" si="14"/>
        <v>100</v>
      </c>
      <c r="X28" s="1815"/>
      <c r="Y28" s="3340"/>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6"/>
      <c r="H29" s="434">
        <f>SUMIF(94:94,G29,95:95)-SUMIF(94:94,C29,95:95)+100</f>
        <v>100</v>
      </c>
      <c r="I29" s="433"/>
      <c r="J29" s="434">
        <f>SUMIF(94:94,I29,95:95)-SUMIF(94:94,C29,95:95)+100</f>
        <v>100</v>
      </c>
      <c r="K29" s="2602"/>
      <c r="L29" s="1142"/>
      <c r="M29" s="1133"/>
      <c r="N29" s="1133"/>
      <c r="O29" s="1133"/>
      <c r="P29" s="3347"/>
      <c r="Q29" s="1812">
        <f t="shared" si="11"/>
        <v>111</v>
      </c>
      <c r="R29" s="773" t="s">
        <v>21</v>
      </c>
      <c r="S29" s="774">
        <f t="shared" si="12"/>
        <v>100</v>
      </c>
      <c r="T29" s="773" t="s">
        <v>21</v>
      </c>
      <c r="U29" s="774">
        <f t="shared" si="13"/>
        <v>100</v>
      </c>
      <c r="V29" s="773" t="s">
        <v>21</v>
      </c>
      <c r="W29" s="774">
        <f t="shared" si="14"/>
        <v>100</v>
      </c>
      <c r="X29" s="1815"/>
      <c r="Y29" s="3340"/>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6"/>
      <c r="H30" s="434">
        <f>SUMIF(96:96,G30,97:97)-SUMIF(96:96,C30,97:97)+100</f>
        <v>100</v>
      </c>
      <c r="I30" s="433"/>
      <c r="J30" s="434">
        <f>SUMIF(96:96,I30,97:97)-SUMIF(96:96,C30,97:97)+100</f>
        <v>100</v>
      </c>
      <c r="K30" s="2602"/>
      <c r="L30" s="1142"/>
      <c r="M30" s="1133"/>
      <c r="N30" s="1133"/>
      <c r="O30" s="1133"/>
      <c r="P30" s="3347"/>
      <c r="Q30" s="1812">
        <f t="shared" si="11"/>
        <v>111</v>
      </c>
      <c r="R30" s="773" t="s">
        <v>21</v>
      </c>
      <c r="S30" s="774">
        <f t="shared" si="12"/>
        <v>100</v>
      </c>
      <c r="T30" s="773" t="s">
        <v>21</v>
      </c>
      <c r="U30" s="774">
        <f t="shared" si="13"/>
        <v>100</v>
      </c>
      <c r="V30" s="773" t="s">
        <v>21</v>
      </c>
      <c r="W30" s="774">
        <f t="shared" si="14"/>
        <v>100</v>
      </c>
      <c r="X30" s="1815"/>
      <c r="Y30" s="3340"/>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7"/>
      <c r="H31" s="437">
        <f>SUMIF(98:98,G31,99:99)-SUMIF(98:98,C31,99:99)+100</f>
        <v>100</v>
      </c>
      <c r="I31" s="436"/>
      <c r="J31" s="437">
        <f>SUMIF(98:98,I31,99:99)-SUMIF(98:98,C31,99:99)+100</f>
        <v>100</v>
      </c>
      <c r="K31" s="2602"/>
      <c r="L31" s="1142"/>
      <c r="M31" s="1133"/>
      <c r="N31" s="1133"/>
      <c r="O31" s="1133"/>
      <c r="P31" s="3347"/>
      <c r="Q31" s="1812">
        <f t="shared" si="11"/>
        <v>111</v>
      </c>
      <c r="R31" s="773" t="s">
        <v>21</v>
      </c>
      <c r="S31" s="774">
        <f t="shared" si="12"/>
        <v>100</v>
      </c>
      <c r="T31" s="773" t="s">
        <v>21</v>
      </c>
      <c r="U31" s="774">
        <f t="shared" si="13"/>
        <v>100</v>
      </c>
      <c r="V31" s="773" t="s">
        <v>21</v>
      </c>
      <c r="W31" s="774">
        <f t="shared" si="14"/>
        <v>100</v>
      </c>
      <c r="X31" s="1815"/>
      <c r="Y31" s="3340"/>
      <c r="Z31" s="1816">
        <f t="shared" si="18"/>
        <v>111</v>
      </c>
      <c r="AA31" s="1813">
        <f t="shared" si="15"/>
        <v>1</v>
      </c>
      <c r="AB31" s="1813">
        <f t="shared" si="16"/>
        <v>1</v>
      </c>
      <c r="AC31" s="1813">
        <f t="shared" si="17"/>
        <v>1</v>
      </c>
    </row>
    <row r="32" spans="1:29" ht="15">
      <c r="A32" s="439" t="s">
        <v>2548</v>
      </c>
      <c r="B32" s="71" t="s">
        <v>2549</v>
      </c>
      <c r="C32" s="2618"/>
      <c r="D32" s="466">
        <v>100</v>
      </c>
      <c r="E32" s="2619"/>
      <c r="F32" s="460">
        <f>SUMIF(100:100,E32,101:101)-SUMIF(100:100,C32,101:101)+100</f>
        <v>100</v>
      </c>
      <c r="G32" s="2618"/>
      <c r="H32" s="466">
        <f>SUMIF(100:100,G32,101:101)-SUMIF(100:100,C32,101:101)+100</f>
        <v>100</v>
      </c>
      <c r="I32" s="2619"/>
      <c r="J32" s="434">
        <f>SUMIF(100:100,I32,101:101)-SUMIF(100:100,C32,101:101)+100</f>
        <v>100</v>
      </c>
      <c r="K32" s="425"/>
      <c r="L32" s="1142"/>
      <c r="M32" s="1133"/>
      <c r="N32" s="1133"/>
      <c r="O32" s="1133"/>
      <c r="P32" s="3341" t="s">
        <v>2550</v>
      </c>
      <c r="Q32" s="1812" t="str">
        <f t="shared" si="11"/>
        <v>建筑类型</v>
      </c>
      <c r="R32" s="773" t="s">
        <v>21</v>
      </c>
      <c r="S32" s="774">
        <f t="shared" si="12"/>
        <v>100</v>
      </c>
      <c r="T32" s="773" t="s">
        <v>21</v>
      </c>
      <c r="U32" s="774">
        <f t="shared" si="13"/>
        <v>100</v>
      </c>
      <c r="V32" s="773" t="s">
        <v>21</v>
      </c>
      <c r="W32" s="774">
        <f t="shared" si="14"/>
        <v>100</v>
      </c>
      <c r="X32" s="1815"/>
      <c r="Y32" s="3344" t="s">
        <v>2550</v>
      </c>
      <c r="Z32" s="1816" t="str">
        <f t="shared" si="18"/>
        <v>建筑类型</v>
      </c>
      <c r="AA32" s="1813">
        <f t="shared" si="15"/>
        <v>1</v>
      </c>
      <c r="AB32" s="1813">
        <f t="shared" si="16"/>
        <v>1</v>
      </c>
      <c r="AC32" s="1813">
        <f t="shared" si="17"/>
        <v>1</v>
      </c>
    </row>
    <row r="33" spans="1:29" s="470" customFormat="1" ht="15">
      <c r="A33" s="467"/>
      <c r="B33" s="421" t="s">
        <v>2551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2"/>
      <c r="L33" s="1140"/>
      <c r="M33" s="1143"/>
      <c r="N33" s="1143"/>
      <c r="O33" s="1143"/>
      <c r="P33" s="3342"/>
      <c r="Q33" s="775" t="str">
        <f t="shared" si="11"/>
        <v>项目建筑规模</v>
      </c>
      <c r="R33" s="776" t="s">
        <v>21</v>
      </c>
      <c r="S33" s="777" t="e">
        <f t="shared" si="12"/>
        <v>#N/A</v>
      </c>
      <c r="T33" s="776" t="s">
        <v>21</v>
      </c>
      <c r="U33" s="777" t="e">
        <f t="shared" si="13"/>
        <v>#N/A</v>
      </c>
      <c r="V33" s="776" t="s">
        <v>21</v>
      </c>
      <c r="W33" s="777" t="e">
        <f t="shared" si="14"/>
        <v>#N/A</v>
      </c>
      <c r="X33" s="778"/>
      <c r="Y33" s="3344"/>
      <c r="Z33" s="779" t="str">
        <f t="shared" si="18"/>
        <v>项目建筑规模</v>
      </c>
      <c r="AA33" s="1813" t="e">
        <f t="shared" si="15"/>
        <v>#N/A</v>
      </c>
      <c r="AB33" s="1813" t="e">
        <f t="shared" si="16"/>
        <v>#N/A</v>
      </c>
      <c r="AC33" s="1813" t="e">
        <f t="shared" si="17"/>
        <v>#N/A</v>
      </c>
    </row>
    <row r="34" spans="1:29" ht="15">
      <c r="A34" s="471"/>
      <c r="B34" s="421" t="s">
        <v>2552</v>
      </c>
      <c r="C34" s="2620"/>
      <c r="D34" s="434">
        <v>100</v>
      </c>
      <c r="E34" s="2621"/>
      <c r="F34" s="460">
        <f>SUMIF(105:105,E34,106:106)-SUMIF(105:105,C34,106:106)+100</f>
        <v>100</v>
      </c>
      <c r="G34" s="2620"/>
      <c r="H34" s="434">
        <f>SUMIF(105:105,G34,106:106)-SUMIF(105:105,C34,106:106)+100</f>
        <v>100</v>
      </c>
      <c r="I34" s="2621"/>
      <c r="J34" s="434">
        <f>SUMIF(105:105,I34,106:106)-SUMIF(105:105,C34,106:106)+100</f>
        <v>100</v>
      </c>
      <c r="K34" s="425"/>
      <c r="L34" s="1142"/>
      <c r="M34" s="1133"/>
      <c r="N34" s="1133"/>
      <c r="O34" s="1133"/>
      <c r="P34" s="3342"/>
      <c r="Q34" s="1812" t="str">
        <f t="shared" si="11"/>
        <v>建筑结构</v>
      </c>
      <c r="R34" s="773" t="s">
        <v>21</v>
      </c>
      <c r="S34" s="774">
        <f t="shared" si="12"/>
        <v>100</v>
      </c>
      <c r="T34" s="773" t="s">
        <v>21</v>
      </c>
      <c r="U34" s="774">
        <f t="shared" si="13"/>
        <v>100</v>
      </c>
      <c r="V34" s="773" t="s">
        <v>21</v>
      </c>
      <c r="W34" s="774">
        <f t="shared" si="14"/>
        <v>100</v>
      </c>
      <c r="X34" s="1815"/>
      <c r="Y34" s="3344"/>
      <c r="Z34" s="1816" t="str">
        <f t="shared" si="18"/>
        <v>建筑结构</v>
      </c>
      <c r="AA34" s="1813">
        <f t="shared" si="15"/>
        <v>1</v>
      </c>
      <c r="AB34" s="1813">
        <f t="shared" si="16"/>
        <v>1</v>
      </c>
      <c r="AC34" s="1813">
        <f t="shared" si="17"/>
        <v>1</v>
      </c>
    </row>
    <row r="35" spans="1:29" ht="15">
      <c r="A35" s="471"/>
      <c r="B35" s="421" t="s">
        <v>2553</v>
      </c>
      <c r="C35" s="2614"/>
      <c r="D35" s="434">
        <v>100</v>
      </c>
      <c r="E35" s="2615"/>
      <c r="F35" s="460">
        <f>SUMIF(107:107,E35,108:108)-SUMIF(107:107,C35,108:108)+100</f>
        <v>100</v>
      </c>
      <c r="G35" s="2614"/>
      <c r="H35" s="434">
        <f>SUMIF(107:107,G35,108:108)-SUMIF(107:107,C35,108:108)+100</f>
        <v>100</v>
      </c>
      <c r="I35" s="2615"/>
      <c r="J35" s="434">
        <f>SUMIF(107:107,I35,108:108)-SUMIF(107:107,C35,108:108)+100</f>
        <v>100</v>
      </c>
      <c r="K35" s="425"/>
      <c r="L35" s="1142"/>
      <c r="M35" s="1133"/>
      <c r="N35" s="1133"/>
      <c r="O35" s="1133"/>
      <c r="P35" s="3342"/>
      <c r="Q35" s="1812" t="str">
        <f t="shared" si="11"/>
        <v>建筑品质</v>
      </c>
      <c r="R35" s="773" t="s">
        <v>21</v>
      </c>
      <c r="S35" s="774">
        <f t="shared" si="12"/>
        <v>100</v>
      </c>
      <c r="T35" s="773" t="s">
        <v>21</v>
      </c>
      <c r="U35" s="774">
        <f t="shared" si="13"/>
        <v>100</v>
      </c>
      <c r="V35" s="773" t="s">
        <v>21</v>
      </c>
      <c r="W35" s="774">
        <f t="shared" si="14"/>
        <v>100</v>
      </c>
      <c r="X35" s="1815"/>
      <c r="Y35" s="3344"/>
      <c r="Z35" s="1816" t="str">
        <f t="shared" si="18"/>
        <v>建筑品质</v>
      </c>
      <c r="AA35" s="1813">
        <f t="shared" si="15"/>
        <v>1</v>
      </c>
      <c r="AB35" s="1813">
        <f t="shared" si="16"/>
        <v>1</v>
      </c>
      <c r="AC35" s="1813">
        <f t="shared" si="17"/>
        <v>1</v>
      </c>
    </row>
    <row r="36" spans="1:29" ht="15">
      <c r="A36" s="471"/>
      <c r="B36" s="421" t="s">
        <v>2554</v>
      </c>
      <c r="C36" s="2614"/>
      <c r="D36" s="434">
        <v>100</v>
      </c>
      <c r="E36" s="2615"/>
      <c r="F36" s="460">
        <f>SUMIF(109:109,E36,110:110)-SUMIF(109:109,C36,110:110)+100</f>
        <v>100</v>
      </c>
      <c r="G36" s="2614"/>
      <c r="H36" s="434">
        <f>SUMIF(109:109,G36,110:110)-SUMIF(109:109,C36,110:110)+100</f>
        <v>100</v>
      </c>
      <c r="I36" s="2615"/>
      <c r="J36" s="434">
        <f>SUMIF(109:109,I36,110:110)-SUMIF(109:109,C36,110:110)+100</f>
        <v>100</v>
      </c>
      <c r="K36" s="425"/>
      <c r="L36" s="1142"/>
      <c r="M36" s="1133"/>
      <c r="N36" s="1133"/>
      <c r="O36" s="1133"/>
      <c r="P36" s="3342"/>
      <c r="Q36" s="1812" t="str">
        <f t="shared" si="11"/>
        <v>公共部分装修</v>
      </c>
      <c r="R36" s="773" t="s">
        <v>21</v>
      </c>
      <c r="S36" s="774">
        <f t="shared" si="12"/>
        <v>100</v>
      </c>
      <c r="T36" s="773" t="s">
        <v>21</v>
      </c>
      <c r="U36" s="774">
        <f t="shared" si="13"/>
        <v>100</v>
      </c>
      <c r="V36" s="773" t="s">
        <v>21</v>
      </c>
      <c r="W36" s="774">
        <f t="shared" si="14"/>
        <v>100</v>
      </c>
      <c r="X36" s="1815"/>
      <c r="Y36" s="3344"/>
      <c r="Z36" s="1816" t="str">
        <f t="shared" si="18"/>
        <v>公共部分装修</v>
      </c>
      <c r="AA36" s="1813">
        <f t="shared" si="15"/>
        <v>1</v>
      </c>
      <c r="AB36" s="1813">
        <f t="shared" si="16"/>
        <v>1</v>
      </c>
      <c r="AC36" s="1813">
        <f t="shared" si="17"/>
        <v>1</v>
      </c>
    </row>
    <row r="37" spans="1:29" s="117" customFormat="1" ht="15">
      <c r="A37" s="472"/>
      <c r="B37" s="421" t="s">
        <v>2555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342"/>
      <c r="Q37" s="1797" t="str">
        <f t="shared" si="11"/>
        <v>成新度</v>
      </c>
      <c r="R37" s="769" t="s">
        <v>21</v>
      </c>
      <c r="S37" s="770" t="e">
        <f t="shared" si="12"/>
        <v>#N/A</v>
      </c>
      <c r="T37" s="769" t="s">
        <v>21</v>
      </c>
      <c r="U37" s="770" t="e">
        <f t="shared" si="13"/>
        <v>#N/A</v>
      </c>
      <c r="V37" s="769" t="s">
        <v>21</v>
      </c>
      <c r="W37" s="770" t="e">
        <f t="shared" si="14"/>
        <v>#N/A</v>
      </c>
      <c r="X37" s="771"/>
      <c r="Y37" s="3344"/>
      <c r="Z37" s="55" t="str">
        <f t="shared" si="18"/>
        <v>成新度</v>
      </c>
      <c r="AA37" s="772" t="e">
        <f t="shared" si="15"/>
        <v>#N/A</v>
      </c>
      <c r="AB37" s="772" t="e">
        <f t="shared" si="16"/>
        <v>#N/A</v>
      </c>
      <c r="AC37" s="772" t="e">
        <f t="shared" si="17"/>
        <v>#N/A</v>
      </c>
    </row>
    <row r="38" spans="1:29" ht="15">
      <c r="A38" s="471"/>
      <c r="B38" s="421" t="s">
        <v>2556</v>
      </c>
      <c r="C38" s="2614"/>
      <c r="D38" s="434">
        <v>100</v>
      </c>
      <c r="E38" s="2615"/>
      <c r="F38" s="460">
        <f>SUMIF(114:114,E38,115:115)-SUMIF(114:114,C38,115:115)+100</f>
        <v>100</v>
      </c>
      <c r="G38" s="2614"/>
      <c r="H38" s="434">
        <f>SUMIF(114:114,G38,115:115)-SUMIF(114:114,C38,115:115)+100</f>
        <v>100</v>
      </c>
      <c r="I38" s="2615"/>
      <c r="J38" s="434">
        <f>SUMIF(114:114,I38,115:115)-SUMIF(114:114,C38,115:115)+100</f>
        <v>100</v>
      </c>
      <c r="K38" s="425"/>
      <c r="L38" s="1142"/>
      <c r="M38" s="1133"/>
      <c r="N38" s="1133"/>
      <c r="O38" s="1133"/>
      <c r="P38" s="3342" t="s">
        <v>2550</v>
      </c>
      <c r="Q38" s="1812" t="str">
        <f t="shared" si="11"/>
        <v>物业管理</v>
      </c>
      <c r="R38" s="773" t="s">
        <v>21</v>
      </c>
      <c r="S38" s="774">
        <f t="shared" si="12"/>
        <v>100</v>
      </c>
      <c r="T38" s="773" t="s">
        <v>21</v>
      </c>
      <c r="U38" s="774">
        <f t="shared" si="13"/>
        <v>100</v>
      </c>
      <c r="V38" s="773" t="s">
        <v>21</v>
      </c>
      <c r="W38" s="774">
        <f t="shared" si="14"/>
        <v>100</v>
      </c>
      <c r="X38" s="1815"/>
      <c r="Y38" s="3344" t="s">
        <v>2550</v>
      </c>
      <c r="Z38" s="1816" t="str">
        <f t="shared" si="18"/>
        <v>物业管理</v>
      </c>
      <c r="AA38" s="1813">
        <f t="shared" si="15"/>
        <v>1</v>
      </c>
      <c r="AB38" s="1813">
        <f t="shared" si="16"/>
        <v>1</v>
      </c>
      <c r="AC38" s="1813">
        <f t="shared" si="17"/>
        <v>1</v>
      </c>
    </row>
    <row r="39" spans="1:29" ht="15">
      <c r="A39" s="471"/>
      <c r="B39" s="421" t="s">
        <v>2557</v>
      </c>
      <c r="C39" s="2614"/>
      <c r="D39" s="434">
        <v>100</v>
      </c>
      <c r="E39" s="2615"/>
      <c r="F39" s="460">
        <f>SUMIF(116:116,E39,117:117)-SUMIF(116:116,C39,117:117)+100</f>
        <v>100</v>
      </c>
      <c r="G39" s="2614"/>
      <c r="H39" s="434">
        <f>SUMIF(116:116,G39,117:117)-SUMIF(116:116,C39,117:117)+100</f>
        <v>100</v>
      </c>
      <c r="I39" s="2615"/>
      <c r="J39" s="434">
        <f>SUMIF(116:116,I39,117:117)-SUMIF(116:116,C39,117:117)+100</f>
        <v>100</v>
      </c>
      <c r="K39" s="425"/>
      <c r="L39" s="1142"/>
      <c r="M39" s="1133"/>
      <c r="N39" s="1133"/>
      <c r="O39" s="1133"/>
      <c r="P39" s="3342"/>
      <c r="Q39" s="1812" t="str">
        <f t="shared" si="11"/>
        <v>市政基础设施</v>
      </c>
      <c r="R39" s="773" t="s">
        <v>21</v>
      </c>
      <c r="S39" s="774">
        <f t="shared" si="12"/>
        <v>100</v>
      </c>
      <c r="T39" s="773" t="s">
        <v>21</v>
      </c>
      <c r="U39" s="774">
        <f t="shared" si="13"/>
        <v>100</v>
      </c>
      <c r="V39" s="773" t="s">
        <v>21</v>
      </c>
      <c r="W39" s="774">
        <f t="shared" si="14"/>
        <v>100</v>
      </c>
      <c r="X39" s="1815"/>
      <c r="Y39" s="3344"/>
      <c r="Z39" s="1816" t="str">
        <f t="shared" si="18"/>
        <v>市政基础设施</v>
      </c>
      <c r="AA39" s="1813">
        <f t="shared" si="15"/>
        <v>1</v>
      </c>
      <c r="AB39" s="1813">
        <f t="shared" si="16"/>
        <v>1</v>
      </c>
      <c r="AC39" s="1813">
        <f t="shared" si="17"/>
        <v>1</v>
      </c>
    </row>
    <row r="40" spans="1:29" ht="15">
      <c r="A40" s="471"/>
      <c r="B40" s="421" t="s">
        <v>2558</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c r="L40" s="1142"/>
      <c r="M40" s="1133"/>
      <c r="N40" s="1133"/>
      <c r="O40" s="1133"/>
      <c r="P40" s="3342"/>
      <c r="Q40" s="1812" t="str">
        <f t="shared" si="11"/>
        <v>房型</v>
      </c>
      <c r="R40" s="773" t="s">
        <v>21</v>
      </c>
      <c r="S40" s="774">
        <f t="shared" si="12"/>
        <v>100</v>
      </c>
      <c r="T40" s="773" t="s">
        <v>21</v>
      </c>
      <c r="U40" s="774">
        <f t="shared" si="13"/>
        <v>100</v>
      </c>
      <c r="V40" s="773" t="s">
        <v>21</v>
      </c>
      <c r="W40" s="774">
        <f t="shared" si="14"/>
        <v>100</v>
      </c>
      <c r="X40" s="1815"/>
      <c r="Y40" s="3344"/>
      <c r="Z40" s="1816" t="str">
        <f t="shared" si="18"/>
        <v>房型</v>
      </c>
      <c r="AA40" s="1813">
        <f t="shared" si="15"/>
        <v>1</v>
      </c>
      <c r="AB40" s="1813">
        <f t="shared" si="16"/>
        <v>1</v>
      </c>
      <c r="AC40" s="1813">
        <f t="shared" si="17"/>
        <v>1</v>
      </c>
    </row>
    <row r="41" spans="1:29" s="470" customFormat="1" ht="28.5">
      <c r="A41" s="467"/>
      <c r="B41" s="421" t="s">
        <v>2559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40"/>
      <c r="M41" s="1143"/>
      <c r="N41" s="1143"/>
      <c r="O41" s="1143"/>
      <c r="P41" s="3342"/>
      <c r="Q41" s="775" t="str">
        <f t="shared" si="11"/>
        <v>单套/主力户型建筑面积</v>
      </c>
      <c r="R41" s="776" t="s">
        <v>21</v>
      </c>
      <c r="S41" s="777">
        <f t="shared" si="12"/>
        <v>100</v>
      </c>
      <c r="T41" s="776" t="s">
        <v>21</v>
      </c>
      <c r="U41" s="777">
        <f t="shared" si="13"/>
        <v>100</v>
      </c>
      <c r="V41" s="776" t="s">
        <v>21</v>
      </c>
      <c r="W41" s="777">
        <f t="shared" si="14"/>
        <v>100</v>
      </c>
      <c r="X41" s="778"/>
      <c r="Y41" s="3344"/>
      <c r="Z41" s="779" t="str">
        <f t="shared" si="18"/>
        <v>单套/主力户型建筑面积</v>
      </c>
      <c r="AA41" s="1813">
        <f t="shared" si="15"/>
        <v>1</v>
      </c>
      <c r="AB41" s="1813">
        <f t="shared" si="16"/>
        <v>1</v>
      </c>
      <c r="AC41" s="1813">
        <f t="shared" si="17"/>
        <v>1</v>
      </c>
    </row>
    <row r="42" spans="1:29" ht="15">
      <c r="A42" s="471"/>
      <c r="B42" s="421" t="s">
        <v>2560</v>
      </c>
      <c r="C42" s="2614"/>
      <c r="D42" s="434">
        <v>100</v>
      </c>
      <c r="E42" s="2615"/>
      <c r="F42" s="460">
        <f>SUMIF(122:122,E42,123:123)-SUMIF(122:122,C42,123:123)+100</f>
        <v>100</v>
      </c>
      <c r="G42" s="2614"/>
      <c r="H42" s="434">
        <f>SUMIF(122:122,G42,123:123)-SUMIF(122:122,C42,123:123)+100</f>
        <v>100</v>
      </c>
      <c r="I42" s="2615"/>
      <c r="J42" s="434">
        <f>SUMIF(122:122,I42,123:123)-SUMIF(122:122,C42,123:123)+100</f>
        <v>100</v>
      </c>
      <c r="K42" s="425"/>
      <c r="L42" s="1142"/>
      <c r="M42" s="1133"/>
      <c r="N42" s="1133"/>
      <c r="O42" s="1133"/>
      <c r="P42" s="3342"/>
      <c r="Q42" s="1812" t="str">
        <f t="shared" si="11"/>
        <v>内部装修</v>
      </c>
      <c r="R42" s="773" t="s">
        <v>21</v>
      </c>
      <c r="S42" s="774">
        <f t="shared" si="12"/>
        <v>100</v>
      </c>
      <c r="T42" s="773" t="s">
        <v>21</v>
      </c>
      <c r="U42" s="774">
        <f t="shared" si="13"/>
        <v>100</v>
      </c>
      <c r="V42" s="773" t="s">
        <v>21</v>
      </c>
      <c r="W42" s="774">
        <f t="shared" si="14"/>
        <v>100</v>
      </c>
      <c r="X42" s="1815"/>
      <c r="Y42" s="3344"/>
      <c r="Z42" s="1816" t="str">
        <f t="shared" si="18"/>
        <v>内部装修</v>
      </c>
      <c r="AA42" s="1813">
        <f t="shared" si="15"/>
        <v>1</v>
      </c>
      <c r="AB42" s="1813">
        <f t="shared" si="16"/>
        <v>1</v>
      </c>
      <c r="AC42" s="1813">
        <f t="shared" si="17"/>
        <v>1</v>
      </c>
    </row>
    <row r="43" spans="1:29" ht="15">
      <c r="A43" s="471"/>
      <c r="B43" s="421" t="s">
        <v>2561</v>
      </c>
      <c r="C43" s="2614"/>
      <c r="D43" s="434">
        <v>100</v>
      </c>
      <c r="E43" s="2615"/>
      <c r="F43" s="460">
        <f>SUMIF(124:124,E43,125:125)-SUMIF(124:124,C43,125:125)+100</f>
        <v>100</v>
      </c>
      <c r="G43" s="2614"/>
      <c r="H43" s="434">
        <f>SUMIF(124:124,G43,125:125)-SUMIF(124:124,C43,125:125)+100</f>
        <v>100</v>
      </c>
      <c r="I43" s="2615"/>
      <c r="J43" s="434">
        <f>SUMIF(124:124,I43,125:125)-SUMIF(124:124,C43,125:125)+100</f>
        <v>100</v>
      </c>
      <c r="K43" s="425"/>
      <c r="L43" s="1142"/>
      <c r="M43" s="1133"/>
      <c r="N43" s="1133"/>
      <c r="O43" s="1133"/>
      <c r="P43" s="3342"/>
      <c r="Q43" s="1812" t="str">
        <f t="shared" si="11"/>
        <v>内部装修维护情况</v>
      </c>
      <c r="R43" s="773" t="s">
        <v>21</v>
      </c>
      <c r="S43" s="774">
        <f t="shared" si="12"/>
        <v>100</v>
      </c>
      <c r="T43" s="773" t="s">
        <v>21</v>
      </c>
      <c r="U43" s="774">
        <f t="shared" si="13"/>
        <v>100</v>
      </c>
      <c r="V43" s="773" t="s">
        <v>21</v>
      </c>
      <c r="W43" s="774">
        <f t="shared" si="14"/>
        <v>100</v>
      </c>
      <c r="X43" s="1815"/>
      <c r="Y43" s="3344"/>
      <c r="Z43" s="1816" t="str">
        <f t="shared" si="18"/>
        <v>内部装修维护情况</v>
      </c>
      <c r="AA43" s="1813">
        <f t="shared" si="15"/>
        <v>1</v>
      </c>
      <c r="AB43" s="1813">
        <f t="shared" si="16"/>
        <v>1</v>
      </c>
      <c r="AC43" s="1813">
        <f t="shared" si="17"/>
        <v>1</v>
      </c>
    </row>
    <row r="44" spans="1:29" s="117"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4"/>
      <c r="M44" s="1135"/>
      <c r="N44" s="1135"/>
      <c r="O44" s="1135"/>
      <c r="P44" s="3342"/>
      <c r="Q44" s="1797">
        <f t="shared" si="11"/>
        <v>111</v>
      </c>
      <c r="R44" s="769" t="s">
        <v>21</v>
      </c>
      <c r="S44" s="770">
        <f t="shared" si="12"/>
        <v>100</v>
      </c>
      <c r="T44" s="769" t="s">
        <v>21</v>
      </c>
      <c r="U44" s="770">
        <f t="shared" si="13"/>
        <v>100</v>
      </c>
      <c r="V44" s="769" t="s">
        <v>21</v>
      </c>
      <c r="W44" s="770">
        <f t="shared" si="14"/>
        <v>100</v>
      </c>
      <c r="X44" s="771"/>
      <c r="Y44" s="3344"/>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42"/>
      <c r="M45" s="1133"/>
      <c r="N45" s="1133"/>
      <c r="O45" s="1133"/>
      <c r="P45" s="3342"/>
      <c r="Q45" s="1812">
        <f t="shared" si="11"/>
        <v>111</v>
      </c>
      <c r="R45" s="773" t="s">
        <v>21</v>
      </c>
      <c r="S45" s="774">
        <f t="shared" si="12"/>
        <v>100</v>
      </c>
      <c r="T45" s="773" t="s">
        <v>21</v>
      </c>
      <c r="U45" s="774">
        <f t="shared" si="13"/>
        <v>100</v>
      </c>
      <c r="V45" s="773" t="s">
        <v>21</v>
      </c>
      <c r="W45" s="774">
        <f t="shared" si="14"/>
        <v>100</v>
      </c>
      <c r="X45" s="1815"/>
      <c r="Y45" s="3344"/>
      <c r="Z45" s="1816">
        <f t="shared" si="18"/>
        <v>111</v>
      </c>
      <c r="AA45" s="1813">
        <f t="shared" si="15"/>
        <v>1</v>
      </c>
      <c r="AB45" s="1813">
        <f t="shared" si="16"/>
        <v>1</v>
      </c>
      <c r="AC45" s="1813">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42"/>
      <c r="M46" s="1133"/>
      <c r="N46" s="1133"/>
      <c r="O46" s="1133"/>
      <c r="P46" s="3343"/>
      <c r="Q46" s="1812">
        <f t="shared" si="11"/>
        <v>111</v>
      </c>
      <c r="R46" s="773" t="s">
        <v>20</v>
      </c>
      <c r="S46" s="774">
        <f t="shared" si="12"/>
        <v>100</v>
      </c>
      <c r="T46" s="773" t="s">
        <v>20</v>
      </c>
      <c r="U46" s="774">
        <f t="shared" si="13"/>
        <v>100</v>
      </c>
      <c r="V46" s="773" t="s">
        <v>20</v>
      </c>
      <c r="W46" s="774">
        <f t="shared" si="14"/>
        <v>100</v>
      </c>
      <c r="X46" s="1815"/>
      <c r="Y46" s="3345"/>
      <c r="Z46" s="1816">
        <f t="shared" si="18"/>
        <v>111</v>
      </c>
      <c r="AA46" s="1813">
        <f t="shared" si="15"/>
        <v>1</v>
      </c>
      <c r="AB46" s="1813">
        <f t="shared" si="16"/>
        <v>1</v>
      </c>
      <c r="AC46" s="1813">
        <f t="shared" si="17"/>
        <v>1</v>
      </c>
    </row>
    <row r="47" spans="1:29" ht="15">
      <c r="A47" s="478" t="s">
        <v>2562</v>
      </c>
      <c r="B47" s="479"/>
      <c r="C47" s="1409" t="s">
        <v>19</v>
      </c>
      <c r="D47" s="1410"/>
      <c r="E47" s="1411"/>
      <c r="F47" s="1412"/>
      <c r="G47" s="1413"/>
      <c r="H47" s="1414"/>
      <c r="I47" s="1411"/>
      <c r="J47" s="1414"/>
      <c r="K47" s="2622"/>
      <c r="L47" s="1145"/>
      <c r="M47" s="1146"/>
      <c r="N47" s="1133"/>
      <c r="O47" s="1146"/>
      <c r="P47" s="3337" t="str">
        <f>A47</f>
        <v>成交单价（元/平方米）</v>
      </c>
      <c r="Q47" s="3337"/>
      <c r="R47" s="3338">
        <f>E47</f>
        <v>0</v>
      </c>
      <c r="S47" s="3338"/>
      <c r="T47" s="3338">
        <f>G47</f>
        <v>0</v>
      </c>
      <c r="U47" s="3338"/>
      <c r="V47" s="3338">
        <f>I47</f>
        <v>0</v>
      </c>
      <c r="W47" s="3338"/>
      <c r="X47" s="758"/>
      <c r="Y47" s="780"/>
      <c r="Z47" s="758"/>
      <c r="AA47" s="758"/>
      <c r="AB47" s="758"/>
      <c r="AC47" s="758"/>
    </row>
    <row r="48" spans="1:29" ht="15.75" thickBot="1">
      <c r="A48" s="485" t="s">
        <v>2563</v>
      </c>
      <c r="B48" s="486"/>
      <c r="C48" s="1415" t="e">
        <f>R49</f>
        <v>#DIV/0!</v>
      </c>
      <c r="D48" s="1416"/>
      <c r="E48" s="1417" t="e">
        <f>R48</f>
        <v>#DIV/0!</v>
      </c>
      <c r="F48" s="1417"/>
      <c r="G48" s="1415" t="e">
        <f>T48</f>
        <v>#DIV/0!</v>
      </c>
      <c r="H48" s="1416"/>
      <c r="I48" s="1417" t="e">
        <f>V48</f>
        <v>#DIV/0!</v>
      </c>
      <c r="J48" s="1416"/>
      <c r="K48" s="2623"/>
      <c r="L48" s="1145"/>
      <c r="M48" s="1146"/>
      <c r="N48" s="1146"/>
      <c r="O48" s="1146"/>
      <c r="P48" s="3337" t="str">
        <f>A48</f>
        <v>比较价值（元/平方米）</v>
      </c>
      <c r="Q48" s="3337"/>
      <c r="R48" s="3338" t="e">
        <f>IF(F1="售价",ROUND(PRODUCT(R47,AA7:AA46),0),ROUND(PRODUCT(R47,AA7:AA46),1))</f>
        <v>#DIV/0!</v>
      </c>
      <c r="S48" s="3338"/>
      <c r="T48" s="3338" t="e">
        <f>IF(F1="售价",ROUND(PRODUCT(T47,AB7:AB46),0),ROUND(PRODUCT(T47,AB7:AB46),1))</f>
        <v>#DIV/0!</v>
      </c>
      <c r="U48" s="3338"/>
      <c r="V48" s="3338" t="e">
        <f>IF(F1="售价",ROUND(PRODUCT(V47,AC7:AC46),0),ROUND(PRODUCT(V47,AC7:AC46),1))</f>
        <v>#DIV/0!</v>
      </c>
      <c r="W48" s="3338"/>
      <c r="X48" s="758"/>
      <c r="Y48" s="758"/>
      <c r="Z48" s="758"/>
      <c r="AA48" s="758"/>
      <c r="AB48" s="758"/>
      <c r="AC48" s="758"/>
    </row>
    <row r="49" spans="1:29" ht="15.75" thickBot="1">
      <c r="A49" s="491" t="s">
        <v>2564</v>
      </c>
      <c r="B49" s="492"/>
      <c r="C49" s="1418" t="e">
        <f>R49</f>
        <v>#DIV/0!</v>
      </c>
      <c r="D49" s="1419"/>
      <c r="E49" s="1419"/>
      <c r="F49" s="1419"/>
      <c r="G49" s="1419"/>
      <c r="H49" s="1419"/>
      <c r="I49" s="1419"/>
      <c r="J49" s="1419"/>
      <c r="K49" s="2624"/>
      <c r="L49" s="1145"/>
      <c r="M49" s="1146"/>
      <c r="N49" s="1146"/>
      <c r="O49" s="1146"/>
      <c r="P49" s="3334" t="str">
        <f>A49</f>
        <v>估价对象XX用房的比较价值（楼面单价，元/平方米）</v>
      </c>
      <c r="Q49" s="3335"/>
      <c r="R49" s="3336" t="e">
        <f>IF(F1="售价",ROUND(AVERAGE(R48:V48),0),ROUND(AVERAGE(R48:V48),1))</f>
        <v>#DIV/0!</v>
      </c>
      <c r="S49" s="3336"/>
      <c r="T49" s="3336"/>
      <c r="U49" s="3336"/>
      <c r="V49" s="3336"/>
      <c r="W49" s="333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6"/>
    </row>
    <row r="55" spans="1:29" s="501"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1.75" thickBot="1">
      <c r="A57" s="762" t="s">
        <v>2568</v>
      </c>
      <c r="B57" s="758"/>
      <c r="C57" s="763"/>
      <c r="D57" s="763"/>
      <c r="E57" s="763"/>
      <c r="F57" s="764"/>
      <c r="G57" s="764"/>
      <c r="H57" s="763"/>
      <c r="I57" s="763"/>
      <c r="J57" s="763"/>
      <c r="K57" s="1162"/>
      <c r="L57" s="1163"/>
      <c r="M57" s="1161"/>
      <c r="N57" s="1161"/>
      <c r="O57" s="1161"/>
      <c r="P57" s="2627"/>
      <c r="Q57" s="503"/>
    </row>
    <row r="58" spans="1:29" s="507" customFormat="1" ht="15">
      <c r="A58" s="504" t="s">
        <v>2569</v>
      </c>
      <c r="B58" s="505"/>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8"/>
      <c r="B59" s="2628"/>
      <c r="C59" s="1575">
        <v>100</v>
      </c>
      <c r="D59" s="510"/>
      <c r="E59" s="511"/>
      <c r="F59" s="511"/>
      <c r="G59" s="511"/>
      <c r="H59" s="511"/>
      <c r="I59" s="511"/>
      <c r="J59" s="511"/>
      <c r="K59" s="511"/>
      <c r="L59" s="511"/>
      <c r="M59" s="512"/>
      <c r="N59" s="511"/>
      <c r="O59" s="512"/>
      <c r="P59" s="2629"/>
    </row>
    <row r="60" spans="1:29" s="117" customFormat="1" ht="15.75" thickBot="1">
      <c r="A60" s="514" t="s">
        <v>2570</v>
      </c>
      <c r="B60" s="515"/>
      <c r="C60" s="516"/>
      <c r="D60" s="517"/>
      <c r="E60" s="517"/>
      <c r="F60" s="517"/>
      <c r="G60" s="517"/>
      <c r="H60" s="517"/>
      <c r="I60" s="517"/>
      <c r="J60" s="517"/>
      <c r="K60" s="517"/>
      <c r="L60" s="517"/>
      <c r="M60" s="518"/>
      <c r="N60" s="517"/>
      <c r="O60" s="518"/>
      <c r="P60" s="2629"/>
      <c r="Q60" s="503"/>
    </row>
    <row r="61" spans="1:29" s="117" customFormat="1" ht="15">
      <c r="A61" s="520" t="s">
        <v>2571</v>
      </c>
      <c r="B61" s="509"/>
      <c r="C61" s="521" t="s">
        <v>2572</v>
      </c>
      <c r="D61" s="522"/>
      <c r="E61" s="522"/>
      <c r="F61" s="522"/>
      <c r="G61" s="522"/>
      <c r="H61" s="522"/>
      <c r="I61" s="522"/>
      <c r="J61" s="522"/>
      <c r="K61" s="522"/>
      <c r="L61" s="523"/>
      <c r="M61" s="524"/>
      <c r="N61" s="1153"/>
      <c r="O61" s="1153"/>
      <c r="P61" s="2630"/>
      <c r="Q61" s="503"/>
    </row>
    <row r="62" spans="1:29" s="117"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2573</v>
      </c>
      <c r="B63" s="527" t="s">
        <v>2539</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2542</v>
      </c>
      <c r="C65" s="538" t="s">
        <v>2574</v>
      </c>
      <c r="D65" s="538" t="s">
        <v>2575</v>
      </c>
      <c r="E65" s="538" t="s">
        <v>2576</v>
      </c>
      <c r="F65" s="538" t="s">
        <v>2577</v>
      </c>
      <c r="G65" s="538" t="s">
        <v>2578</v>
      </c>
      <c r="H65" s="538" t="s">
        <v>2579</v>
      </c>
      <c r="I65" s="538" t="s">
        <v>2580</v>
      </c>
      <c r="J65" s="538"/>
      <c r="K65" s="539"/>
      <c r="L65" s="540"/>
      <c r="M65" s="541"/>
      <c r="N65" s="1154"/>
      <c r="O65" s="1154"/>
      <c r="P65" s="2631"/>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1"/>
      <c r="Q66" s="503"/>
    </row>
    <row r="67" spans="1:17" ht="15.75" thickTop="1">
      <c r="A67" s="533"/>
      <c r="B67" s="545" t="s">
        <v>2543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1"/>
      <c r="Q67" s="503"/>
    </row>
    <row r="68" spans="1:17" ht="15">
      <c r="A68" s="533"/>
      <c r="B68" s="547"/>
      <c r="C68" s="548"/>
      <c r="D68" s="548"/>
      <c r="E68" s="548"/>
      <c r="F68" s="548"/>
      <c r="G68" s="548"/>
      <c r="H68" s="548"/>
      <c r="I68" s="548"/>
      <c r="J68" s="548"/>
      <c r="K68" s="549"/>
      <c r="L68" s="550"/>
      <c r="M68" s="551"/>
      <c r="N68" s="1154"/>
      <c r="O68" s="1154"/>
      <c r="P68" s="2631"/>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59"/>
      <c r="E73" s="559"/>
      <c r="F73" s="559"/>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2544</v>
      </c>
      <c r="B76" s="527" t="s">
        <v>2581</v>
      </c>
      <c r="C76" s="572" t="s">
        <v>2582</v>
      </c>
      <c r="D76" s="572" t="s">
        <v>2583</v>
      </c>
      <c r="E76" s="572" t="s">
        <v>2584</v>
      </c>
      <c r="F76" s="572" t="s">
        <v>2585</v>
      </c>
      <c r="G76" s="572" t="s">
        <v>2586</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2587</v>
      </c>
      <c r="C78" s="577" t="s">
        <v>2582</v>
      </c>
      <c r="D78" s="577" t="s">
        <v>2583</v>
      </c>
      <c r="E78" s="577" t="s">
        <v>2584</v>
      </c>
      <c r="F78" s="577" t="s">
        <v>2585</v>
      </c>
      <c r="G78" s="577" t="s">
        <v>2586</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2588</v>
      </c>
      <c r="C80" s="577" t="s">
        <v>2582</v>
      </c>
      <c r="D80" s="577" t="s">
        <v>2583</v>
      </c>
      <c r="E80" s="577" t="s">
        <v>2584</v>
      </c>
      <c r="F80" s="577" t="s">
        <v>2585</v>
      </c>
      <c r="G80" s="577" t="s">
        <v>2586</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2089</v>
      </c>
      <c r="C82" s="538" t="s">
        <v>2589</v>
      </c>
      <c r="D82" s="538" t="s">
        <v>2590</v>
      </c>
      <c r="E82" s="538" t="s">
        <v>2591</v>
      </c>
      <c r="F82" s="538" t="s">
        <v>2592</v>
      </c>
      <c r="G82" s="538" t="s">
        <v>2593</v>
      </c>
      <c r="H82" s="538"/>
      <c r="I82" s="538"/>
      <c r="J82" s="538"/>
      <c r="K82" s="538"/>
      <c r="L82" s="538"/>
      <c r="M82" s="1384"/>
      <c r="N82" s="1155"/>
      <c r="O82" s="1155"/>
      <c r="P82" s="2631"/>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1"/>
      <c r="Q83" s="503"/>
    </row>
    <row r="84" spans="1:17" ht="15.75" thickTop="1">
      <c r="A84" s="533"/>
      <c r="B84" s="537" t="s">
        <v>2594</v>
      </c>
      <c r="C84" s="577" t="s">
        <v>2582</v>
      </c>
      <c r="D84" s="577" t="s">
        <v>2583</v>
      </c>
      <c r="E84" s="577" t="s">
        <v>2584</v>
      </c>
      <c r="F84" s="577" t="s">
        <v>2585</v>
      </c>
      <c r="G84" s="577" t="s">
        <v>2586</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7" customFormat="1" ht="15.75" thickTop="1">
      <c r="A86" s="578"/>
      <c r="B86" s="537" t="s">
        <v>2595</v>
      </c>
      <c r="C86" s="553"/>
      <c r="D86" s="553"/>
      <c r="E86" s="553"/>
      <c r="F86" s="553"/>
      <c r="G86" s="553"/>
      <c r="H86" s="553"/>
      <c r="I86" s="553"/>
      <c r="J86" s="553"/>
      <c r="K86" s="553"/>
      <c r="L86" s="579"/>
      <c r="M86" s="580"/>
      <c r="N86" s="1153"/>
      <c r="O86" s="1153"/>
      <c r="P86" s="2631"/>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1"/>
      <c r="Q87" s="503"/>
    </row>
    <row r="88" spans="1:17" s="117" customFormat="1" ht="15.75" thickTop="1">
      <c r="A88" s="578"/>
      <c r="B88" s="537" t="s">
        <v>2596</v>
      </c>
      <c r="C88" s="553"/>
      <c r="D88" s="553"/>
      <c r="E88" s="553"/>
      <c r="F88" s="2636"/>
      <c r="G88" s="553"/>
      <c r="H88" s="553"/>
      <c r="I88" s="553"/>
      <c r="J88" s="553"/>
      <c r="K88" s="553"/>
      <c r="L88" s="553"/>
      <c r="M88" s="580"/>
      <c r="N88" s="1153"/>
      <c r="O88" s="1153"/>
      <c r="P88" s="2631"/>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1"/>
      <c r="Q89" s="503"/>
    </row>
    <row r="90" spans="1:17" s="470" customFormat="1" ht="15.75" thickTop="1">
      <c r="A90" s="552"/>
      <c r="B90" s="537">
        <f>B27</f>
        <v>111</v>
      </c>
      <c r="C90" s="553"/>
      <c r="D90" s="553"/>
      <c r="E90" s="553"/>
      <c r="F90" s="553"/>
      <c r="G90" s="553"/>
      <c r="H90" s="554"/>
      <c r="I90" s="554"/>
      <c r="J90" s="554"/>
      <c r="K90" s="554"/>
      <c r="L90" s="555"/>
      <c r="M90" s="556"/>
      <c r="N90" s="1156"/>
      <c r="O90" s="1156"/>
      <c r="P90" s="2632"/>
      <c r="Q90" s="558"/>
    </row>
    <row r="91" spans="1:17" s="470" customFormat="1" ht="15.75" thickBot="1">
      <c r="A91" s="552"/>
      <c r="B91" s="542"/>
      <c r="C91" s="559"/>
      <c r="D91" s="559"/>
      <c r="E91" s="559"/>
      <c r="F91" s="559"/>
      <c r="G91" s="559"/>
      <c r="H91" s="561"/>
      <c r="I91" s="561"/>
      <c r="J91" s="561"/>
      <c r="K91" s="561"/>
      <c r="L91" s="561"/>
      <c r="M91" s="562"/>
      <c r="N91" s="1156"/>
      <c r="O91" s="1156"/>
      <c r="P91" s="2632"/>
      <c r="Q91" s="558"/>
    </row>
    <row r="92" spans="1:17" ht="15.75" thickTop="1">
      <c r="A92" s="533"/>
      <c r="B92" s="537">
        <f>B28</f>
        <v>111</v>
      </c>
      <c r="C92" s="553"/>
      <c r="D92" s="553"/>
      <c r="E92" s="553"/>
      <c r="F92" s="553"/>
      <c r="G92" s="582"/>
      <c r="H92" s="582"/>
      <c r="I92" s="582"/>
      <c r="J92" s="582"/>
      <c r="K92" s="583"/>
      <c r="L92" s="584"/>
      <c r="M92" s="585"/>
      <c r="N92" s="1154"/>
      <c r="O92" s="1154"/>
      <c r="P92" s="2631"/>
      <c r="Q92" s="503"/>
    </row>
    <row r="93" spans="1:17" ht="15.75" thickBot="1">
      <c r="A93" s="533"/>
      <c r="B93" s="542"/>
      <c r="C93" s="559"/>
      <c r="D93" s="535"/>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59"/>
      <c r="E95" s="559"/>
      <c r="F95" s="559"/>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69"/>
      <c r="D97" s="569"/>
      <c r="E97" s="569"/>
      <c r="F97" s="569"/>
      <c r="G97" s="535"/>
      <c r="H97" s="535"/>
      <c r="I97" s="535"/>
      <c r="J97" s="535"/>
      <c r="K97" s="535"/>
      <c r="L97" s="535"/>
      <c r="M97" s="536"/>
      <c r="N97" s="1155"/>
      <c r="O97" s="1155"/>
      <c r="P97" s="2631"/>
      <c r="Q97" s="503"/>
    </row>
    <row r="98" spans="1:17" ht="15.75" thickTop="1">
      <c r="A98" s="533"/>
      <c r="B98" s="545">
        <f>B31</f>
        <v>111</v>
      </c>
      <c r="C98" s="586"/>
      <c r="D98" s="586"/>
      <c r="E98" s="586"/>
      <c r="F98" s="586"/>
      <c r="G98" s="586"/>
      <c r="H98" s="586"/>
      <c r="I98" s="586"/>
      <c r="J98" s="586"/>
      <c r="K98" s="587"/>
      <c r="L98" s="588"/>
      <c r="M98" s="589"/>
      <c r="N98" s="1154"/>
      <c r="O98" s="1154"/>
      <c r="P98" s="2631"/>
      <c r="Q98" s="503"/>
    </row>
    <row r="99" spans="1:17" ht="15.75" thickBot="1">
      <c r="A99" s="2637"/>
      <c r="B99" s="568"/>
      <c r="C99" s="590"/>
      <c r="D99" s="590"/>
      <c r="E99" s="590"/>
      <c r="F99" s="590"/>
      <c r="G99" s="590"/>
      <c r="H99" s="590"/>
      <c r="I99" s="590"/>
      <c r="J99" s="590"/>
      <c r="K99" s="590"/>
      <c r="L99" s="590"/>
      <c r="M99" s="591"/>
      <c r="N99" s="1155"/>
      <c r="O99" s="1155"/>
      <c r="P99" s="2631"/>
      <c r="Q99" s="503"/>
    </row>
    <row r="100" spans="1:17">
      <c r="A100" s="526" t="s">
        <v>2548</v>
      </c>
      <c r="B100" s="527" t="s">
        <v>2597</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1"/>
      <c r="Q101" s="503"/>
    </row>
    <row r="102" spans="1:17" ht="15.75" thickTop="1">
      <c r="A102" s="533"/>
      <c r="B102" s="537" t="s">
        <v>2598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1"/>
      <c r="Q102" s="503"/>
    </row>
    <row r="103" spans="1:17" s="470" customFormat="1">
      <c r="A103" s="592"/>
      <c r="B103" s="593"/>
      <c r="C103" s="594"/>
      <c r="D103" s="594"/>
      <c r="E103" s="594"/>
      <c r="F103" s="594"/>
      <c r="G103" s="594"/>
      <c r="H103" s="594"/>
      <c r="I103" s="594"/>
      <c r="J103" s="595"/>
      <c r="K103" s="595"/>
      <c r="L103" s="596"/>
      <c r="M103" s="597"/>
      <c r="N103" s="1156"/>
      <c r="O103" s="1156"/>
      <c r="P103" s="2632"/>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2"/>
      <c r="Q104" s="558"/>
    </row>
    <row r="105" spans="1:17" ht="15" thickTop="1">
      <c r="A105" s="598"/>
      <c r="B105" s="537" t="s">
        <v>2599</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1"/>
      <c r="Q106" s="503"/>
    </row>
    <row r="107" spans="1:17" ht="15" thickTop="1">
      <c r="A107" s="598"/>
      <c r="B107" s="537" t="s">
        <v>2600</v>
      </c>
      <c r="C107" s="582"/>
      <c r="D107" s="582"/>
      <c r="E107" s="582"/>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1"/>
      <c r="Q108" s="503"/>
    </row>
    <row r="109" spans="1:17" ht="15" thickTop="1">
      <c r="A109" s="598"/>
      <c r="B109" s="537" t="s">
        <v>2601</v>
      </c>
      <c r="C109" s="553"/>
      <c r="D109" s="553"/>
      <c r="E109" s="553"/>
      <c r="F109" s="582"/>
      <c r="G109" s="582"/>
      <c r="H109" s="582"/>
      <c r="I109" s="582"/>
      <c r="J109" s="582"/>
      <c r="K109" s="583"/>
      <c r="L109" s="584"/>
      <c r="M109" s="585"/>
      <c r="N109" s="1154"/>
      <c r="O109" s="1154"/>
      <c r="P109" s="2631"/>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1"/>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2"/>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2"/>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2"/>
      <c r="Q113" s="558"/>
    </row>
    <row r="114" spans="1:17" ht="15" thickTop="1">
      <c r="A114" s="598"/>
      <c r="B114" s="537" t="s">
        <v>2602</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1"/>
      <c r="Q115" s="503"/>
    </row>
    <row r="116" spans="1:17" ht="15" thickTop="1">
      <c r="A116" s="598"/>
      <c r="B116" s="537" t="s">
        <v>2603</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2604</v>
      </c>
      <c r="C118" s="582"/>
      <c r="D118" s="582"/>
      <c r="E118" s="582"/>
      <c r="F118" s="582"/>
      <c r="G118" s="582"/>
      <c r="H118" s="582"/>
      <c r="I118" s="582"/>
      <c r="J118" s="582"/>
      <c r="K118" s="583"/>
      <c r="L118" s="584"/>
      <c r="M118" s="585"/>
      <c r="N118" s="1154"/>
      <c r="O118" s="1154"/>
      <c r="P118" s="2631"/>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1"/>
      <c r="Q119" s="503"/>
    </row>
    <row r="120" spans="1:17" s="470" customFormat="1" ht="28.5" thickTop="1">
      <c r="A120" s="592"/>
      <c r="B120" s="537" t="s">
        <v>2559</v>
      </c>
      <c r="C120" s="553"/>
      <c r="D120" s="553"/>
      <c r="E120" s="553"/>
      <c r="F120" s="553"/>
      <c r="G120" s="553"/>
      <c r="H120" s="553"/>
      <c r="I120" s="553"/>
      <c r="J120" s="553"/>
      <c r="K120" s="553"/>
      <c r="L120" s="579"/>
      <c r="M120" s="580"/>
      <c r="N120" s="1156"/>
      <c r="O120" s="1156"/>
      <c r="P120" s="2632"/>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2"/>
      <c r="Q121" s="558"/>
    </row>
    <row r="122" spans="1:17" ht="15" thickTop="1">
      <c r="A122" s="598"/>
      <c r="B122" s="537" t="s">
        <v>2605</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1"/>
      <c r="Q123" s="503"/>
    </row>
    <row r="124" spans="1:17" ht="15" thickTop="1">
      <c r="A124" s="598"/>
      <c r="B124" s="537" t="s">
        <v>2606</v>
      </c>
      <c r="C124" s="577" t="s">
        <v>2582</v>
      </c>
      <c r="D124" s="577" t="s">
        <v>2583</v>
      </c>
      <c r="E124" s="577" t="s">
        <v>2584</v>
      </c>
      <c r="F124" s="577" t="s">
        <v>2585</v>
      </c>
      <c r="G124" s="577" t="s">
        <v>2586</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59"/>
      <c r="E129" s="559"/>
      <c r="F129" s="559"/>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row r="136" spans="1:17" ht="15" thickBot="1">
      <c r="B136" s="2638" t="s">
        <v>2607</v>
      </c>
    </row>
    <row r="137" spans="1:17" ht="15">
      <c r="B137" s="2639" t="s">
        <v>2608</v>
      </c>
      <c r="C137" s="2640"/>
      <c r="D137" s="2640"/>
      <c r="E137" s="2640"/>
      <c r="F137" s="2640"/>
      <c r="G137" s="2641"/>
      <c r="H137" s="2642"/>
      <c r="I137" s="2643" t="s">
        <v>2609</v>
      </c>
      <c r="J137" s="2640"/>
      <c r="K137" s="2644"/>
    </row>
    <row r="138" spans="1:17" ht="15">
      <c r="B138" s="2645"/>
      <c r="C138" s="145" t="s">
        <v>2610</v>
      </c>
      <c r="D138" s="145" t="s">
        <v>2611</v>
      </c>
      <c r="E138" s="2646" t="s">
        <v>2612</v>
      </c>
      <c r="F138" s="2647" t="s">
        <v>2613</v>
      </c>
      <c r="G138" s="145" t="s">
        <v>2611</v>
      </c>
      <c r="H138" s="146" t="s">
        <v>2612</v>
      </c>
      <c r="I138" s="2648"/>
      <c r="J138" s="145" t="s">
        <v>2614</v>
      </c>
      <c r="K138" s="146" t="s">
        <v>2615</v>
      </c>
    </row>
    <row r="139" spans="1:17" ht="15">
      <c r="B139" s="1086">
        <v>6</v>
      </c>
      <c r="C139" s="1087">
        <v>96</v>
      </c>
      <c r="D139" s="2649" t="s">
        <v>2616</v>
      </c>
      <c r="E139" s="1088">
        <v>100</v>
      </c>
      <c r="F139" s="1089">
        <v>102.5</v>
      </c>
      <c r="G139" s="2649" t="s">
        <v>2616</v>
      </c>
      <c r="H139" s="1090">
        <v>105</v>
      </c>
      <c r="I139" s="2650" t="s">
        <v>2617</v>
      </c>
      <c r="J139" s="1087">
        <v>20</v>
      </c>
      <c r="K139" s="1091">
        <f>C145/(J139-2)</f>
        <v>4.0555555555555553E-3</v>
      </c>
    </row>
    <row r="140" spans="1:17" ht="15">
      <c r="B140" s="1092">
        <v>5</v>
      </c>
      <c r="C140" s="1093">
        <v>100</v>
      </c>
      <c r="D140" s="1093"/>
      <c r="E140" s="1094"/>
      <c r="F140" s="1095">
        <v>102</v>
      </c>
      <c r="G140" s="1093"/>
      <c r="H140" s="1096"/>
      <c r="I140" s="2651" t="s">
        <v>2618</v>
      </c>
      <c r="J140" s="314">
        <f>ROUNDUP((J139-1)/2,0)</f>
        <v>10</v>
      </c>
      <c r="K140" s="1097">
        <v>100</v>
      </c>
    </row>
    <row r="141" spans="1:17" ht="15">
      <c r="B141" s="1092">
        <v>4</v>
      </c>
      <c r="C141" s="1093">
        <v>102</v>
      </c>
      <c r="D141" s="1093"/>
      <c r="E141" s="1094"/>
      <c r="F141" s="1095">
        <v>101.5</v>
      </c>
      <c r="G141" s="1093"/>
      <c r="H141" s="1096"/>
      <c r="I141" s="2651" t="s">
        <v>2619</v>
      </c>
      <c r="J141" s="314">
        <v>1</v>
      </c>
      <c r="K141" s="1098">
        <f>ROUND(100+(J141-J140)*K139*100,1)</f>
        <v>96.4</v>
      </c>
    </row>
    <row r="142" spans="1:17" ht="15">
      <c r="B142" s="1092">
        <v>3</v>
      </c>
      <c r="C142" s="1093">
        <v>103</v>
      </c>
      <c r="D142" s="1093"/>
      <c r="E142" s="1094"/>
      <c r="F142" s="1095">
        <v>101</v>
      </c>
      <c r="G142" s="1093"/>
      <c r="H142" s="1096"/>
      <c r="I142" s="2651" t="s">
        <v>2620</v>
      </c>
      <c r="J142" s="314">
        <f>J139</f>
        <v>20</v>
      </c>
      <c r="K142" s="1099">
        <v>95</v>
      </c>
    </row>
    <row r="143" spans="1:17" ht="15">
      <c r="B143" s="1092">
        <v>2</v>
      </c>
      <c r="C143" s="1093">
        <v>100</v>
      </c>
      <c r="D143" s="1093"/>
      <c r="E143" s="1094"/>
      <c r="F143" s="1095">
        <v>100.5</v>
      </c>
      <c r="G143" s="1093"/>
      <c r="H143" s="1096"/>
      <c r="I143" s="2651" t="s">
        <v>2621</v>
      </c>
      <c r="J143" s="1093">
        <v>15</v>
      </c>
      <c r="K143" s="1098">
        <f>ROUND(100+(J143-J140)*K139*100,1)</f>
        <v>102</v>
      </c>
    </row>
    <row r="144" spans="1:17" ht="15">
      <c r="B144" s="1092">
        <v>1</v>
      </c>
      <c r="C144" s="1093">
        <v>98</v>
      </c>
      <c r="D144" s="2652" t="s">
        <v>2622</v>
      </c>
      <c r="E144" s="1094">
        <v>102</v>
      </c>
      <c r="F144" s="1100">
        <v>100</v>
      </c>
      <c r="G144" s="2652" t="s">
        <v>2622</v>
      </c>
      <c r="H144" s="1096">
        <v>105</v>
      </c>
      <c r="I144" s="2651" t="s">
        <v>2621</v>
      </c>
      <c r="J144" s="1093">
        <v>18</v>
      </c>
      <c r="K144" s="1098">
        <f>ROUND(100+(J144-J140)*K139*100,1)</f>
        <v>103.2</v>
      </c>
    </row>
    <row r="145" spans="2:11" ht="15.75" thickBot="1">
      <c r="B145" s="2653" t="s">
        <v>2623</v>
      </c>
      <c r="C145" s="1101">
        <f>ROUND(MAX(C139:C144)/MIN(C139:C144)-1,3)</f>
        <v>7.2999999999999995E-2</v>
      </c>
      <c r="D145" s="1102"/>
      <c r="E145" s="1102"/>
      <c r="F145" s="2654" t="s">
        <v>2624</v>
      </c>
      <c r="G145" s="2655"/>
      <c r="H145" s="2656"/>
      <c r="I145" s="2657" t="s">
        <v>2621</v>
      </c>
      <c r="J145" s="1103">
        <v>8</v>
      </c>
      <c r="K145" s="1104">
        <f>ROUND(100+(J145-J140)*K139*100,1)</f>
        <v>99.2</v>
      </c>
    </row>
    <row r="147" spans="2:11">
      <c r="B147" s="2638" t="s">
        <v>2625</v>
      </c>
    </row>
    <row r="148" spans="2:11">
      <c r="B148" s="2638" t="s">
        <v>2626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2513</v>
      </c>
      <c r="B1" s="2583" t="s">
        <v>2627</v>
      </c>
      <c r="C1" s="1636" t="s">
        <v>2515</v>
      </c>
      <c r="D1" s="1623"/>
      <c r="E1" s="2658"/>
      <c r="F1" s="2585"/>
      <c r="G1" s="1633" t="s">
        <v>2628</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7" customFormat="1" ht="28.5" customHeight="1" thickTop="1">
      <c r="A2" s="1619" t="s">
        <v>2312</v>
      </c>
      <c r="B2" s="1420" t="e">
        <f ca="1">IF(C2="——",ROUND(C49*D3/10000,0),ROUND(C49*D3/10000,0)-D2)</f>
        <v>#DIV/0!</v>
      </c>
      <c r="C2" s="2587"/>
      <c r="D2" s="1367" t="e">
        <f ca="1">SUMIF(INDIRECT("'"&amp;F2&amp;"'"&amp;"!A:A"),"承租人权益价值",INDIRECT("'"&amp;F2&amp;"'"&amp;"!c:c"))</f>
        <v>#REF!</v>
      </c>
      <c r="E2" s="2588" t="s">
        <v>2313</v>
      </c>
      <c r="F2" s="2589"/>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7" customFormat="1" ht="28.5" customHeight="1" thickBot="1">
      <c r="A3" s="246" t="s">
        <v>2314</v>
      </c>
      <c r="B3" s="608" t="e">
        <f ca="1">IF(C2="——",C49,ROUND(B2*10000/D3,0))</f>
        <v>#DIV/0!</v>
      </c>
      <c r="C3" s="399" t="s">
        <v>2629</v>
      </c>
      <c r="D3" s="398">
        <f>IF(D1="",'数据-汇总表'!E3,SUMIF('数据-汇总表'!$C19:$C33,D1,'数据-汇总表'!$E19:$E33))</f>
        <v>47850.3</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07" t="s">
        <v>2632</v>
      </c>
      <c r="S4" s="3308"/>
      <c r="T4" s="3307" t="s">
        <v>2633</v>
      </c>
      <c r="U4" s="3308"/>
      <c r="V4" s="3332" t="s">
        <v>2634</v>
      </c>
      <c r="W4" s="3332"/>
      <c r="X4" s="1815"/>
      <c r="Y4" s="3307" t="s">
        <v>2636</v>
      </c>
      <c r="Z4" s="3308"/>
      <c r="AA4" s="3302" t="s">
        <v>2632</v>
      </c>
      <c r="AB4" s="3332" t="s">
        <v>2633</v>
      </c>
      <c r="AC4" s="3302" t="s">
        <v>2634</v>
      </c>
    </row>
    <row r="5" spans="1:29" ht="15">
      <c r="A5" s="403"/>
      <c r="B5" s="404"/>
      <c r="C5" s="3313" t="s">
        <v>2527</v>
      </c>
      <c r="D5" s="3314"/>
      <c r="E5" s="3311" t="s">
        <v>2528</v>
      </c>
      <c r="F5" s="3312"/>
      <c r="G5" s="3313" t="s">
        <v>2529</v>
      </c>
      <c r="H5" s="3314"/>
      <c r="I5" s="3313" t="s">
        <v>2530</v>
      </c>
      <c r="J5" s="3314"/>
      <c r="K5" s="609"/>
      <c r="L5" s="1132"/>
      <c r="M5" s="1133"/>
      <c r="N5" s="1133"/>
      <c r="O5" s="1133"/>
      <c r="P5" s="3326"/>
      <c r="Q5" s="3327"/>
      <c r="R5" s="3309"/>
      <c r="S5" s="3310"/>
      <c r="T5" s="3309"/>
      <c r="U5" s="3310"/>
      <c r="V5" s="3332"/>
      <c r="W5" s="3332"/>
      <c r="X5" s="1815"/>
      <c r="Y5" s="3309"/>
      <c r="Z5" s="3310"/>
      <c r="AA5" s="3303"/>
      <c r="AB5" s="3332"/>
      <c r="AC5" s="3303"/>
    </row>
    <row r="6" spans="1:29" ht="15.75" thickBot="1">
      <c r="A6" s="405"/>
      <c r="B6" s="406"/>
      <c r="C6" s="3315" t="s">
        <v>2531</v>
      </c>
      <c r="D6" s="3316"/>
      <c r="E6" s="3317" t="s">
        <v>2531</v>
      </c>
      <c r="F6" s="3318"/>
      <c r="G6" s="3315" t="s">
        <v>2531</v>
      </c>
      <c r="H6" s="3316"/>
      <c r="I6" s="3315" t="s">
        <v>2531</v>
      </c>
      <c r="J6" s="3316"/>
      <c r="K6" s="609" t="s">
        <v>2532</v>
      </c>
      <c r="L6" s="1132"/>
      <c r="M6" s="1133"/>
      <c r="N6" s="1133"/>
      <c r="O6" s="1133"/>
      <c r="P6" s="3328"/>
      <c r="Q6" s="3329"/>
      <c r="R6" s="3309"/>
      <c r="S6" s="3310"/>
      <c r="T6" s="3330"/>
      <c r="U6" s="3331"/>
      <c r="V6" s="3332"/>
      <c r="W6" s="3332"/>
      <c r="X6" s="1815"/>
      <c r="Y6" s="3330"/>
      <c r="Z6" s="3331"/>
      <c r="AA6" s="3304"/>
      <c r="AB6" s="3332"/>
      <c r="AC6" s="3304"/>
    </row>
    <row r="7" spans="1:29" s="117" customFormat="1" ht="15.75" thickBot="1">
      <c r="A7" s="407" t="s">
        <v>2533</v>
      </c>
      <c r="B7" s="408"/>
      <c r="C7" s="409">
        <f>'数据-取费表'!B2</f>
        <v>43116</v>
      </c>
      <c r="D7" s="410">
        <v>100</v>
      </c>
      <c r="E7" s="411"/>
      <c r="F7" s="412">
        <f>SUMIF(58:58,YEAR(E7)&amp;"-"&amp;MONTH(E7),59:59)</f>
        <v>0</v>
      </c>
      <c r="G7" s="411"/>
      <c r="H7" s="410">
        <f>SUMIF(58:58,YEAR(G7)&amp;"-"&amp;MONTH(G7),59:59)</f>
        <v>0</v>
      </c>
      <c r="I7" s="411"/>
      <c r="J7" s="410">
        <f>SUMIF(58:58,YEAR(I7)&amp;"-"&amp;MONTH(I7),59:59)</f>
        <v>0</v>
      </c>
      <c r="K7" s="610"/>
      <c r="L7" s="1134"/>
      <c r="M7" s="1135"/>
      <c r="N7" s="1135"/>
      <c r="O7" s="1135"/>
      <c r="P7" s="3305" t="s">
        <v>2534</v>
      </c>
      <c r="Q7" s="3333"/>
      <c r="R7" s="769" t="s">
        <v>17</v>
      </c>
      <c r="S7" s="770">
        <f t="shared" ref="S7:S15" si="0">F7</f>
        <v>0</v>
      </c>
      <c r="T7" s="769" t="s">
        <v>17</v>
      </c>
      <c r="U7" s="770">
        <f t="shared" ref="U7:U15" si="1">H7</f>
        <v>0</v>
      </c>
      <c r="V7" s="769" t="s">
        <v>17</v>
      </c>
      <c r="W7" s="770">
        <f t="shared" ref="W7:W15" si="2">J7</f>
        <v>0</v>
      </c>
      <c r="X7" s="771"/>
      <c r="Y7" s="3305" t="s">
        <v>2534</v>
      </c>
      <c r="Z7" s="3306"/>
      <c r="AA7" s="772" t="e">
        <f>D7/F7</f>
        <v>#DIV/0!</v>
      </c>
      <c r="AB7" s="772" t="e">
        <f>D7/H7</f>
        <v>#DIV/0!</v>
      </c>
      <c r="AC7" s="772" t="e">
        <f>D7/J7</f>
        <v>#DIV/0!</v>
      </c>
    </row>
    <row r="8" spans="1:29" s="117" customFormat="1" ht="15.75" thickBot="1">
      <c r="A8" s="407" t="s">
        <v>2535</v>
      </c>
      <c r="B8" s="408"/>
      <c r="C8" s="413" t="s">
        <v>2637</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305" t="s">
        <v>2537</v>
      </c>
      <c r="Q8" s="3306"/>
      <c r="R8" s="769" t="s">
        <v>17</v>
      </c>
      <c r="S8" s="770">
        <f t="shared" si="0"/>
        <v>0</v>
      </c>
      <c r="T8" s="769" t="s">
        <v>17</v>
      </c>
      <c r="U8" s="770">
        <f t="shared" si="1"/>
        <v>0</v>
      </c>
      <c r="V8" s="769" t="s">
        <v>17</v>
      </c>
      <c r="W8" s="770">
        <f t="shared" si="2"/>
        <v>0</v>
      </c>
      <c r="X8" s="771"/>
      <c r="Y8" s="3305" t="s">
        <v>2537</v>
      </c>
      <c r="Z8" s="3306"/>
      <c r="AA8" s="772" t="e">
        <f t="shared" ref="AA8:AA46" si="3">D8/F8</f>
        <v>#DIV/0!</v>
      </c>
      <c r="AB8" s="772" t="e">
        <f t="shared" ref="AB8:AB46" si="4">D8/H8</f>
        <v>#DIV/0!</v>
      </c>
      <c r="AC8" s="772" t="e">
        <f t="shared" ref="AC8:AC46" si="5">D8/J8</f>
        <v>#DIV/0!</v>
      </c>
    </row>
    <row r="9" spans="1:29" s="117" customFormat="1">
      <c r="A9" s="414" t="s">
        <v>2538</v>
      </c>
      <c r="B9" s="71" t="s">
        <v>2539</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319" t="s">
        <v>2540</v>
      </c>
      <c r="Q9" s="1797" t="str">
        <f t="shared" ref="Q9:Q15" si="6">B9</f>
        <v>用途</v>
      </c>
      <c r="R9" s="769" t="s">
        <v>17</v>
      </c>
      <c r="S9" s="770">
        <f t="shared" si="0"/>
        <v>100</v>
      </c>
      <c r="T9" s="769" t="s">
        <v>17</v>
      </c>
      <c r="U9" s="770">
        <f t="shared" si="1"/>
        <v>100</v>
      </c>
      <c r="V9" s="769" t="s">
        <v>17</v>
      </c>
      <c r="W9" s="770">
        <f t="shared" si="2"/>
        <v>100</v>
      </c>
      <c r="X9" s="771"/>
      <c r="Y9" s="3132" t="s">
        <v>2541</v>
      </c>
      <c r="Z9" s="55" t="str">
        <f t="shared" ref="Z9:Z15" si="7">Q9</f>
        <v>用途</v>
      </c>
      <c r="AA9" s="772">
        <f t="shared" si="3"/>
        <v>1</v>
      </c>
      <c r="AB9" s="772">
        <f t="shared" si="4"/>
        <v>1</v>
      </c>
      <c r="AC9" s="772">
        <f t="shared" si="5"/>
        <v>1</v>
      </c>
    </row>
    <row r="10" spans="1:29" s="426" customFormat="1" ht="27">
      <c r="A10" s="420"/>
      <c r="B10" s="421" t="s">
        <v>2542</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319"/>
      <c r="Q10" s="1797" t="str">
        <f t="shared" si="6"/>
        <v>土地使用年限（年）</v>
      </c>
      <c r="R10" s="769" t="s">
        <v>17</v>
      </c>
      <c r="S10" s="770">
        <f t="shared" si="0"/>
        <v>100</v>
      </c>
      <c r="T10" s="769" t="s">
        <v>17</v>
      </c>
      <c r="U10" s="770">
        <f t="shared" si="1"/>
        <v>100</v>
      </c>
      <c r="V10" s="769" t="s">
        <v>17</v>
      </c>
      <c r="W10" s="770">
        <f t="shared" si="2"/>
        <v>100</v>
      </c>
      <c r="X10" s="771"/>
      <c r="Y10" s="3132"/>
      <c r="Z10" s="55" t="str">
        <f t="shared" si="7"/>
        <v>土地使用年限（年）</v>
      </c>
      <c r="AA10" s="772">
        <f t="shared" si="3"/>
        <v>1</v>
      </c>
      <c r="AB10" s="772">
        <f t="shared" si="4"/>
        <v>1</v>
      </c>
      <c r="AC10" s="772">
        <f t="shared" si="5"/>
        <v>1</v>
      </c>
    </row>
    <row r="11" spans="1:29" ht="15">
      <c r="A11" s="427"/>
      <c r="B11" s="421" t="s">
        <v>2543</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319"/>
      <c r="Q11" s="1797" t="str">
        <f t="shared" si="6"/>
        <v>容积率</v>
      </c>
      <c r="R11" s="769" t="s">
        <v>17</v>
      </c>
      <c r="S11" s="770" t="e">
        <f t="shared" si="0"/>
        <v>#N/A</v>
      </c>
      <c r="T11" s="769" t="s">
        <v>17</v>
      </c>
      <c r="U11" s="770" t="e">
        <f t="shared" si="1"/>
        <v>#N/A</v>
      </c>
      <c r="V11" s="769" t="s">
        <v>17</v>
      </c>
      <c r="W11" s="770" t="e">
        <f t="shared" si="2"/>
        <v>#N/A</v>
      </c>
      <c r="X11" s="771"/>
      <c r="Y11" s="3132"/>
      <c r="Z11" s="55" t="str">
        <f t="shared" si="7"/>
        <v>容积率</v>
      </c>
      <c r="AA11" s="772" t="e">
        <f t="shared" si="3"/>
        <v>#N/A</v>
      </c>
      <c r="AB11" s="772" t="e">
        <f t="shared" si="4"/>
        <v>#N/A</v>
      </c>
      <c r="AC11" s="772" t="e">
        <f t="shared" si="5"/>
        <v>#N/A</v>
      </c>
    </row>
    <row r="12" spans="1:29" s="117" customFormat="1" ht="15">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319"/>
      <c r="Q12" s="1797">
        <f t="shared" si="6"/>
        <v>111</v>
      </c>
      <c r="R12" s="769" t="s">
        <v>17</v>
      </c>
      <c r="S12" s="770">
        <f t="shared" si="0"/>
        <v>100</v>
      </c>
      <c r="T12" s="769" t="s">
        <v>17</v>
      </c>
      <c r="U12" s="770">
        <f t="shared" si="1"/>
        <v>100</v>
      </c>
      <c r="V12" s="769" t="s">
        <v>17</v>
      </c>
      <c r="W12" s="770">
        <f t="shared" si="2"/>
        <v>100</v>
      </c>
      <c r="X12" s="771"/>
      <c r="Y12" s="3132"/>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319"/>
      <c r="Q13" s="1797">
        <f t="shared" si="6"/>
        <v>111</v>
      </c>
      <c r="R13" s="769" t="s">
        <v>17</v>
      </c>
      <c r="S13" s="770">
        <f t="shared" si="0"/>
        <v>100</v>
      </c>
      <c r="T13" s="769" t="s">
        <v>17</v>
      </c>
      <c r="U13" s="770">
        <f t="shared" si="1"/>
        <v>100</v>
      </c>
      <c r="V13" s="769" t="s">
        <v>17</v>
      </c>
      <c r="W13" s="770">
        <f t="shared" si="2"/>
        <v>100</v>
      </c>
      <c r="X13" s="771"/>
      <c r="Y13" s="3132"/>
      <c r="Z13" s="55">
        <f t="shared" si="7"/>
        <v>111</v>
      </c>
      <c r="AA13" s="772">
        <f t="shared" si="3"/>
        <v>1</v>
      </c>
      <c r="AB13" s="772">
        <f t="shared" si="4"/>
        <v>1</v>
      </c>
      <c r="AC13" s="772">
        <f t="shared" si="5"/>
        <v>1</v>
      </c>
    </row>
    <row r="14" spans="1:29" ht="15.75"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319"/>
      <c r="Q14" s="1797">
        <f t="shared" si="6"/>
        <v>111</v>
      </c>
      <c r="R14" s="769" t="s">
        <v>17</v>
      </c>
      <c r="S14" s="770">
        <f t="shared" si="0"/>
        <v>100</v>
      </c>
      <c r="T14" s="769" t="s">
        <v>17</v>
      </c>
      <c r="U14" s="770">
        <f t="shared" si="1"/>
        <v>100</v>
      </c>
      <c r="V14" s="769" t="s">
        <v>17</v>
      </c>
      <c r="W14" s="770">
        <f t="shared" si="2"/>
        <v>100</v>
      </c>
      <c r="X14" s="771"/>
      <c r="Y14" s="3132"/>
      <c r="Z14" s="55">
        <f t="shared" si="7"/>
        <v>111</v>
      </c>
      <c r="AA14" s="772">
        <f t="shared" si="3"/>
        <v>1</v>
      </c>
      <c r="AB14" s="772">
        <f t="shared" si="4"/>
        <v>1</v>
      </c>
      <c r="AC14" s="772">
        <f t="shared" si="5"/>
        <v>1</v>
      </c>
    </row>
    <row r="15" spans="1:29" ht="15">
      <c r="A15" s="439" t="s">
        <v>2544</v>
      </c>
      <c r="B15" s="69" t="s">
        <v>2638</v>
      </c>
      <c r="C15" s="2604">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346" t="s">
        <v>2545</v>
      </c>
      <c r="Q15" s="1812" t="str">
        <f t="shared" si="6"/>
        <v>商业繁华度</v>
      </c>
      <c r="R15" s="773" t="s">
        <v>17</v>
      </c>
      <c r="S15" s="774">
        <f t="shared" si="0"/>
        <v>100</v>
      </c>
      <c r="T15" s="773" t="s">
        <v>17</v>
      </c>
      <c r="U15" s="774">
        <f t="shared" si="1"/>
        <v>100</v>
      </c>
      <c r="V15" s="773" t="s">
        <v>17</v>
      </c>
      <c r="W15" s="774">
        <f t="shared" si="2"/>
        <v>100</v>
      </c>
      <c r="X15" s="1815"/>
      <c r="Y15" s="3339" t="s">
        <v>2545</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347"/>
      <c r="Q16" s="1812"/>
      <c r="R16" s="773"/>
      <c r="S16" s="774"/>
      <c r="T16" s="773"/>
      <c r="U16" s="774"/>
      <c r="V16" s="773"/>
      <c r="W16" s="774"/>
      <c r="X16" s="1815"/>
      <c r="Y16" s="3340"/>
      <c r="Z16" s="1816"/>
      <c r="AA16" s="1813">
        <v>1</v>
      </c>
      <c r="AB16" s="1813">
        <v>1</v>
      </c>
      <c r="AC16" s="1813">
        <v>1</v>
      </c>
    </row>
    <row r="17" spans="1:29" ht="15">
      <c r="A17" s="427"/>
      <c r="B17" s="450" t="s">
        <v>2088</v>
      </c>
      <c r="C17" s="2608">
        <f>估价对象房地状况!C6</f>
        <v>0</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347"/>
      <c r="Q17" s="1812" t="str">
        <f>B17</f>
        <v>交通便捷度</v>
      </c>
      <c r="R17" s="773" t="s">
        <v>17</v>
      </c>
      <c r="S17" s="774">
        <f>F17</f>
        <v>100</v>
      </c>
      <c r="T17" s="773" t="s">
        <v>17</v>
      </c>
      <c r="U17" s="774">
        <f>H17</f>
        <v>100</v>
      </c>
      <c r="V17" s="773" t="s">
        <v>17</v>
      </c>
      <c r="W17" s="774">
        <f>J17</f>
        <v>100</v>
      </c>
      <c r="X17" s="1815"/>
      <c r="Y17" s="3340"/>
      <c r="Z17" s="1816" t="str">
        <f>Q17</f>
        <v>交通便捷度</v>
      </c>
      <c r="AA17" s="1813">
        <f t="shared" si="3"/>
        <v>1</v>
      </c>
      <c r="AB17" s="1813">
        <f t="shared" si="4"/>
        <v>1</v>
      </c>
      <c r="AC17" s="1813">
        <f t="shared" si="5"/>
        <v>1</v>
      </c>
    </row>
    <row r="18" spans="1:29" ht="15">
      <c r="A18" s="427"/>
      <c r="B18" s="455"/>
      <c r="C18" s="2609"/>
      <c r="D18" s="449"/>
      <c r="E18" s="2611"/>
      <c r="F18" s="452"/>
      <c r="G18" s="2610"/>
      <c r="H18" s="447"/>
      <c r="I18" s="2611"/>
      <c r="J18" s="447"/>
      <c r="K18" s="614"/>
      <c r="L18" s="1142"/>
      <c r="M18" s="1133"/>
      <c r="N18" s="1133"/>
      <c r="O18" s="1133"/>
      <c r="P18" s="3347"/>
      <c r="Q18" s="1812"/>
      <c r="R18" s="773"/>
      <c r="S18" s="774"/>
      <c r="T18" s="773"/>
      <c r="U18" s="774"/>
      <c r="V18" s="773"/>
      <c r="W18" s="774"/>
      <c r="X18" s="1815"/>
      <c r="Y18" s="3340"/>
      <c r="Z18" s="1816"/>
      <c r="AA18" s="1813">
        <v>1</v>
      </c>
      <c r="AB18" s="1813">
        <v>1</v>
      </c>
      <c r="AC18" s="1813">
        <v>1</v>
      </c>
    </row>
    <row r="19" spans="1:29" ht="15">
      <c r="A19" s="427"/>
      <c r="B19" s="450" t="s">
        <v>2639</v>
      </c>
      <c r="C19" s="2608">
        <f>估价对象房地状况!C7</f>
        <v>0</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347"/>
      <c r="Q19" s="1812" t="str">
        <f>B19</f>
        <v>公共配套设施</v>
      </c>
      <c r="R19" s="773" t="s">
        <v>17</v>
      </c>
      <c r="S19" s="774">
        <f>F19</f>
        <v>100</v>
      </c>
      <c r="T19" s="773" t="s">
        <v>17</v>
      </c>
      <c r="U19" s="774">
        <f>H19</f>
        <v>100</v>
      </c>
      <c r="V19" s="773" t="s">
        <v>17</v>
      </c>
      <c r="W19" s="774">
        <f>J19</f>
        <v>100</v>
      </c>
      <c r="X19" s="1815"/>
      <c r="Y19" s="3340"/>
      <c r="Z19" s="1816" t="str">
        <f>Q19</f>
        <v>公共配套设施</v>
      </c>
      <c r="AA19" s="1813">
        <f t="shared" si="3"/>
        <v>1</v>
      </c>
      <c r="AB19" s="1813">
        <f t="shared" si="4"/>
        <v>1</v>
      </c>
      <c r="AC19" s="1813">
        <f t="shared" si="5"/>
        <v>1</v>
      </c>
    </row>
    <row r="20" spans="1:29" ht="15">
      <c r="A20" s="427"/>
      <c r="B20" s="455"/>
      <c r="C20" s="446"/>
      <c r="D20" s="447"/>
      <c r="E20" s="2606"/>
      <c r="F20" s="448"/>
      <c r="G20" s="2605"/>
      <c r="H20" s="447"/>
      <c r="I20" s="2606"/>
      <c r="J20" s="447"/>
      <c r="K20" s="614"/>
      <c r="L20" s="1142"/>
      <c r="M20" s="1133"/>
      <c r="N20" s="1133"/>
      <c r="O20" s="1133"/>
      <c r="P20" s="3347"/>
      <c r="Q20" s="1812"/>
      <c r="R20" s="773"/>
      <c r="S20" s="774"/>
      <c r="T20" s="773"/>
      <c r="U20" s="774"/>
      <c r="V20" s="773"/>
      <c r="W20" s="774"/>
      <c r="X20" s="1815"/>
      <c r="Y20" s="3340"/>
      <c r="Z20" s="1816"/>
      <c r="AA20" s="1813">
        <v>1</v>
      </c>
      <c r="AB20" s="1813">
        <v>1</v>
      </c>
      <c r="AC20" s="1813">
        <v>1</v>
      </c>
    </row>
    <row r="21" spans="1:29" ht="15">
      <c r="A21" s="427"/>
      <c r="B21" s="1386" t="s">
        <v>2640</v>
      </c>
      <c r="C21" s="2608">
        <f>估价对象房地状况!C8</f>
        <v>0</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347"/>
      <c r="Q21" s="1812" t="str">
        <f>B21</f>
        <v>基础设施水平</v>
      </c>
      <c r="R21" s="773" t="s">
        <v>17</v>
      </c>
      <c r="S21" s="774">
        <f>F21</f>
        <v>100</v>
      </c>
      <c r="T21" s="773" t="s">
        <v>17</v>
      </c>
      <c r="U21" s="774">
        <f>H21</f>
        <v>100</v>
      </c>
      <c r="V21" s="773" t="s">
        <v>17</v>
      </c>
      <c r="W21" s="774">
        <f>J21</f>
        <v>100</v>
      </c>
      <c r="X21" s="1815"/>
      <c r="Y21" s="3340"/>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8"/>
      <c r="G22" s="446"/>
      <c r="H22" s="447"/>
      <c r="I22" s="446"/>
      <c r="J22" s="447"/>
      <c r="K22" s="1385"/>
      <c r="L22" s="1142"/>
      <c r="M22" s="1133"/>
      <c r="N22" s="1133"/>
      <c r="O22" s="1133"/>
      <c r="P22" s="3347"/>
      <c r="Q22" s="1812"/>
      <c r="R22" s="773"/>
      <c r="S22" s="774"/>
      <c r="T22" s="773"/>
      <c r="U22" s="774"/>
      <c r="V22" s="773"/>
      <c r="W22" s="774"/>
      <c r="X22" s="1815"/>
      <c r="Y22" s="3340"/>
      <c r="Z22" s="1816"/>
      <c r="AA22" s="1813">
        <v>1</v>
      </c>
      <c r="AB22" s="1813">
        <v>1</v>
      </c>
      <c r="AC22" s="1813">
        <v>1</v>
      </c>
    </row>
    <row r="23" spans="1:29" ht="15">
      <c r="A23" s="427"/>
      <c r="B23" s="450" t="s">
        <v>2091</v>
      </c>
      <c r="C23" s="2665">
        <f>估价对象房地状况!C9</f>
        <v>0</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347"/>
      <c r="Q23" s="1812" t="str">
        <f>B23</f>
        <v>自然及人文环境</v>
      </c>
      <c r="R23" s="773" t="s">
        <v>17</v>
      </c>
      <c r="S23" s="774">
        <f>F23</f>
        <v>100</v>
      </c>
      <c r="T23" s="773" t="s">
        <v>17</v>
      </c>
      <c r="U23" s="774">
        <f>H23</f>
        <v>100</v>
      </c>
      <c r="V23" s="773" t="s">
        <v>17</v>
      </c>
      <c r="W23" s="774">
        <f>J23</f>
        <v>100</v>
      </c>
      <c r="X23" s="1815"/>
      <c r="Y23" s="3340"/>
      <c r="Z23" s="1816" t="str">
        <f>Q23</f>
        <v>自然及人文环境</v>
      </c>
      <c r="AA23" s="1813">
        <f t="shared" si="3"/>
        <v>1</v>
      </c>
      <c r="AB23" s="1813">
        <f t="shared" si="4"/>
        <v>1</v>
      </c>
      <c r="AC23" s="1813">
        <f t="shared" si="5"/>
        <v>1</v>
      </c>
    </row>
    <row r="24" spans="1:29" ht="15">
      <c r="A24" s="427"/>
      <c r="B24" s="455"/>
      <c r="C24" s="446"/>
      <c r="D24" s="447"/>
      <c r="E24" s="2606"/>
      <c r="F24" s="448"/>
      <c r="G24" s="2605"/>
      <c r="H24" s="447"/>
      <c r="I24" s="2606"/>
      <c r="J24" s="447"/>
      <c r="K24" s="614"/>
      <c r="L24" s="1142"/>
      <c r="M24" s="1133"/>
      <c r="N24" s="1133"/>
      <c r="O24" s="1133"/>
      <c r="P24" s="3347"/>
      <c r="Q24" s="1812"/>
      <c r="R24" s="773"/>
      <c r="S24" s="774"/>
      <c r="T24" s="773"/>
      <c r="U24" s="774"/>
      <c r="V24" s="773"/>
      <c r="W24" s="774"/>
      <c r="X24" s="1815"/>
      <c r="Y24" s="3340"/>
      <c r="Z24" s="1816"/>
      <c r="AA24" s="1813">
        <v>1</v>
      </c>
      <c r="AB24" s="1813">
        <v>1</v>
      </c>
      <c r="AC24" s="1813">
        <v>1</v>
      </c>
    </row>
    <row r="25" spans="1:29" ht="15">
      <c r="A25" s="427"/>
      <c r="B25" s="421" t="s">
        <v>2641</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347"/>
      <c r="Q25" s="1812" t="str">
        <f t="shared" ref="Q25:Q46" si="11">B25</f>
        <v>临街状况</v>
      </c>
      <c r="R25" s="773" t="s">
        <v>17</v>
      </c>
      <c r="S25" s="774">
        <f>F25</f>
        <v>100</v>
      </c>
      <c r="T25" s="773" t="s">
        <v>17</v>
      </c>
      <c r="U25" s="774">
        <f>H25</f>
        <v>100</v>
      </c>
      <c r="V25" s="773" t="s">
        <v>17</v>
      </c>
      <c r="W25" s="774">
        <f>J25</f>
        <v>100</v>
      </c>
      <c r="X25" s="1815"/>
      <c r="Y25" s="3340"/>
      <c r="Z25" s="1816" t="str">
        <f>Q25</f>
        <v>临街状况</v>
      </c>
      <c r="AA25" s="1813">
        <f t="shared" si="3"/>
        <v>1</v>
      </c>
      <c r="AB25" s="1813">
        <f t="shared" si="4"/>
        <v>1</v>
      </c>
      <c r="AC25" s="1813">
        <f t="shared" si="5"/>
        <v>1</v>
      </c>
    </row>
    <row r="26" spans="1:29" ht="15">
      <c r="A26" s="427"/>
      <c r="B26" s="1388" t="s">
        <v>2642</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347"/>
      <c r="Q26" s="1812" t="str">
        <f t="shared" si="11"/>
        <v>平面位置/可视性</v>
      </c>
      <c r="R26" s="773" t="s">
        <v>17</v>
      </c>
      <c r="S26" s="774">
        <f>F26</f>
        <v>100</v>
      </c>
      <c r="T26" s="773" t="s">
        <v>17</v>
      </c>
      <c r="U26" s="774">
        <f>H26</f>
        <v>100</v>
      </c>
      <c r="V26" s="773" t="s">
        <v>17</v>
      </c>
      <c r="W26" s="774">
        <f>J26</f>
        <v>100</v>
      </c>
      <c r="X26" s="1815"/>
      <c r="Y26" s="3340"/>
      <c r="Z26" s="1816" t="str">
        <f>Q26</f>
        <v>平面位置/可视性</v>
      </c>
      <c r="AA26" s="1813">
        <f t="shared" si="3"/>
        <v>1</v>
      </c>
      <c r="AB26" s="1813">
        <f t="shared" si="4"/>
        <v>1</v>
      </c>
      <c r="AC26" s="1813">
        <f t="shared" si="5"/>
        <v>1</v>
      </c>
    </row>
    <row r="27" spans="1:29" s="117" customFormat="1" ht="15">
      <c r="A27" s="430"/>
      <c r="B27" s="450" t="s">
        <v>2643</v>
      </c>
      <c r="C27" s="2666"/>
      <c r="D27" s="461">
        <v>100</v>
      </c>
      <c r="E27" s="2666"/>
      <c r="F27" s="463">
        <f>SUMIF(90:90,E27,91:91)-SUMIF(90:90,C27,91:91)+100</f>
        <v>100</v>
      </c>
      <c r="G27" s="2666"/>
      <c r="H27" s="461">
        <f>SUMIF(90:90,G27,91:91)-SUMIF(90:90,C27,91:91)+100</f>
        <v>100</v>
      </c>
      <c r="I27" s="2666"/>
      <c r="J27" s="461">
        <f>SUMIF(90:90,I27,91:91)-SUMIF(90:90,C27,91:91)+100</f>
        <v>100</v>
      </c>
      <c r="K27" s="611"/>
      <c r="L27" s="1134"/>
      <c r="M27" s="1135"/>
      <c r="N27" s="1135"/>
      <c r="O27" s="1135"/>
      <c r="P27" s="3347"/>
      <c r="Q27" s="1797" t="str">
        <f t="shared" si="11"/>
        <v>人流量</v>
      </c>
      <c r="R27" s="769" t="s">
        <v>17</v>
      </c>
      <c r="S27" s="770">
        <f>F27</f>
        <v>100</v>
      </c>
      <c r="T27" s="769" t="s">
        <v>17</v>
      </c>
      <c r="U27" s="770">
        <f>H27</f>
        <v>100</v>
      </c>
      <c r="V27" s="769" t="s">
        <v>17</v>
      </c>
      <c r="W27" s="770">
        <f>J27</f>
        <v>100</v>
      </c>
      <c r="X27" s="771"/>
      <c r="Y27" s="3340"/>
      <c r="Z27" s="55" t="str">
        <f>Q27</f>
        <v>人流量</v>
      </c>
      <c r="AA27" s="1813">
        <f>D27/F27</f>
        <v>1</v>
      </c>
      <c r="AB27" s="1813">
        <f>D27/H27</f>
        <v>1</v>
      </c>
      <c r="AC27" s="1813">
        <f>D27/J27</f>
        <v>1</v>
      </c>
    </row>
    <row r="28" spans="1:29" ht="15">
      <c r="A28" s="427"/>
      <c r="B28" s="421" t="s">
        <v>2644</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347"/>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340"/>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347"/>
      <c r="Q29" s="1812">
        <f t="shared" si="11"/>
        <v>111</v>
      </c>
      <c r="R29" s="773" t="s">
        <v>17</v>
      </c>
      <c r="S29" s="774">
        <f t="shared" si="12"/>
        <v>100</v>
      </c>
      <c r="T29" s="773" t="s">
        <v>17</v>
      </c>
      <c r="U29" s="774">
        <f t="shared" si="13"/>
        <v>100</v>
      </c>
      <c r="V29" s="773" t="s">
        <v>17</v>
      </c>
      <c r="W29" s="774">
        <f t="shared" si="14"/>
        <v>100</v>
      </c>
      <c r="X29" s="1815"/>
      <c r="Y29" s="3340"/>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347"/>
      <c r="Q30" s="1812">
        <f t="shared" si="11"/>
        <v>111</v>
      </c>
      <c r="R30" s="773" t="s">
        <v>17</v>
      </c>
      <c r="S30" s="774">
        <f t="shared" si="12"/>
        <v>100</v>
      </c>
      <c r="T30" s="773" t="s">
        <v>17</v>
      </c>
      <c r="U30" s="774">
        <f t="shared" si="13"/>
        <v>100</v>
      </c>
      <c r="V30" s="773" t="s">
        <v>17</v>
      </c>
      <c r="W30" s="774">
        <f t="shared" si="14"/>
        <v>100</v>
      </c>
      <c r="X30" s="1815"/>
      <c r="Y30" s="3340"/>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347"/>
      <c r="Q31" s="1812">
        <f t="shared" si="11"/>
        <v>111</v>
      </c>
      <c r="R31" s="773" t="s">
        <v>17</v>
      </c>
      <c r="S31" s="774">
        <f t="shared" si="12"/>
        <v>100</v>
      </c>
      <c r="T31" s="773" t="s">
        <v>17</v>
      </c>
      <c r="U31" s="774">
        <f t="shared" si="13"/>
        <v>100</v>
      </c>
      <c r="V31" s="773" t="s">
        <v>17</v>
      </c>
      <c r="W31" s="774">
        <f t="shared" si="14"/>
        <v>100</v>
      </c>
      <c r="X31" s="1815"/>
      <c r="Y31" s="3340"/>
      <c r="Z31" s="1816">
        <f t="shared" si="15"/>
        <v>111</v>
      </c>
      <c r="AA31" s="1813">
        <f t="shared" si="3"/>
        <v>1</v>
      </c>
      <c r="AB31" s="1813">
        <f t="shared" si="4"/>
        <v>1</v>
      </c>
      <c r="AC31" s="1813">
        <f t="shared" si="5"/>
        <v>1</v>
      </c>
    </row>
    <row r="32" spans="1:29" ht="15">
      <c r="A32" s="439" t="s">
        <v>2548</v>
      </c>
      <c r="B32" s="71" t="s">
        <v>2645</v>
      </c>
      <c r="C32" s="2618"/>
      <c r="D32" s="466">
        <v>100</v>
      </c>
      <c r="E32" s="2618"/>
      <c r="F32" s="460">
        <f>SUMIF(100:100,E32,101:101)-SUMIF(100:100,C32,101:101)+100</f>
        <v>100</v>
      </c>
      <c r="G32" s="2618"/>
      <c r="H32" s="434">
        <f>SUMIF(100:100,G32,101:101)-SUMIF(100:100,C32,101:101)+100</f>
        <v>100</v>
      </c>
      <c r="I32" s="2618"/>
      <c r="J32" s="466">
        <f>SUMIF(100:100,I32,101:101)-SUMIF(100:100,C32,101:101)+100</f>
        <v>100</v>
      </c>
      <c r="K32" s="611"/>
      <c r="L32" s="1142"/>
      <c r="M32" s="1133"/>
      <c r="N32" s="1133"/>
      <c r="O32" s="1133"/>
      <c r="P32" s="3341" t="s">
        <v>2550</v>
      </c>
      <c r="Q32" s="1812" t="str">
        <f t="shared" si="11"/>
        <v>商业类型</v>
      </c>
      <c r="R32" s="773" t="s">
        <v>17</v>
      </c>
      <c r="S32" s="774">
        <f t="shared" si="12"/>
        <v>100</v>
      </c>
      <c r="T32" s="773" t="s">
        <v>17</v>
      </c>
      <c r="U32" s="774">
        <f t="shared" si="13"/>
        <v>100</v>
      </c>
      <c r="V32" s="773" t="s">
        <v>17</v>
      </c>
      <c r="W32" s="774">
        <f t="shared" si="14"/>
        <v>100</v>
      </c>
      <c r="X32" s="1815"/>
      <c r="Y32" s="3344" t="s">
        <v>2550</v>
      </c>
      <c r="Z32" s="1816" t="str">
        <f t="shared" si="15"/>
        <v>商业类型</v>
      </c>
      <c r="AA32" s="1813">
        <f t="shared" si="3"/>
        <v>1</v>
      </c>
      <c r="AB32" s="1813">
        <f t="shared" si="4"/>
        <v>1</v>
      </c>
      <c r="AC32" s="1813">
        <f t="shared" si="5"/>
        <v>1</v>
      </c>
    </row>
    <row r="33" spans="1:29" s="470" customFormat="1" ht="15">
      <c r="A33" s="467"/>
      <c r="B33" s="421" t="s">
        <v>2551</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342"/>
      <c r="Q33" s="775" t="str">
        <f t="shared" si="11"/>
        <v>项目建筑规模</v>
      </c>
      <c r="R33" s="776" t="s">
        <v>17</v>
      </c>
      <c r="S33" s="777" t="e">
        <f t="shared" si="12"/>
        <v>#N/A</v>
      </c>
      <c r="T33" s="776" t="s">
        <v>17</v>
      </c>
      <c r="U33" s="777" t="e">
        <f t="shared" si="13"/>
        <v>#N/A</v>
      </c>
      <c r="V33" s="776" t="s">
        <v>17</v>
      </c>
      <c r="W33" s="777" t="e">
        <f t="shared" si="14"/>
        <v>#N/A</v>
      </c>
      <c r="X33" s="778"/>
      <c r="Y33" s="3344"/>
      <c r="Z33" s="779" t="str">
        <f t="shared" si="15"/>
        <v>项目建筑规模</v>
      </c>
      <c r="AA33" s="1813" t="e">
        <f t="shared" si="3"/>
        <v>#N/A</v>
      </c>
      <c r="AB33" s="1813" t="e">
        <f t="shared" si="4"/>
        <v>#N/A</v>
      </c>
      <c r="AC33" s="1813" t="e">
        <f t="shared" si="5"/>
        <v>#N/A</v>
      </c>
    </row>
    <row r="34" spans="1:29" ht="15">
      <c r="A34" s="471"/>
      <c r="B34" s="421" t="s">
        <v>2552</v>
      </c>
      <c r="C34" s="2620"/>
      <c r="D34" s="434">
        <v>100</v>
      </c>
      <c r="E34" s="2620"/>
      <c r="F34" s="460">
        <f>SUMIF(105:105,E34,106:106)-SUMIF(105:105,C34,106:106)+100</f>
        <v>100</v>
      </c>
      <c r="G34" s="2620"/>
      <c r="H34" s="434">
        <f>SUMIF(105:105,G34,106:106)-SUMIF(105:105,C34,106:106)+100</f>
        <v>100</v>
      </c>
      <c r="I34" s="2620"/>
      <c r="J34" s="434">
        <f>SUMIF(105:105,I34,106:106)-SUMIF(105:105,C34,106:106)+100</f>
        <v>100</v>
      </c>
      <c r="K34" s="611"/>
      <c r="L34" s="1142"/>
      <c r="M34" s="1133"/>
      <c r="N34" s="1133"/>
      <c r="O34" s="1133"/>
      <c r="P34" s="3342"/>
      <c r="Q34" s="1812" t="str">
        <f t="shared" si="11"/>
        <v>建筑结构</v>
      </c>
      <c r="R34" s="773" t="s">
        <v>17</v>
      </c>
      <c r="S34" s="774">
        <f t="shared" si="12"/>
        <v>100</v>
      </c>
      <c r="T34" s="773" t="s">
        <v>17</v>
      </c>
      <c r="U34" s="774">
        <f t="shared" si="13"/>
        <v>100</v>
      </c>
      <c r="V34" s="773" t="s">
        <v>17</v>
      </c>
      <c r="W34" s="774">
        <f t="shared" si="14"/>
        <v>100</v>
      </c>
      <c r="X34" s="1815"/>
      <c r="Y34" s="3344"/>
      <c r="Z34" s="1816" t="str">
        <f t="shared" si="15"/>
        <v>建筑结构</v>
      </c>
      <c r="AA34" s="1813">
        <f t="shared" si="3"/>
        <v>1</v>
      </c>
      <c r="AB34" s="1813">
        <f t="shared" si="4"/>
        <v>1</v>
      </c>
      <c r="AC34" s="1813">
        <f t="shared" si="5"/>
        <v>1</v>
      </c>
    </row>
    <row r="35" spans="1:29" ht="15">
      <c r="A35" s="471"/>
      <c r="B35" s="421" t="s">
        <v>2646</v>
      </c>
      <c r="C35" s="2614"/>
      <c r="D35" s="434">
        <v>100</v>
      </c>
      <c r="E35" s="2614"/>
      <c r="F35" s="460">
        <f>SUMIF(107:107,E35,108:108)-SUMIF(107:107,C35,108:108)+100</f>
        <v>100</v>
      </c>
      <c r="G35" s="2614"/>
      <c r="H35" s="434">
        <f>SUMIF(107:107,G35,108:108)-SUMIF(107:107,C35,108:108)+100</f>
        <v>100</v>
      </c>
      <c r="I35" s="2614"/>
      <c r="J35" s="434">
        <f>SUMIF(107:107,I35,108:108)-SUMIF(107:107,C35,108:108)+100</f>
        <v>100</v>
      </c>
      <c r="K35" s="611"/>
      <c r="L35" s="1142"/>
      <c r="M35" s="1133"/>
      <c r="N35" s="1133"/>
      <c r="O35" s="1133"/>
      <c r="P35" s="3342"/>
      <c r="Q35" s="1812" t="str">
        <f t="shared" si="11"/>
        <v>公共部分装修</v>
      </c>
      <c r="R35" s="773" t="s">
        <v>17</v>
      </c>
      <c r="S35" s="774">
        <f t="shared" si="12"/>
        <v>100</v>
      </c>
      <c r="T35" s="773" t="s">
        <v>17</v>
      </c>
      <c r="U35" s="774">
        <f t="shared" si="13"/>
        <v>100</v>
      </c>
      <c r="V35" s="773" t="s">
        <v>17</v>
      </c>
      <c r="W35" s="774">
        <f t="shared" si="14"/>
        <v>100</v>
      </c>
      <c r="X35" s="1815"/>
      <c r="Y35" s="3344"/>
      <c r="Z35" s="1816" t="str">
        <f t="shared" si="15"/>
        <v>公共部分装修</v>
      </c>
      <c r="AA35" s="1813">
        <f t="shared" si="3"/>
        <v>1</v>
      </c>
      <c r="AB35" s="1813">
        <f t="shared" si="4"/>
        <v>1</v>
      </c>
      <c r="AC35" s="1813">
        <f t="shared" si="5"/>
        <v>1</v>
      </c>
    </row>
    <row r="36" spans="1:29" ht="15">
      <c r="A36" s="471"/>
      <c r="B36" s="421" t="s">
        <v>2647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342"/>
      <c r="Q36" s="1812" t="str">
        <f t="shared" si="11"/>
        <v>成新度</v>
      </c>
      <c r="R36" s="773" t="s">
        <v>17</v>
      </c>
      <c r="S36" s="774" t="e">
        <f t="shared" si="12"/>
        <v>#N/A</v>
      </c>
      <c r="T36" s="773" t="s">
        <v>17</v>
      </c>
      <c r="U36" s="774" t="e">
        <f t="shared" si="13"/>
        <v>#N/A</v>
      </c>
      <c r="V36" s="773" t="s">
        <v>17</v>
      </c>
      <c r="W36" s="774" t="e">
        <f t="shared" si="14"/>
        <v>#N/A</v>
      </c>
      <c r="X36" s="1815"/>
      <c r="Y36" s="3344"/>
      <c r="Z36" s="1816" t="str">
        <f t="shared" si="15"/>
        <v>成新度</v>
      </c>
      <c r="AA36" s="1813" t="e">
        <f t="shared" si="3"/>
        <v>#N/A</v>
      </c>
      <c r="AB36" s="1813" t="e">
        <f t="shared" si="4"/>
        <v>#N/A</v>
      </c>
      <c r="AC36" s="1813" t="e">
        <f t="shared" si="5"/>
        <v>#N/A</v>
      </c>
    </row>
    <row r="37" spans="1:29" s="117" customFormat="1" ht="15">
      <c r="A37" s="472"/>
      <c r="B37" s="421" t="s">
        <v>2648</v>
      </c>
      <c r="C37" s="2614"/>
      <c r="D37" s="135">
        <v>100</v>
      </c>
      <c r="E37" s="2614"/>
      <c r="F37" s="460">
        <f>SUMIF(112:112,E37,113:113)-SUMIF(112:112,C37,113:113)+100</f>
        <v>100</v>
      </c>
      <c r="G37" s="2614"/>
      <c r="H37" s="434">
        <f>SUMIF(112:112,G37,113:113)-SUMIF(112:112,C37,113:113)+100</f>
        <v>100</v>
      </c>
      <c r="I37" s="2614"/>
      <c r="J37" s="434">
        <f>SUMIF(112:112,I37,113:113)-SUMIF(112:112,C37,113:113)+100</f>
        <v>100</v>
      </c>
      <c r="K37" s="611"/>
      <c r="L37" s="1134"/>
      <c r="M37" s="1135"/>
      <c r="N37" s="1135"/>
      <c r="O37" s="1135"/>
      <c r="P37" s="3342"/>
      <c r="Q37" s="1797" t="str">
        <f t="shared" si="11"/>
        <v>市政基础设施</v>
      </c>
      <c r="R37" s="769" t="s">
        <v>17</v>
      </c>
      <c r="S37" s="770">
        <f t="shared" si="12"/>
        <v>100</v>
      </c>
      <c r="T37" s="769" t="s">
        <v>17</v>
      </c>
      <c r="U37" s="770">
        <f t="shared" si="13"/>
        <v>100</v>
      </c>
      <c r="V37" s="769" t="s">
        <v>17</v>
      </c>
      <c r="W37" s="770">
        <f t="shared" si="14"/>
        <v>100</v>
      </c>
      <c r="X37" s="771"/>
      <c r="Y37" s="3344"/>
      <c r="Z37" s="55" t="str">
        <f t="shared" si="15"/>
        <v>市政基础设施</v>
      </c>
      <c r="AA37" s="772">
        <f t="shared" si="3"/>
        <v>1</v>
      </c>
      <c r="AB37" s="772">
        <f t="shared" si="4"/>
        <v>1</v>
      </c>
      <c r="AC37" s="772">
        <f t="shared" si="5"/>
        <v>1</v>
      </c>
    </row>
    <row r="38" spans="1:29" ht="15">
      <c r="A38" s="471"/>
      <c r="B38" s="421" t="s">
        <v>2649</v>
      </c>
      <c r="C38" s="2614"/>
      <c r="D38" s="434">
        <v>100</v>
      </c>
      <c r="E38" s="2614"/>
      <c r="F38" s="460">
        <f>SUMIF(114:114,E38,115:115)-SUMIF(114:114,C38,115:115)+100</f>
        <v>100</v>
      </c>
      <c r="G38" s="2614"/>
      <c r="H38" s="434">
        <f>SUMIF(114:114,G38,115:115)-SUMIF(114:114,C38,115:115)+100</f>
        <v>100</v>
      </c>
      <c r="I38" s="2614"/>
      <c r="J38" s="434">
        <f>SUMIF(114:114,I38,115:115)-SUMIF(114:114,C38,115:115)+100</f>
        <v>100</v>
      </c>
      <c r="K38" s="611"/>
      <c r="L38" s="1142"/>
      <c r="M38" s="1133"/>
      <c r="N38" s="1133"/>
      <c r="O38" s="1133"/>
      <c r="P38" s="3342" t="s">
        <v>2550</v>
      </c>
      <c r="Q38" s="1812" t="str">
        <f t="shared" si="11"/>
        <v>业态</v>
      </c>
      <c r="R38" s="773" t="s">
        <v>17</v>
      </c>
      <c r="S38" s="774">
        <f t="shared" si="12"/>
        <v>100</v>
      </c>
      <c r="T38" s="773" t="s">
        <v>17</v>
      </c>
      <c r="U38" s="774">
        <f t="shared" si="13"/>
        <v>100</v>
      </c>
      <c r="V38" s="773" t="s">
        <v>17</v>
      </c>
      <c r="W38" s="774">
        <f t="shared" si="14"/>
        <v>100</v>
      </c>
      <c r="X38" s="1815"/>
      <c r="Y38" s="3344" t="s">
        <v>2550</v>
      </c>
      <c r="Z38" s="1816" t="str">
        <f t="shared" si="15"/>
        <v>业态</v>
      </c>
      <c r="AA38" s="1813">
        <f t="shared" si="3"/>
        <v>1</v>
      </c>
      <c r="AB38" s="1813">
        <f t="shared" si="4"/>
        <v>1</v>
      </c>
      <c r="AC38" s="1813">
        <f t="shared" si="5"/>
        <v>1</v>
      </c>
    </row>
    <row r="39" spans="1:29" ht="15">
      <c r="A39" s="471"/>
      <c r="B39" s="421" t="s">
        <v>2650</v>
      </c>
      <c r="C39" s="2614"/>
      <c r="D39" s="434">
        <v>100</v>
      </c>
      <c r="E39" s="2614"/>
      <c r="F39" s="460">
        <f>SUMIF(116:116,E39,117:117)-SUMIF(116:116,C39,117:117)+100</f>
        <v>100</v>
      </c>
      <c r="G39" s="2614"/>
      <c r="H39" s="434">
        <f>SUMIF(116:116,G39,117:117)-SUMIF(116:116,C39,117:117)+100</f>
        <v>100</v>
      </c>
      <c r="I39" s="2614"/>
      <c r="J39" s="434">
        <f>SUMIF(116:116,I39,117:117)-SUMIF(116:116,C39,117:117)+100</f>
        <v>100</v>
      </c>
      <c r="K39" s="611"/>
      <c r="L39" s="1142"/>
      <c r="M39" s="1133"/>
      <c r="N39" s="1133"/>
      <c r="O39" s="1133"/>
      <c r="P39" s="3342"/>
      <c r="Q39" s="1812" t="str">
        <f t="shared" si="11"/>
        <v>层高</v>
      </c>
      <c r="R39" s="773" t="s">
        <v>17</v>
      </c>
      <c r="S39" s="774">
        <f t="shared" si="12"/>
        <v>100</v>
      </c>
      <c r="T39" s="773" t="s">
        <v>17</v>
      </c>
      <c r="U39" s="774">
        <f t="shared" si="13"/>
        <v>100</v>
      </c>
      <c r="V39" s="773" t="s">
        <v>17</v>
      </c>
      <c r="W39" s="774">
        <f t="shared" si="14"/>
        <v>100</v>
      </c>
      <c r="X39" s="1815"/>
      <c r="Y39" s="3344"/>
      <c r="Z39" s="1816" t="str">
        <f t="shared" si="15"/>
        <v>层高</v>
      </c>
      <c r="AA39" s="1813">
        <f t="shared" si="3"/>
        <v>1</v>
      </c>
      <c r="AB39" s="1813">
        <f t="shared" si="4"/>
        <v>1</v>
      </c>
      <c r="AC39" s="1813">
        <f t="shared" si="5"/>
        <v>1</v>
      </c>
    </row>
    <row r="40" spans="1:29" ht="15">
      <c r="A40" s="471"/>
      <c r="B40" s="421" t="s">
        <v>2651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342"/>
      <c r="Q40" s="1812" t="str">
        <f t="shared" si="11"/>
        <v>单套建筑面积</v>
      </c>
      <c r="R40" s="773" t="s">
        <v>17</v>
      </c>
      <c r="S40" s="774">
        <f t="shared" si="12"/>
        <v>100</v>
      </c>
      <c r="T40" s="773" t="s">
        <v>17</v>
      </c>
      <c r="U40" s="774">
        <f t="shared" si="13"/>
        <v>100</v>
      </c>
      <c r="V40" s="773" t="s">
        <v>17</v>
      </c>
      <c r="W40" s="774">
        <f t="shared" si="14"/>
        <v>100</v>
      </c>
      <c r="X40" s="1815"/>
      <c r="Y40" s="3344"/>
      <c r="Z40" s="1816" t="str">
        <f t="shared" si="15"/>
        <v>单套建筑面积</v>
      </c>
      <c r="AA40" s="1813">
        <f t="shared" si="3"/>
        <v>1</v>
      </c>
      <c r="AB40" s="1813">
        <f t="shared" si="4"/>
        <v>1</v>
      </c>
      <c r="AC40" s="1813">
        <f t="shared" si="5"/>
        <v>1</v>
      </c>
    </row>
    <row r="41" spans="1:29" s="470" customFormat="1" ht="15">
      <c r="A41" s="467"/>
      <c r="B41" s="1814" t="s">
        <v>2652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342"/>
      <c r="Q41" s="775" t="str">
        <f t="shared" si="11"/>
        <v>进深比</v>
      </c>
      <c r="R41" s="776" t="s">
        <v>17</v>
      </c>
      <c r="S41" s="777">
        <f t="shared" si="12"/>
        <v>100</v>
      </c>
      <c r="T41" s="776" t="s">
        <v>17</v>
      </c>
      <c r="U41" s="777">
        <f t="shared" si="13"/>
        <v>100</v>
      </c>
      <c r="V41" s="776" t="s">
        <v>17</v>
      </c>
      <c r="W41" s="777">
        <f t="shared" si="14"/>
        <v>100</v>
      </c>
      <c r="X41" s="778"/>
      <c r="Y41" s="3344"/>
      <c r="Z41" s="779" t="str">
        <f t="shared" si="15"/>
        <v>进深比</v>
      </c>
      <c r="AA41" s="1813">
        <f t="shared" si="3"/>
        <v>1</v>
      </c>
      <c r="AB41" s="1813">
        <f t="shared" si="4"/>
        <v>1</v>
      </c>
      <c r="AC41" s="1813">
        <f t="shared" si="5"/>
        <v>1</v>
      </c>
    </row>
    <row r="42" spans="1:29" ht="15">
      <c r="A42" s="471"/>
      <c r="B42" s="421" t="s">
        <v>2653</v>
      </c>
      <c r="C42" s="2614"/>
      <c r="D42" s="434">
        <v>100</v>
      </c>
      <c r="E42" s="2614"/>
      <c r="F42" s="460">
        <f>SUMIF(122:122,E42,123:123)-SUMIF(122:122,C42,123:123)+100</f>
        <v>100</v>
      </c>
      <c r="G42" s="2614"/>
      <c r="H42" s="434">
        <f>SUMIF(122:122,G42,123:123)-SUMIF(122:122,C42,123:123)+100</f>
        <v>100</v>
      </c>
      <c r="I42" s="2614"/>
      <c r="J42" s="434">
        <f>SUMIF(122:122,I42,123:123)-SUMIF(122:122,C42,123:123)+100</f>
        <v>100</v>
      </c>
      <c r="K42" s="611"/>
      <c r="L42" s="1142"/>
      <c r="M42" s="1133"/>
      <c r="N42" s="1133"/>
      <c r="O42" s="1133"/>
      <c r="P42" s="3342"/>
      <c r="Q42" s="1812" t="str">
        <f t="shared" si="11"/>
        <v>内部装修</v>
      </c>
      <c r="R42" s="773" t="s">
        <v>17</v>
      </c>
      <c r="S42" s="774">
        <f t="shared" si="12"/>
        <v>100</v>
      </c>
      <c r="T42" s="773" t="s">
        <v>17</v>
      </c>
      <c r="U42" s="774">
        <f t="shared" si="13"/>
        <v>100</v>
      </c>
      <c r="V42" s="773" t="s">
        <v>17</v>
      </c>
      <c r="W42" s="774">
        <f t="shared" si="14"/>
        <v>100</v>
      </c>
      <c r="X42" s="1815"/>
      <c r="Y42" s="3344"/>
      <c r="Z42" s="1816" t="str">
        <f t="shared" si="15"/>
        <v>内部装修</v>
      </c>
      <c r="AA42" s="1813">
        <f t="shared" si="3"/>
        <v>1</v>
      </c>
      <c r="AB42" s="1813">
        <f t="shared" si="4"/>
        <v>1</v>
      </c>
      <c r="AC42" s="1813">
        <f t="shared" si="5"/>
        <v>1</v>
      </c>
    </row>
    <row r="43" spans="1:29" ht="15">
      <c r="A43" s="471"/>
      <c r="B43" s="421" t="s">
        <v>2561</v>
      </c>
      <c r="C43" s="2614"/>
      <c r="D43" s="434">
        <v>100</v>
      </c>
      <c r="E43" s="2614"/>
      <c r="F43" s="460">
        <f>SUMIF(124:124,E43,125:125)-SUMIF(124:124,C43,125:125)+100</f>
        <v>100</v>
      </c>
      <c r="G43" s="2614"/>
      <c r="H43" s="434">
        <f>SUMIF(124:124,G43,125:125)-SUMIF(124:124,C43,125:125)+100</f>
        <v>100</v>
      </c>
      <c r="I43" s="2614"/>
      <c r="J43" s="434">
        <f>SUMIF(124:124,I43,125:125)-SUMIF(124:124,C43,125:125)+100</f>
        <v>100</v>
      </c>
      <c r="K43" s="611"/>
      <c r="L43" s="1142"/>
      <c r="M43" s="1133"/>
      <c r="N43" s="1133"/>
      <c r="O43" s="1133"/>
      <c r="P43" s="3342"/>
      <c r="Q43" s="1812" t="str">
        <f t="shared" si="11"/>
        <v>内部装修维护情况</v>
      </c>
      <c r="R43" s="773" t="s">
        <v>17</v>
      </c>
      <c r="S43" s="774">
        <f t="shared" si="12"/>
        <v>100</v>
      </c>
      <c r="T43" s="773" t="s">
        <v>17</v>
      </c>
      <c r="U43" s="774">
        <f t="shared" si="13"/>
        <v>100</v>
      </c>
      <c r="V43" s="773" t="s">
        <v>17</v>
      </c>
      <c r="W43" s="774">
        <f t="shared" si="14"/>
        <v>100</v>
      </c>
      <c r="X43" s="1815"/>
      <c r="Y43" s="3344"/>
      <c r="Z43" s="1816" t="str">
        <f t="shared" si="15"/>
        <v>内部装修维护情况</v>
      </c>
      <c r="AA43" s="1813">
        <f t="shared" si="3"/>
        <v>1</v>
      </c>
      <c r="AB43" s="1813">
        <f t="shared" si="4"/>
        <v>1</v>
      </c>
      <c r="AC43" s="1813">
        <f t="shared" si="5"/>
        <v>1</v>
      </c>
    </row>
    <row r="44" spans="1:29" s="117"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342"/>
      <c r="Q44" s="1797">
        <f t="shared" si="11"/>
        <v>111</v>
      </c>
      <c r="R44" s="769" t="s">
        <v>17</v>
      </c>
      <c r="S44" s="770">
        <f t="shared" si="12"/>
        <v>100</v>
      </c>
      <c r="T44" s="769" t="s">
        <v>17</v>
      </c>
      <c r="U44" s="770">
        <f t="shared" si="13"/>
        <v>100</v>
      </c>
      <c r="V44" s="769" t="s">
        <v>17</v>
      </c>
      <c r="W44" s="770">
        <f t="shared" si="14"/>
        <v>100</v>
      </c>
      <c r="X44" s="771"/>
      <c r="Y44" s="3344"/>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342"/>
      <c r="Q45" s="1812">
        <f t="shared" si="11"/>
        <v>111</v>
      </c>
      <c r="R45" s="773" t="s">
        <v>17</v>
      </c>
      <c r="S45" s="774">
        <f t="shared" si="12"/>
        <v>100</v>
      </c>
      <c r="T45" s="773" t="s">
        <v>17</v>
      </c>
      <c r="U45" s="774">
        <f t="shared" si="13"/>
        <v>100</v>
      </c>
      <c r="V45" s="773" t="s">
        <v>17</v>
      </c>
      <c r="W45" s="774">
        <f t="shared" si="14"/>
        <v>100</v>
      </c>
      <c r="X45" s="1815"/>
      <c r="Y45" s="3344"/>
      <c r="Z45" s="1816">
        <f t="shared" si="15"/>
        <v>111</v>
      </c>
      <c r="AA45" s="1813">
        <f t="shared" si="3"/>
        <v>1</v>
      </c>
      <c r="AB45" s="1813">
        <f t="shared" si="4"/>
        <v>1</v>
      </c>
      <c r="AC45" s="1813">
        <f t="shared" si="5"/>
        <v>1</v>
      </c>
    </row>
    <row r="46" spans="1:29" ht="15.75"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343"/>
      <c r="Q46" s="1812">
        <f t="shared" si="11"/>
        <v>111</v>
      </c>
      <c r="R46" s="773" t="s">
        <v>17</v>
      </c>
      <c r="S46" s="774">
        <f t="shared" si="12"/>
        <v>100</v>
      </c>
      <c r="T46" s="773" t="s">
        <v>17</v>
      </c>
      <c r="U46" s="774">
        <f t="shared" si="13"/>
        <v>100</v>
      </c>
      <c r="V46" s="773" t="s">
        <v>17</v>
      </c>
      <c r="W46" s="774">
        <f t="shared" si="14"/>
        <v>100</v>
      </c>
      <c r="X46" s="1815"/>
      <c r="Y46" s="3345"/>
      <c r="Z46" s="1816">
        <f t="shared" si="15"/>
        <v>111</v>
      </c>
      <c r="AA46" s="1813">
        <f t="shared" si="3"/>
        <v>1</v>
      </c>
      <c r="AB46" s="1813">
        <f t="shared" si="4"/>
        <v>1</v>
      </c>
      <c r="AC46" s="1813">
        <f t="shared" si="5"/>
        <v>1</v>
      </c>
    </row>
    <row r="47" spans="1:29" ht="15">
      <c r="A47" s="478" t="s">
        <v>2562</v>
      </c>
      <c r="B47" s="479"/>
      <c r="C47" s="1409" t="s">
        <v>1</v>
      </c>
      <c r="D47" s="1410"/>
      <c r="E47" s="1411"/>
      <c r="F47" s="1412"/>
      <c r="G47" s="1413"/>
      <c r="H47" s="1414"/>
      <c r="I47" s="1411"/>
      <c r="J47" s="1414"/>
      <c r="K47" s="782"/>
      <c r="L47" s="1145"/>
      <c r="M47" s="1146"/>
      <c r="N47" s="1133"/>
      <c r="O47" s="1146"/>
      <c r="P47" s="3337" t="str">
        <f>A47</f>
        <v>成交单价（元/平方米）</v>
      </c>
      <c r="Q47" s="3337"/>
      <c r="R47" s="3332">
        <f>E47</f>
        <v>0</v>
      </c>
      <c r="S47" s="3332"/>
      <c r="T47" s="3332">
        <f>G47</f>
        <v>0</v>
      </c>
      <c r="U47" s="3332"/>
      <c r="V47" s="3332">
        <f>I47</f>
        <v>0</v>
      </c>
      <c r="W47" s="3332"/>
      <c r="X47" s="758"/>
      <c r="Y47" s="780"/>
      <c r="Z47" s="758"/>
      <c r="AA47" s="758"/>
      <c r="AB47" s="758"/>
      <c r="AC47" s="758"/>
    </row>
    <row r="48" spans="1:29" ht="15.75" thickBot="1">
      <c r="A48" s="485" t="s">
        <v>2654</v>
      </c>
      <c r="B48" s="486"/>
      <c r="C48" s="1415" t="e">
        <f>R49</f>
        <v>#DIV/0!</v>
      </c>
      <c r="D48" s="1416"/>
      <c r="E48" s="1417" t="e">
        <f>R48</f>
        <v>#DIV/0!</v>
      </c>
      <c r="F48" s="1417"/>
      <c r="G48" s="1415" t="e">
        <f>T48</f>
        <v>#DIV/0!</v>
      </c>
      <c r="H48" s="1416"/>
      <c r="I48" s="1417" t="e">
        <f>V48</f>
        <v>#DIV/0!</v>
      </c>
      <c r="J48" s="1416"/>
      <c r="K48" s="783"/>
      <c r="L48" s="1145"/>
      <c r="M48" s="1146"/>
      <c r="N48" s="1133"/>
      <c r="O48" s="1146"/>
      <c r="P48" s="3337" t="str">
        <f>A48</f>
        <v>比较价值（元/平方米）</v>
      </c>
      <c r="Q48" s="3337"/>
      <c r="R48" s="3338" t="e">
        <f>IF(F1="售价",ROUND(PRODUCT(R47,AA7:AA46),0),ROUND(PRODUCT(R47,AA7:AA46),1))</f>
        <v>#DIV/0!</v>
      </c>
      <c r="S48" s="3338"/>
      <c r="T48" s="3338" t="e">
        <f>IF(F1="售价",ROUND(PRODUCT(T47,AB7:AB46),0),ROUND(PRODUCT(T47,AB7:AB46),1))</f>
        <v>#DIV/0!</v>
      </c>
      <c r="U48" s="3338"/>
      <c r="V48" s="3338" t="e">
        <f>IF(F1="售价",ROUND(PRODUCT(V47,AC7:AC46),0),ROUND(PRODUCT(V47,AC7:AC46),1))</f>
        <v>#DIV/0!</v>
      </c>
      <c r="W48" s="3338"/>
      <c r="X48" s="758"/>
      <c r="Y48" s="758"/>
      <c r="Z48" s="758"/>
      <c r="AA48" s="758"/>
      <c r="AB48" s="758"/>
      <c r="AC48" s="758"/>
    </row>
    <row r="49" spans="1:29" ht="15.75" thickBot="1">
      <c r="A49" s="491" t="s">
        <v>2655</v>
      </c>
      <c r="B49" s="492"/>
      <c r="C49" s="1419" t="e">
        <f>R49</f>
        <v>#DIV/0!</v>
      </c>
      <c r="D49" s="1419"/>
      <c r="E49" s="1419"/>
      <c r="F49" s="1419"/>
      <c r="G49" s="1419"/>
      <c r="H49" s="1419"/>
      <c r="I49" s="1419"/>
      <c r="J49" s="1419"/>
      <c r="K49" s="784"/>
      <c r="L49" s="1145"/>
      <c r="M49" s="1146"/>
      <c r="N49" s="1133"/>
      <c r="O49" s="1146"/>
      <c r="P49" s="3334" t="str">
        <f>A49</f>
        <v>估价对象XX用房的比较价值（楼面单价，元/平方米）</v>
      </c>
      <c r="Q49" s="3335"/>
      <c r="R49" s="3336" t="e">
        <f>IF(F1="售价",ROUND(AVERAGE(R48:V48),0),ROUND(AVERAGE(R48:V48),1))</f>
        <v>#DIV/0!</v>
      </c>
      <c r="S49" s="3336"/>
      <c r="T49" s="3336"/>
      <c r="U49" s="3336"/>
      <c r="V49" s="3336"/>
      <c r="W49" s="3336"/>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2656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2657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2658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7"/>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7"/>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2659</v>
      </c>
      <c r="B57" s="758"/>
      <c r="C57" s="763"/>
      <c r="D57" s="763"/>
      <c r="E57" s="763"/>
      <c r="F57" s="764"/>
      <c r="G57" s="764"/>
      <c r="H57" s="763"/>
      <c r="I57" s="763"/>
      <c r="J57" s="763"/>
      <c r="K57" s="765"/>
      <c r="L57" s="1163"/>
      <c r="M57" s="1161"/>
      <c r="N57" s="1161"/>
      <c r="O57" s="1161"/>
      <c r="P57" s="2668"/>
      <c r="Q57" s="2669"/>
      <c r="R57" s="758"/>
      <c r="S57" s="758"/>
      <c r="T57" s="758"/>
      <c r="U57" s="758"/>
      <c r="V57" s="758"/>
      <c r="W57" s="758"/>
      <c r="X57" s="758"/>
      <c r="Y57" s="758"/>
      <c r="Z57" s="758"/>
      <c r="AA57" s="758"/>
      <c r="AB57" s="758"/>
      <c r="AC57" s="758"/>
    </row>
    <row r="58" spans="1:29" s="507" customFormat="1" ht="15">
      <c r="A58" s="504" t="s">
        <v>2533</v>
      </c>
      <c r="B58" s="505"/>
      <c r="C58" s="1576" t="str">
        <f>YEAR(C7)&amp;"-"&amp;MONTH(C7)</f>
        <v>2018-1</v>
      </c>
      <c r="D58" s="1577">
        <f>EDATE(C58,-1)</f>
        <v>43070</v>
      </c>
      <c r="E58" s="1577">
        <f t="shared" ref="E58:N58" si="16">EDATE(D58,-1)</f>
        <v>43040</v>
      </c>
      <c r="F58" s="1577">
        <f t="shared" si="16"/>
        <v>43009</v>
      </c>
      <c r="G58" s="1577">
        <f t="shared" si="16"/>
        <v>42979</v>
      </c>
      <c r="H58" s="1577">
        <f t="shared" si="16"/>
        <v>42948</v>
      </c>
      <c r="I58" s="1577">
        <f t="shared" si="16"/>
        <v>42917</v>
      </c>
      <c r="J58" s="1577">
        <f t="shared" si="16"/>
        <v>42887</v>
      </c>
      <c r="K58" s="1577">
        <f t="shared" si="16"/>
        <v>42856</v>
      </c>
      <c r="L58" s="1577">
        <f t="shared" si="16"/>
        <v>42826</v>
      </c>
      <c r="M58" s="1577">
        <f t="shared" si="16"/>
        <v>42795</v>
      </c>
      <c r="N58" s="1577">
        <f t="shared" si="16"/>
        <v>42767</v>
      </c>
      <c r="O58" s="1577">
        <f>EDATE(N58,-1)</f>
        <v>42736</v>
      </c>
      <c r="P58" s="1572"/>
    </row>
    <row r="59" spans="1:29" s="117" customFormat="1" ht="15">
      <c r="A59" s="508"/>
      <c r="B59" s="509"/>
      <c r="C59" s="1575">
        <v>100</v>
      </c>
      <c r="D59" s="511"/>
      <c r="E59" s="511"/>
      <c r="F59" s="511"/>
      <c r="G59" s="511"/>
      <c r="H59" s="511"/>
      <c r="I59" s="511"/>
      <c r="J59" s="511"/>
      <c r="K59" s="511"/>
      <c r="L59" s="511"/>
      <c r="M59" s="512"/>
      <c r="N59" s="511"/>
      <c r="O59" s="512"/>
      <c r="P59" s="2629"/>
    </row>
    <row r="60" spans="1:29" s="117" customFormat="1" ht="15.75" thickBot="1">
      <c r="A60" s="514" t="s">
        <v>2570</v>
      </c>
      <c r="B60" s="515"/>
      <c r="C60" s="516"/>
      <c r="D60" s="517"/>
      <c r="E60" s="517"/>
      <c r="F60" s="517"/>
      <c r="G60" s="517"/>
      <c r="H60" s="517"/>
      <c r="I60" s="517"/>
      <c r="J60" s="517"/>
      <c r="K60" s="517"/>
      <c r="L60" s="517"/>
      <c r="M60" s="518"/>
      <c r="N60" s="517"/>
      <c r="O60" s="518"/>
      <c r="P60" s="2629"/>
      <c r="Q60" s="503"/>
    </row>
    <row r="61" spans="1:29" s="117" customFormat="1" ht="15">
      <c r="A61" s="520" t="s">
        <v>2535</v>
      </c>
      <c r="B61" s="509"/>
      <c r="C61" s="521" t="s">
        <v>2637</v>
      </c>
      <c r="D61" s="522"/>
      <c r="E61" s="522"/>
      <c r="F61" s="522"/>
      <c r="G61" s="522"/>
      <c r="H61" s="522"/>
      <c r="I61" s="522"/>
      <c r="J61" s="522"/>
      <c r="K61" s="522"/>
      <c r="L61" s="523"/>
      <c r="M61" s="524"/>
      <c r="N61" s="1153"/>
      <c r="O61" s="1153"/>
      <c r="P61" s="2630"/>
      <c r="Q61" s="503"/>
    </row>
    <row r="62" spans="1:29" s="117" customFormat="1" ht="15.75" thickBot="1">
      <c r="A62" s="520"/>
      <c r="B62" s="509"/>
      <c r="C62" s="510">
        <v>100</v>
      </c>
      <c r="D62" s="511"/>
      <c r="E62" s="511"/>
      <c r="F62" s="511"/>
      <c r="G62" s="511"/>
      <c r="H62" s="511"/>
      <c r="I62" s="511"/>
      <c r="J62" s="511"/>
      <c r="K62" s="511"/>
      <c r="L62" s="511"/>
      <c r="M62" s="513"/>
      <c r="N62" s="1153"/>
      <c r="O62" s="1153"/>
      <c r="P62" s="2629"/>
      <c r="Q62" s="503"/>
    </row>
    <row r="63" spans="1:29">
      <c r="A63" s="526" t="s">
        <v>2573</v>
      </c>
      <c r="B63" s="527" t="s">
        <v>2539</v>
      </c>
      <c r="C63" s="528">
        <f>C9</f>
        <v>0</v>
      </c>
      <c r="D63" s="529"/>
      <c r="E63" s="529"/>
      <c r="F63" s="529"/>
      <c r="G63" s="529"/>
      <c r="H63" s="529"/>
      <c r="I63" s="529"/>
      <c r="J63" s="529"/>
      <c r="K63" s="530"/>
      <c r="L63" s="531"/>
      <c r="M63" s="532"/>
      <c r="N63" s="1154"/>
      <c r="O63" s="1154"/>
      <c r="P63" s="2631"/>
      <c r="Q63" s="503"/>
    </row>
    <row r="64" spans="1:29" ht="15.75" thickBot="1">
      <c r="A64" s="533"/>
      <c r="B64" s="534"/>
      <c r="C64" s="535">
        <v>100</v>
      </c>
      <c r="D64" s="535"/>
      <c r="E64" s="535"/>
      <c r="F64" s="535"/>
      <c r="G64" s="535"/>
      <c r="H64" s="535"/>
      <c r="I64" s="535"/>
      <c r="J64" s="535"/>
      <c r="K64" s="535"/>
      <c r="L64" s="535"/>
      <c r="M64" s="536"/>
      <c r="N64" s="1155"/>
      <c r="O64" s="1155"/>
      <c r="P64" s="2631"/>
      <c r="Q64" s="503"/>
    </row>
    <row r="65" spans="1:17" ht="27.75" thickTop="1">
      <c r="A65" s="533"/>
      <c r="B65" s="537" t="s">
        <v>2542</v>
      </c>
      <c r="C65" s="538" t="s">
        <v>2574</v>
      </c>
      <c r="D65" s="538" t="s">
        <v>2575</v>
      </c>
      <c r="E65" s="538" t="s">
        <v>2576</v>
      </c>
      <c r="F65" s="538" t="s">
        <v>2577</v>
      </c>
      <c r="G65" s="538" t="s">
        <v>2578</v>
      </c>
      <c r="H65" s="538" t="s">
        <v>2579</v>
      </c>
      <c r="I65" s="538" t="s">
        <v>2580</v>
      </c>
      <c r="J65" s="538"/>
      <c r="K65" s="539"/>
      <c r="L65" s="540"/>
      <c r="M65" s="541"/>
      <c r="N65" s="1154"/>
      <c r="O65" s="1154"/>
      <c r="P65" s="2631"/>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1"/>
      <c r="Q66" s="503"/>
    </row>
    <row r="67" spans="1:17" ht="15.75" thickTop="1">
      <c r="A67" s="533"/>
      <c r="B67" s="545" t="s">
        <v>2543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1"/>
      <c r="Q67" s="503"/>
    </row>
    <row r="68" spans="1:17" ht="15">
      <c r="A68" s="533"/>
      <c r="B68" s="547"/>
      <c r="C68" s="548"/>
      <c r="D68" s="548"/>
      <c r="E68" s="548"/>
      <c r="F68" s="548"/>
      <c r="G68" s="548"/>
      <c r="H68" s="548"/>
      <c r="I68" s="548"/>
      <c r="J68" s="548"/>
      <c r="K68" s="549"/>
      <c r="L68" s="550"/>
      <c r="M68" s="551"/>
      <c r="N68" s="1154"/>
      <c r="O68" s="1154"/>
      <c r="P68" s="2631"/>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1"/>
      <c r="Q69" s="503"/>
    </row>
    <row r="70" spans="1:17" s="470" customFormat="1" ht="15.75" thickTop="1">
      <c r="A70" s="552"/>
      <c r="B70" s="537">
        <f>B12</f>
        <v>111</v>
      </c>
      <c r="C70" s="553"/>
      <c r="D70" s="553"/>
      <c r="E70" s="553"/>
      <c r="F70" s="553"/>
      <c r="G70" s="553"/>
      <c r="H70" s="554"/>
      <c r="I70" s="554"/>
      <c r="J70" s="554"/>
      <c r="K70" s="554"/>
      <c r="L70" s="555"/>
      <c r="M70" s="556"/>
      <c r="N70" s="1156"/>
      <c r="O70" s="1156"/>
      <c r="P70" s="2632"/>
      <c r="Q70" s="558"/>
    </row>
    <row r="71" spans="1:17" s="470" customFormat="1" ht="15.75" thickBot="1">
      <c r="A71" s="552"/>
      <c r="B71" s="542"/>
      <c r="C71" s="559"/>
      <c r="D71" s="535"/>
      <c r="E71" s="535"/>
      <c r="F71" s="535"/>
      <c r="G71" s="535"/>
      <c r="H71" s="535"/>
      <c r="I71" s="535"/>
      <c r="J71" s="535"/>
      <c r="K71" s="535"/>
      <c r="L71" s="535"/>
      <c r="M71" s="536"/>
      <c r="N71" s="1155"/>
      <c r="O71" s="1155"/>
      <c r="P71" s="2632"/>
      <c r="Q71" s="558"/>
    </row>
    <row r="72" spans="1:17" s="470" customFormat="1" ht="15.75" thickTop="1">
      <c r="A72" s="552"/>
      <c r="B72" s="537">
        <f>B13</f>
        <v>111</v>
      </c>
      <c r="C72" s="553"/>
      <c r="D72" s="553"/>
      <c r="E72" s="553"/>
      <c r="F72" s="553"/>
      <c r="G72" s="553"/>
      <c r="H72" s="554"/>
      <c r="I72" s="554"/>
      <c r="J72" s="554"/>
      <c r="K72" s="554"/>
      <c r="L72" s="555"/>
      <c r="M72" s="556"/>
      <c r="N72" s="1156"/>
      <c r="O72" s="1156"/>
      <c r="P72" s="2633"/>
      <c r="Q72" s="560"/>
    </row>
    <row r="73" spans="1:17" s="470" customFormat="1" ht="15.75" thickBot="1">
      <c r="A73" s="552"/>
      <c r="B73" s="542"/>
      <c r="C73" s="559"/>
      <c r="D73" s="535"/>
      <c r="E73" s="535"/>
      <c r="F73" s="535"/>
      <c r="G73" s="559"/>
      <c r="H73" s="561"/>
      <c r="I73" s="561"/>
      <c r="J73" s="561"/>
      <c r="K73" s="561"/>
      <c r="L73" s="561"/>
      <c r="M73" s="562"/>
      <c r="N73" s="1156"/>
      <c r="O73" s="1156"/>
      <c r="P73" s="2632"/>
      <c r="Q73" s="558"/>
    </row>
    <row r="74" spans="1:17" s="470" customFormat="1" ht="15.75" thickTop="1">
      <c r="A74" s="552"/>
      <c r="B74" s="545">
        <f>B14</f>
        <v>111</v>
      </c>
      <c r="C74" s="553"/>
      <c r="D74" s="553"/>
      <c r="E74" s="553"/>
      <c r="F74" s="553"/>
      <c r="G74" s="522"/>
      <c r="H74" s="563"/>
      <c r="I74" s="563"/>
      <c r="J74" s="563"/>
      <c r="K74" s="563"/>
      <c r="L74" s="564"/>
      <c r="M74" s="565"/>
      <c r="N74" s="1156"/>
      <c r="O74" s="1156"/>
      <c r="P74" s="2634"/>
      <c r="Q74" s="558"/>
    </row>
    <row r="75" spans="1:17" s="470" customFormat="1" ht="15.75" thickBot="1">
      <c r="A75" s="567"/>
      <c r="B75" s="568"/>
      <c r="C75" s="569"/>
      <c r="D75" s="569"/>
      <c r="E75" s="569"/>
      <c r="F75" s="569"/>
      <c r="G75" s="569"/>
      <c r="H75" s="570"/>
      <c r="I75" s="570"/>
      <c r="J75" s="570"/>
      <c r="K75" s="570"/>
      <c r="L75" s="570"/>
      <c r="M75" s="571"/>
      <c r="N75" s="1156"/>
      <c r="O75" s="1156"/>
      <c r="P75" s="2632"/>
      <c r="Q75" s="558"/>
    </row>
    <row r="76" spans="1:17">
      <c r="A76" s="526" t="s">
        <v>2544</v>
      </c>
      <c r="B76" s="527" t="s">
        <v>2581</v>
      </c>
      <c r="C76" s="572" t="s">
        <v>2582</v>
      </c>
      <c r="D76" s="572" t="s">
        <v>2583</v>
      </c>
      <c r="E76" s="572" t="s">
        <v>2584</v>
      </c>
      <c r="F76" s="572" t="s">
        <v>2585</v>
      </c>
      <c r="G76" s="572" t="s">
        <v>2586</v>
      </c>
      <c r="H76" s="528"/>
      <c r="I76" s="528"/>
      <c r="J76" s="528"/>
      <c r="K76" s="573"/>
      <c r="L76" s="574"/>
      <c r="M76" s="575"/>
      <c r="N76" s="1154"/>
      <c r="O76" s="1154"/>
      <c r="P76" s="2635"/>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1"/>
      <c r="Q77" s="503"/>
    </row>
    <row r="78" spans="1:17" ht="15.75" thickTop="1">
      <c r="A78" s="533"/>
      <c r="B78" s="537" t="s">
        <v>2587</v>
      </c>
      <c r="C78" s="577" t="s">
        <v>2582</v>
      </c>
      <c r="D78" s="577" t="s">
        <v>2583</v>
      </c>
      <c r="E78" s="577" t="s">
        <v>2584</v>
      </c>
      <c r="F78" s="577" t="s">
        <v>2585</v>
      </c>
      <c r="G78" s="577" t="s">
        <v>2586</v>
      </c>
      <c r="H78" s="538"/>
      <c r="I78" s="538"/>
      <c r="J78" s="538"/>
      <c r="K78" s="539"/>
      <c r="L78" s="540"/>
      <c r="M78" s="541"/>
      <c r="N78" s="1154"/>
      <c r="O78" s="1154"/>
      <c r="P78" s="2631"/>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1"/>
      <c r="Q79" s="503"/>
    </row>
    <row r="80" spans="1:17" ht="15.75" thickTop="1">
      <c r="A80" s="533"/>
      <c r="B80" s="537" t="s">
        <v>2588</v>
      </c>
      <c r="C80" s="577" t="s">
        <v>2582</v>
      </c>
      <c r="D80" s="577" t="s">
        <v>2583</v>
      </c>
      <c r="E80" s="577" t="s">
        <v>2584</v>
      </c>
      <c r="F80" s="577" t="s">
        <v>2585</v>
      </c>
      <c r="G80" s="577" t="s">
        <v>2586</v>
      </c>
      <c r="H80" s="538"/>
      <c r="I80" s="538"/>
      <c r="J80" s="538"/>
      <c r="K80" s="539"/>
      <c r="L80" s="540"/>
      <c r="M80" s="541"/>
      <c r="N80" s="1154"/>
      <c r="O80" s="1154"/>
      <c r="P80" s="2631"/>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1"/>
      <c r="Q81" s="503"/>
    </row>
    <row r="82" spans="1:17" ht="15.75" thickTop="1">
      <c r="A82" s="533"/>
      <c r="B82" s="545" t="s">
        <v>2640</v>
      </c>
      <c r="C82" s="659" t="s">
        <v>2660</v>
      </c>
      <c r="D82" s="659" t="s">
        <v>2661</v>
      </c>
      <c r="E82" s="659" t="s">
        <v>2662</v>
      </c>
      <c r="F82" s="659" t="s">
        <v>2663</v>
      </c>
      <c r="G82" s="659" t="s">
        <v>2664</v>
      </c>
      <c r="H82" s="538"/>
      <c r="I82" s="538"/>
      <c r="J82" s="538"/>
      <c r="K82" s="538"/>
      <c r="L82" s="538"/>
      <c r="M82" s="1384"/>
      <c r="N82" s="1155"/>
      <c r="O82" s="1155"/>
      <c r="P82" s="2631"/>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1"/>
      <c r="Q83" s="503"/>
    </row>
    <row r="84" spans="1:17" ht="15.75" thickTop="1">
      <c r="A84" s="533"/>
      <c r="B84" s="537" t="s">
        <v>2594</v>
      </c>
      <c r="C84" s="577" t="s">
        <v>2582</v>
      </c>
      <c r="D84" s="577" t="s">
        <v>2583</v>
      </c>
      <c r="E84" s="577" t="s">
        <v>2584</v>
      </c>
      <c r="F84" s="577" t="s">
        <v>2585</v>
      </c>
      <c r="G84" s="577" t="s">
        <v>2586</v>
      </c>
      <c r="H84" s="538"/>
      <c r="I84" s="538"/>
      <c r="J84" s="538"/>
      <c r="K84" s="539"/>
      <c r="L84" s="540"/>
      <c r="M84" s="541"/>
      <c r="N84" s="1154"/>
      <c r="O84" s="1154"/>
      <c r="P84" s="2631"/>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1"/>
      <c r="Q85" s="503"/>
    </row>
    <row r="86" spans="1:17" s="117" customFormat="1" ht="15.75" thickTop="1">
      <c r="A86" s="578"/>
      <c r="B86" s="537" t="s">
        <v>2665</v>
      </c>
      <c r="C86" s="553"/>
      <c r="D86" s="553"/>
      <c r="E86" s="553"/>
      <c r="F86" s="553"/>
      <c r="G86" s="553"/>
      <c r="H86" s="553"/>
      <c r="I86" s="553"/>
      <c r="J86" s="553"/>
      <c r="K86" s="553"/>
      <c r="L86" s="579"/>
      <c r="M86" s="580"/>
      <c r="N86" s="1153"/>
      <c r="O86" s="1153"/>
      <c r="P86" s="2631"/>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1"/>
      <c r="Q87" s="503"/>
    </row>
    <row r="88" spans="1:17" s="117" customFormat="1" ht="15.75" thickTop="1">
      <c r="A88" s="578"/>
      <c r="B88" s="537" t="str">
        <f>B26</f>
        <v>平面位置/可视性</v>
      </c>
      <c r="C88" s="553"/>
      <c r="D88" s="553"/>
      <c r="E88" s="553"/>
      <c r="F88" s="2636"/>
      <c r="G88" s="553"/>
      <c r="H88" s="553"/>
      <c r="I88" s="553"/>
      <c r="J88" s="553"/>
      <c r="K88" s="553"/>
      <c r="L88" s="553"/>
      <c r="M88" s="580"/>
      <c r="N88" s="1153"/>
      <c r="O88" s="1153"/>
      <c r="P88" s="2631"/>
      <c r="Q88" s="503"/>
    </row>
    <row r="89" spans="1:17" s="117" customFormat="1" ht="15.75" thickBot="1">
      <c r="A89" s="578"/>
      <c r="B89" s="542"/>
      <c r="C89" s="559"/>
      <c r="D89" s="535"/>
      <c r="E89" s="535"/>
      <c r="F89" s="535"/>
      <c r="G89" s="535"/>
      <c r="H89" s="535"/>
      <c r="I89" s="535"/>
      <c r="J89" s="535"/>
      <c r="K89" s="535"/>
      <c r="L89" s="535"/>
      <c r="M89" s="535"/>
      <c r="N89" s="1155"/>
      <c r="O89" s="1155"/>
      <c r="P89" s="2631"/>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2"/>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2"/>
      <c r="Q91" s="558"/>
    </row>
    <row r="92" spans="1:17" ht="15.75" thickTop="1">
      <c r="A92" s="533"/>
      <c r="B92" s="537" t="str">
        <f>B28</f>
        <v>楼层</v>
      </c>
      <c r="C92" s="553"/>
      <c r="D92" s="553"/>
      <c r="E92" s="553"/>
      <c r="F92" s="553"/>
      <c r="G92" s="553"/>
      <c r="H92" s="553"/>
      <c r="I92" s="553"/>
      <c r="J92" s="553"/>
      <c r="K92" s="553"/>
      <c r="L92" s="579"/>
      <c r="M92" s="580"/>
      <c r="N92" s="1154"/>
      <c r="O92" s="1154"/>
      <c r="P92" s="2631"/>
      <c r="Q92" s="503"/>
    </row>
    <row r="93" spans="1:17" ht="15.75" thickBot="1">
      <c r="A93" s="533"/>
      <c r="B93" s="542"/>
      <c r="C93" s="535"/>
      <c r="D93" s="535"/>
      <c r="E93" s="535"/>
      <c r="F93" s="535"/>
      <c r="G93" s="535"/>
      <c r="H93" s="535"/>
      <c r="I93" s="535"/>
      <c r="J93" s="535"/>
      <c r="K93" s="535"/>
      <c r="L93" s="535"/>
      <c r="M93" s="536"/>
      <c r="N93" s="1155"/>
      <c r="O93" s="1155"/>
      <c r="P93" s="2631"/>
      <c r="Q93" s="503"/>
    </row>
    <row r="94" spans="1:17" ht="15.75" thickTop="1">
      <c r="A94" s="533"/>
      <c r="B94" s="537">
        <f>B29</f>
        <v>111</v>
      </c>
      <c r="C94" s="553"/>
      <c r="D94" s="553"/>
      <c r="E94" s="553"/>
      <c r="F94" s="553"/>
      <c r="G94" s="582"/>
      <c r="H94" s="582"/>
      <c r="I94" s="582"/>
      <c r="J94" s="582"/>
      <c r="K94" s="583"/>
      <c r="L94" s="584"/>
      <c r="M94" s="585"/>
      <c r="N94" s="1154"/>
      <c r="O94" s="1154"/>
      <c r="P94" s="2631"/>
      <c r="Q94" s="503"/>
    </row>
    <row r="95" spans="1:17" ht="15.75" thickBot="1">
      <c r="A95" s="533"/>
      <c r="B95" s="542"/>
      <c r="C95" s="559"/>
      <c r="D95" s="535"/>
      <c r="E95" s="535"/>
      <c r="F95" s="535"/>
      <c r="G95" s="535"/>
      <c r="H95" s="535"/>
      <c r="I95" s="535"/>
      <c r="J95" s="535"/>
      <c r="K95" s="535"/>
      <c r="L95" s="535"/>
      <c r="M95" s="536"/>
      <c r="N95" s="1155"/>
      <c r="O95" s="1155"/>
      <c r="P95" s="2631"/>
      <c r="Q95" s="503"/>
    </row>
    <row r="96" spans="1:17" ht="15.75" thickTop="1">
      <c r="A96" s="533"/>
      <c r="B96" s="537">
        <f>B30</f>
        <v>111</v>
      </c>
      <c r="C96" s="553"/>
      <c r="D96" s="553"/>
      <c r="E96" s="553"/>
      <c r="F96" s="553"/>
      <c r="G96" s="582"/>
      <c r="H96" s="582"/>
      <c r="I96" s="582"/>
      <c r="J96" s="582"/>
      <c r="K96" s="583"/>
      <c r="L96" s="584"/>
      <c r="M96" s="585"/>
      <c r="N96" s="1154"/>
      <c r="O96" s="1154"/>
      <c r="P96" s="2631"/>
      <c r="Q96" s="503"/>
    </row>
    <row r="97" spans="1:17" ht="15.75" thickBot="1">
      <c r="A97" s="533"/>
      <c r="B97" s="542"/>
      <c r="C97" s="559"/>
      <c r="D97" s="535"/>
      <c r="E97" s="535"/>
      <c r="F97" s="535"/>
      <c r="G97" s="535"/>
      <c r="H97" s="535"/>
      <c r="I97" s="535"/>
      <c r="J97" s="535"/>
      <c r="K97" s="535"/>
      <c r="L97" s="535"/>
      <c r="M97" s="536"/>
      <c r="N97" s="1155"/>
      <c r="O97" s="1155"/>
      <c r="P97" s="2631"/>
      <c r="Q97" s="503"/>
    </row>
    <row r="98" spans="1:17" ht="15.75" thickTop="1">
      <c r="A98" s="533"/>
      <c r="B98" s="545">
        <f>B31</f>
        <v>111</v>
      </c>
      <c r="C98" s="553"/>
      <c r="D98" s="553"/>
      <c r="E98" s="553"/>
      <c r="F98" s="553"/>
      <c r="G98" s="586"/>
      <c r="H98" s="586"/>
      <c r="I98" s="586"/>
      <c r="J98" s="586"/>
      <c r="K98" s="587"/>
      <c r="L98" s="588"/>
      <c r="M98" s="589"/>
      <c r="N98" s="1154"/>
      <c r="O98" s="1154"/>
      <c r="P98" s="2631"/>
      <c r="Q98" s="503"/>
    </row>
    <row r="99" spans="1:17" ht="15.75" thickBot="1">
      <c r="A99" s="2637"/>
      <c r="B99" s="568"/>
      <c r="C99" s="569"/>
      <c r="D99" s="569"/>
      <c r="E99" s="569"/>
      <c r="F99" s="569"/>
      <c r="G99" s="590"/>
      <c r="H99" s="590"/>
      <c r="I99" s="590"/>
      <c r="J99" s="590"/>
      <c r="K99" s="590"/>
      <c r="L99" s="590"/>
      <c r="M99" s="591"/>
      <c r="N99" s="1155"/>
      <c r="O99" s="1155"/>
      <c r="P99" s="2631"/>
      <c r="Q99" s="503"/>
    </row>
    <row r="100" spans="1:17">
      <c r="A100" s="526" t="s">
        <v>2548</v>
      </c>
      <c r="B100" s="527" t="s">
        <v>2666</v>
      </c>
      <c r="C100" s="529"/>
      <c r="D100" s="529"/>
      <c r="E100" s="529"/>
      <c r="F100" s="529"/>
      <c r="G100" s="529"/>
      <c r="H100" s="529"/>
      <c r="I100" s="529"/>
      <c r="J100" s="529"/>
      <c r="K100" s="530"/>
      <c r="L100" s="531"/>
      <c r="M100" s="532"/>
      <c r="N100" s="1154"/>
      <c r="O100" s="1154"/>
      <c r="P100" s="2631"/>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1"/>
      <c r="Q101" s="503"/>
    </row>
    <row r="102" spans="1:17" ht="15.75" thickTop="1">
      <c r="A102" s="533"/>
      <c r="B102" s="537" t="s">
        <v>2598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1"/>
      <c r="Q102" s="503"/>
    </row>
    <row r="103" spans="1:17" s="470" customFormat="1">
      <c r="A103" s="592"/>
      <c r="B103" s="593"/>
      <c r="C103" s="594"/>
      <c r="D103" s="594"/>
      <c r="E103" s="594"/>
      <c r="F103" s="594"/>
      <c r="G103" s="594"/>
      <c r="H103" s="594"/>
      <c r="I103" s="594"/>
      <c r="J103" s="595"/>
      <c r="K103" s="595"/>
      <c r="L103" s="596"/>
      <c r="M103" s="597"/>
      <c r="N103" s="1156"/>
      <c r="O103" s="1156"/>
      <c r="P103" s="2632"/>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2"/>
      <c r="Q104" s="558"/>
    </row>
    <row r="105" spans="1:17" ht="15" thickTop="1">
      <c r="A105" s="598"/>
      <c r="B105" s="537" t="s">
        <v>2599</v>
      </c>
      <c r="C105" s="553"/>
      <c r="D105" s="553"/>
      <c r="E105" s="582"/>
      <c r="F105" s="582"/>
      <c r="G105" s="582"/>
      <c r="H105" s="582"/>
      <c r="I105" s="582"/>
      <c r="J105" s="582"/>
      <c r="K105" s="583"/>
      <c r="L105" s="584"/>
      <c r="M105" s="585"/>
      <c r="N105" s="1154"/>
      <c r="O105" s="1154"/>
      <c r="P105" s="2631"/>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1"/>
      <c r="Q106" s="503"/>
    </row>
    <row r="107" spans="1:17" ht="15" thickTop="1">
      <c r="A107" s="598"/>
      <c r="B107" s="537" t="s">
        <v>2601</v>
      </c>
      <c r="C107" s="553"/>
      <c r="D107" s="553"/>
      <c r="E107" s="553"/>
      <c r="F107" s="582"/>
      <c r="G107" s="582"/>
      <c r="H107" s="582"/>
      <c r="I107" s="582"/>
      <c r="J107" s="582"/>
      <c r="K107" s="583"/>
      <c r="L107" s="584"/>
      <c r="M107" s="585"/>
      <c r="N107" s="1154"/>
      <c r="O107" s="1154"/>
      <c r="P107" s="2631"/>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1"/>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1"/>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1"/>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1"/>
      <c r="Q111" s="503"/>
    </row>
    <row r="112" spans="1:17" s="470" customFormat="1" ht="15" thickTop="1">
      <c r="A112" s="592"/>
      <c r="B112" s="537" t="s">
        <v>2603</v>
      </c>
      <c r="C112" s="553"/>
      <c r="D112" s="553"/>
      <c r="E112" s="553"/>
      <c r="F112" s="553"/>
      <c r="G112" s="553"/>
      <c r="H112" s="582"/>
      <c r="I112" s="582"/>
      <c r="J112" s="582"/>
      <c r="K112" s="583"/>
      <c r="L112" s="584"/>
      <c r="M112" s="585"/>
      <c r="N112" s="1156"/>
      <c r="O112" s="1156"/>
      <c r="P112" s="2632"/>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2"/>
      <c r="Q113" s="558"/>
    </row>
    <row r="114" spans="1:17" ht="15" thickTop="1">
      <c r="A114" s="598"/>
      <c r="B114" s="537" t="s">
        <v>2667</v>
      </c>
      <c r="C114" s="553"/>
      <c r="D114" s="553"/>
      <c r="E114" s="582"/>
      <c r="F114" s="582"/>
      <c r="G114" s="582"/>
      <c r="H114" s="582"/>
      <c r="I114" s="582"/>
      <c r="J114" s="582"/>
      <c r="K114" s="583"/>
      <c r="L114" s="584"/>
      <c r="M114" s="585"/>
      <c r="N114" s="1154"/>
      <c r="O114" s="1154"/>
      <c r="P114" s="2631"/>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1"/>
      <c r="Q115" s="503"/>
    </row>
    <row r="116" spans="1:17" ht="15" thickTop="1">
      <c r="A116" s="598"/>
      <c r="B116" s="537" t="s">
        <v>2668</v>
      </c>
      <c r="C116" s="553"/>
      <c r="D116" s="553"/>
      <c r="E116" s="553"/>
      <c r="F116" s="553"/>
      <c r="G116" s="553"/>
      <c r="H116" s="582"/>
      <c r="I116" s="582"/>
      <c r="J116" s="582"/>
      <c r="K116" s="583"/>
      <c r="L116" s="584"/>
      <c r="M116" s="585"/>
      <c r="N116" s="1154"/>
      <c r="O116" s="1154"/>
      <c r="P116" s="2631"/>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1"/>
      <c r="Q117" s="503"/>
    </row>
    <row r="118" spans="1:17" ht="15" thickTop="1">
      <c r="A118" s="598"/>
      <c r="B118" s="537" t="s">
        <v>2669</v>
      </c>
      <c r="C118" s="626"/>
      <c r="D118" s="626"/>
      <c r="E118" s="626"/>
      <c r="F118" s="626"/>
      <c r="G118" s="626"/>
      <c r="H118" s="554"/>
      <c r="I118" s="554"/>
      <c r="J118" s="554"/>
      <c r="K118" s="554"/>
      <c r="L118" s="555"/>
      <c r="M118" s="556"/>
      <c r="N118" s="1154"/>
      <c r="O118" s="1154"/>
      <c r="P118" s="2631"/>
      <c r="Q118" s="503"/>
    </row>
    <row r="119" spans="1:17" ht="15.75" thickBot="1">
      <c r="A119" s="533"/>
      <c r="B119" s="542"/>
      <c r="C119" s="559"/>
      <c r="D119" s="535"/>
      <c r="E119" s="535"/>
      <c r="F119" s="535"/>
      <c r="G119" s="535"/>
      <c r="H119" s="535"/>
      <c r="I119" s="535"/>
      <c r="J119" s="535"/>
      <c r="K119" s="535"/>
      <c r="L119" s="535"/>
      <c r="M119" s="536"/>
      <c r="N119" s="1155"/>
      <c r="O119" s="1155"/>
      <c r="P119" s="2631"/>
      <c r="Q119" s="503"/>
    </row>
    <row r="120" spans="1:17" s="470" customFormat="1" ht="15" thickTop="1">
      <c r="A120" s="592"/>
      <c r="B120" s="537" t="s">
        <v>2670</v>
      </c>
      <c r="C120" s="582"/>
      <c r="D120" s="582"/>
      <c r="E120" s="582"/>
      <c r="F120" s="582"/>
      <c r="G120" s="554"/>
      <c r="H120" s="554"/>
      <c r="I120" s="554"/>
      <c r="J120" s="554"/>
      <c r="K120" s="554"/>
      <c r="L120" s="555"/>
      <c r="M120" s="556"/>
      <c r="N120" s="1156"/>
      <c r="O120" s="1156"/>
      <c r="P120" s="2632"/>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2"/>
      <c r="Q121" s="558"/>
    </row>
    <row r="122" spans="1:17" ht="15" thickTop="1">
      <c r="A122" s="598"/>
      <c r="B122" s="537" t="s">
        <v>2605</v>
      </c>
      <c r="C122" s="553"/>
      <c r="D122" s="553"/>
      <c r="E122" s="553"/>
      <c r="F122" s="582"/>
      <c r="G122" s="582"/>
      <c r="H122" s="582"/>
      <c r="I122" s="582"/>
      <c r="J122" s="582"/>
      <c r="K122" s="583"/>
      <c r="L122" s="584"/>
      <c r="M122" s="585"/>
      <c r="N122" s="1154"/>
      <c r="O122" s="1154"/>
      <c r="P122" s="2631"/>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1"/>
      <c r="Q123" s="503"/>
    </row>
    <row r="124" spans="1:17" ht="15" thickTop="1">
      <c r="A124" s="598"/>
      <c r="B124" s="537" t="s">
        <v>2606</v>
      </c>
      <c r="C124" s="577" t="s">
        <v>2582</v>
      </c>
      <c r="D124" s="577" t="s">
        <v>2583</v>
      </c>
      <c r="E124" s="577" t="s">
        <v>2584</v>
      </c>
      <c r="F124" s="577" t="s">
        <v>2585</v>
      </c>
      <c r="G124" s="577" t="s">
        <v>2586</v>
      </c>
      <c r="H124" s="538"/>
      <c r="I124" s="538"/>
      <c r="J124" s="538"/>
      <c r="K124" s="539"/>
      <c r="L124" s="540"/>
      <c r="M124" s="541"/>
      <c r="N124" s="1154"/>
      <c r="O124" s="1154"/>
      <c r="P124" s="2632"/>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1"/>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2"/>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2"/>
      <c r="Q127" s="558"/>
    </row>
    <row r="128" spans="1:17" ht="15" thickTop="1">
      <c r="A128" s="598"/>
      <c r="B128" s="537">
        <f>B45</f>
        <v>111</v>
      </c>
      <c r="C128" s="553"/>
      <c r="D128" s="553"/>
      <c r="E128" s="553"/>
      <c r="F128" s="553"/>
      <c r="G128" s="582"/>
      <c r="H128" s="582"/>
      <c r="I128" s="582"/>
      <c r="J128" s="582"/>
      <c r="K128" s="583"/>
      <c r="L128" s="584"/>
      <c r="M128" s="585"/>
      <c r="N128" s="1154"/>
      <c r="O128" s="1154"/>
      <c r="P128" s="2631"/>
      <c r="Q128" s="503"/>
    </row>
    <row r="129" spans="1:17" ht="15.75" thickBot="1">
      <c r="A129" s="533"/>
      <c r="B129" s="542"/>
      <c r="C129" s="559"/>
      <c r="D129" s="535"/>
      <c r="E129" s="535"/>
      <c r="F129" s="535"/>
      <c r="G129" s="535"/>
      <c r="H129" s="535"/>
      <c r="I129" s="535"/>
      <c r="J129" s="535"/>
      <c r="K129" s="535"/>
      <c r="L129" s="535"/>
      <c r="M129" s="536"/>
      <c r="N129" s="1155"/>
      <c r="O129" s="1155"/>
      <c r="P129" s="2631"/>
      <c r="Q129" s="503"/>
    </row>
    <row r="130" spans="1:17" ht="15" thickTop="1">
      <c r="A130" s="598"/>
      <c r="B130" s="545">
        <f>B46</f>
        <v>111</v>
      </c>
      <c r="C130" s="553"/>
      <c r="D130" s="553"/>
      <c r="E130" s="553"/>
      <c r="F130" s="553"/>
      <c r="G130" s="586"/>
      <c r="H130" s="586"/>
      <c r="I130" s="586"/>
      <c r="J130" s="586"/>
      <c r="K130" s="522"/>
      <c r="L130" s="523"/>
      <c r="M130" s="589"/>
      <c r="N130" s="1154"/>
      <c r="O130" s="1154"/>
      <c r="P130" s="2631"/>
      <c r="Q130" s="503"/>
    </row>
    <row r="131" spans="1:17" ht="15.75" thickBot="1">
      <c r="A131" s="2637"/>
      <c r="B131" s="568"/>
      <c r="C131" s="569"/>
      <c r="D131" s="569"/>
      <c r="E131" s="569"/>
      <c r="F131" s="569"/>
      <c r="G131" s="590"/>
      <c r="H131" s="590"/>
      <c r="I131" s="590"/>
      <c r="J131" s="590"/>
      <c r="K131" s="590"/>
      <c r="L131" s="590"/>
      <c r="M131" s="591"/>
      <c r="N131" s="1155"/>
      <c r="O131" s="1155"/>
      <c r="P131" s="2631"/>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2513</v>
      </c>
      <c r="B1" s="2670" t="s">
        <v>2671</v>
      </c>
      <c r="C1" s="1622" t="s">
        <v>2515</v>
      </c>
      <c r="D1" s="1623"/>
      <c r="E1" s="1632"/>
      <c r="F1" s="2585"/>
      <c r="G1" s="1633" t="s">
        <v>2628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2312</v>
      </c>
      <c r="B2" s="1420" t="e">
        <f ca="1">IF(C2="——",ROUND(C50*D3/10000,0),ROUND(C50*D3/10000,0)-D2)</f>
        <v>#DIV/0!</v>
      </c>
      <c r="C2" s="2587"/>
      <c r="D2" s="1367" t="e">
        <f ca="1">SUMIF(INDIRECT("'"&amp;F2&amp;"'"&amp;"!A:A"),"承租人权益价值",INDIRECT("'"&amp;F2&amp;"'"&amp;"!c:c"))</f>
        <v>#REF!</v>
      </c>
      <c r="E2" s="2588" t="s">
        <v>2313</v>
      </c>
      <c r="F2" s="2589"/>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t="e">
        <f ca="1">IF(C2="——",C50,ROUND(B2*10000/D3,0))</f>
        <v>#DIV/0!</v>
      </c>
      <c r="C3" s="399" t="s">
        <v>2629</v>
      </c>
      <c r="D3" s="398">
        <f>IF(D1="",'数据-汇总表'!E3,SUMIF('数据-汇总表'!$C19:$C33,D1,'数据-汇总表'!$E19:$E33))</f>
        <v>47850.3</v>
      </c>
      <c r="E3" s="2664"/>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54" t="s">
        <v>2636</v>
      </c>
      <c r="Q4" s="3355"/>
      <c r="R4" s="3349" t="s">
        <v>2632</v>
      </c>
      <c r="S4" s="3350"/>
      <c r="T4" s="3349" t="s">
        <v>2633</v>
      </c>
      <c r="U4" s="3350"/>
      <c r="V4" s="3358" t="s">
        <v>2634</v>
      </c>
      <c r="W4" s="3358"/>
      <c r="X4" s="2671"/>
      <c r="Y4" s="3349" t="s">
        <v>2636</v>
      </c>
      <c r="Z4" s="3350"/>
      <c r="AA4" s="3348" t="s">
        <v>2632</v>
      </c>
      <c r="AB4" s="3348" t="s">
        <v>2633</v>
      </c>
      <c r="AC4" s="3351" t="s">
        <v>2634</v>
      </c>
    </row>
    <row r="5" spans="1:29" ht="15">
      <c r="A5" s="403"/>
      <c r="B5" s="404"/>
      <c r="C5" s="3313" t="s">
        <v>2527</v>
      </c>
      <c r="D5" s="3314"/>
      <c r="E5" s="3311" t="s">
        <v>2528</v>
      </c>
      <c r="F5" s="3312"/>
      <c r="G5" s="3313" t="s">
        <v>2529</v>
      </c>
      <c r="H5" s="3314"/>
      <c r="I5" s="3313" t="s">
        <v>2530</v>
      </c>
      <c r="J5" s="3314"/>
      <c r="K5" s="609"/>
      <c r="L5" s="1132"/>
      <c r="M5" s="1133"/>
      <c r="N5" s="1133"/>
      <c r="O5" s="1133"/>
      <c r="P5" s="3356"/>
      <c r="Q5" s="3327"/>
      <c r="R5" s="3309"/>
      <c r="S5" s="3310"/>
      <c r="T5" s="3309"/>
      <c r="U5" s="3310"/>
      <c r="V5" s="3332"/>
      <c r="W5" s="3332"/>
      <c r="X5" s="1815"/>
      <c r="Y5" s="3309"/>
      <c r="Z5" s="3310"/>
      <c r="AA5" s="3303"/>
      <c r="AB5" s="3303"/>
      <c r="AC5" s="3352"/>
    </row>
    <row r="6" spans="1:29" ht="15.75" thickBot="1">
      <c r="A6" s="405"/>
      <c r="B6" s="406"/>
      <c r="C6" s="3315" t="s">
        <v>2531</v>
      </c>
      <c r="D6" s="3316"/>
      <c r="E6" s="3317" t="s">
        <v>2531</v>
      </c>
      <c r="F6" s="3318"/>
      <c r="G6" s="3315" t="s">
        <v>2531</v>
      </c>
      <c r="H6" s="3316"/>
      <c r="I6" s="3315" t="s">
        <v>2531</v>
      </c>
      <c r="J6" s="3316"/>
      <c r="K6" s="609" t="s">
        <v>2532</v>
      </c>
      <c r="L6" s="1132"/>
      <c r="M6" s="1133"/>
      <c r="N6" s="1133"/>
      <c r="O6" s="1133"/>
      <c r="P6" s="3357"/>
      <c r="Q6" s="3329"/>
      <c r="R6" s="3309"/>
      <c r="S6" s="3310"/>
      <c r="T6" s="3330"/>
      <c r="U6" s="3331"/>
      <c r="V6" s="3332"/>
      <c r="W6" s="3332"/>
      <c r="X6" s="1815"/>
      <c r="Y6" s="3330"/>
      <c r="Z6" s="3331"/>
      <c r="AA6" s="3304"/>
      <c r="AB6" s="3304"/>
      <c r="AC6" s="3353"/>
    </row>
    <row r="7" spans="1:29" s="117" customFormat="1" ht="15.75" thickBot="1">
      <c r="A7" s="407" t="s">
        <v>2533</v>
      </c>
      <c r="B7" s="408"/>
      <c r="C7" s="409">
        <f>'数据-取费表'!B2</f>
        <v>43116</v>
      </c>
      <c r="D7" s="410">
        <v>100</v>
      </c>
      <c r="E7" s="411"/>
      <c r="F7" s="412">
        <f>SUMIF(59:59,YEAR(E7)&amp;"-"&amp;MONTH(E7),60:60)</f>
        <v>0</v>
      </c>
      <c r="G7" s="411"/>
      <c r="H7" s="410">
        <f>SUMIF(59:59,YEAR(G7)&amp;"-"&amp;MONTH(G7),60:60)</f>
        <v>0</v>
      </c>
      <c r="I7" s="411"/>
      <c r="J7" s="410">
        <f>SUMIF(59:59,YEAR(I7)&amp;"-"&amp;MONTH(I7),60:60)</f>
        <v>0</v>
      </c>
      <c r="K7" s="610"/>
      <c r="L7" s="1134"/>
      <c r="M7" s="1135"/>
      <c r="N7" s="1135"/>
      <c r="O7" s="1135"/>
      <c r="P7" s="3359" t="s">
        <v>2534</v>
      </c>
      <c r="Q7" s="3333"/>
      <c r="R7" s="769" t="s">
        <v>17</v>
      </c>
      <c r="S7" s="770">
        <f t="shared" ref="S7:S15" si="0">F7</f>
        <v>0</v>
      </c>
      <c r="T7" s="769" t="s">
        <v>17</v>
      </c>
      <c r="U7" s="770">
        <f t="shared" ref="U7:U15" si="1">H7</f>
        <v>0</v>
      </c>
      <c r="V7" s="769" t="s">
        <v>17</v>
      </c>
      <c r="W7" s="770">
        <f t="shared" ref="W7:W15" si="2">J7</f>
        <v>0</v>
      </c>
      <c r="X7" s="771"/>
      <c r="Y7" s="3305" t="s">
        <v>2534</v>
      </c>
      <c r="Z7" s="3306"/>
      <c r="AA7" s="772" t="e">
        <f>D7/F7</f>
        <v>#DIV/0!</v>
      </c>
      <c r="AB7" s="772" t="e">
        <f>D7/H7</f>
        <v>#DIV/0!</v>
      </c>
      <c r="AC7" s="2672" t="e">
        <f>D7/J7</f>
        <v>#DIV/0!</v>
      </c>
    </row>
    <row r="8" spans="1:29" s="117" customFormat="1" ht="15.75" thickBot="1">
      <c r="A8" s="407" t="s">
        <v>2535</v>
      </c>
      <c r="B8" s="408"/>
      <c r="C8" s="413" t="s">
        <v>2637</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359" t="s">
        <v>2537</v>
      </c>
      <c r="Q8" s="3306"/>
      <c r="R8" s="769" t="s">
        <v>17</v>
      </c>
      <c r="S8" s="770">
        <f t="shared" si="0"/>
        <v>0</v>
      </c>
      <c r="T8" s="769" t="s">
        <v>17</v>
      </c>
      <c r="U8" s="770">
        <f t="shared" si="1"/>
        <v>0</v>
      </c>
      <c r="V8" s="769" t="s">
        <v>17</v>
      </c>
      <c r="W8" s="770">
        <f t="shared" si="2"/>
        <v>0</v>
      </c>
      <c r="X8" s="771"/>
      <c r="Y8" s="3305" t="s">
        <v>2537</v>
      </c>
      <c r="Z8" s="3306"/>
      <c r="AA8" s="772" t="e">
        <f t="shared" ref="AA8:AA47" si="3">D8/F8</f>
        <v>#DIV/0!</v>
      </c>
      <c r="AB8" s="772" t="e">
        <f t="shared" ref="AB8:AB47" si="4">D8/H8</f>
        <v>#DIV/0!</v>
      </c>
      <c r="AC8" s="2672" t="e">
        <f t="shared" ref="AC8:AC47" si="5">D8/J8</f>
        <v>#DIV/0!</v>
      </c>
    </row>
    <row r="9" spans="1:29" s="117" customFormat="1">
      <c r="A9" s="414" t="s">
        <v>2538</v>
      </c>
      <c r="B9" s="71" t="s">
        <v>2539</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319" t="s">
        <v>2540</v>
      </c>
      <c r="Q9" s="1797" t="str">
        <f t="shared" ref="Q9:Q15" si="6">B9</f>
        <v>用途</v>
      </c>
      <c r="R9" s="769" t="s">
        <v>17</v>
      </c>
      <c r="S9" s="770">
        <f t="shared" si="0"/>
        <v>100</v>
      </c>
      <c r="T9" s="769" t="s">
        <v>17</v>
      </c>
      <c r="U9" s="770">
        <f t="shared" si="1"/>
        <v>100</v>
      </c>
      <c r="V9" s="769" t="s">
        <v>17</v>
      </c>
      <c r="W9" s="770">
        <f t="shared" si="2"/>
        <v>100</v>
      </c>
      <c r="X9" s="771"/>
      <c r="Y9" s="3132" t="s">
        <v>2541</v>
      </c>
      <c r="Z9" s="55" t="str">
        <f t="shared" ref="Z9:Z15" si="7">Q9</f>
        <v>用途</v>
      </c>
      <c r="AA9" s="772">
        <f t="shared" si="3"/>
        <v>1</v>
      </c>
      <c r="AB9" s="772">
        <f t="shared" si="4"/>
        <v>1</v>
      </c>
      <c r="AC9" s="2672">
        <f t="shared" si="5"/>
        <v>1</v>
      </c>
    </row>
    <row r="10" spans="1:29" s="426" customFormat="1" ht="27">
      <c r="A10" s="420"/>
      <c r="B10" s="421" t="s">
        <v>2542</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319"/>
      <c r="Q10" s="1797" t="str">
        <f t="shared" si="6"/>
        <v>土地使用年限（年）</v>
      </c>
      <c r="R10" s="769" t="s">
        <v>17</v>
      </c>
      <c r="S10" s="770">
        <f t="shared" si="0"/>
        <v>100</v>
      </c>
      <c r="T10" s="769" t="s">
        <v>17</v>
      </c>
      <c r="U10" s="770">
        <f t="shared" si="1"/>
        <v>100</v>
      </c>
      <c r="V10" s="769" t="s">
        <v>17</v>
      </c>
      <c r="W10" s="770">
        <f t="shared" si="2"/>
        <v>100</v>
      </c>
      <c r="X10" s="771"/>
      <c r="Y10" s="3132"/>
      <c r="Z10" s="55" t="str">
        <f t="shared" si="7"/>
        <v>土地使用年限（年）</v>
      </c>
      <c r="AA10" s="772">
        <f t="shared" si="3"/>
        <v>1</v>
      </c>
      <c r="AB10" s="772">
        <f t="shared" si="4"/>
        <v>1</v>
      </c>
      <c r="AC10" s="2672">
        <f t="shared" si="5"/>
        <v>1</v>
      </c>
    </row>
    <row r="11" spans="1:29" ht="15">
      <c r="A11" s="427"/>
      <c r="B11" s="421" t="s">
        <v>2543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319"/>
      <c r="Q11" s="1797" t="str">
        <f t="shared" si="6"/>
        <v>容积率</v>
      </c>
      <c r="R11" s="769" t="s">
        <v>17</v>
      </c>
      <c r="S11" s="770" t="e">
        <f t="shared" si="0"/>
        <v>#N/A</v>
      </c>
      <c r="T11" s="769" t="s">
        <v>17</v>
      </c>
      <c r="U11" s="770" t="e">
        <f t="shared" si="1"/>
        <v>#N/A</v>
      </c>
      <c r="V11" s="769" t="s">
        <v>17</v>
      </c>
      <c r="W11" s="770" t="e">
        <f t="shared" si="2"/>
        <v>#N/A</v>
      </c>
      <c r="X11" s="771"/>
      <c r="Y11" s="3132"/>
      <c r="Z11" s="55" t="str">
        <f t="shared" si="7"/>
        <v>容积率</v>
      </c>
      <c r="AA11" s="772" t="e">
        <f t="shared" si="3"/>
        <v>#N/A</v>
      </c>
      <c r="AB11" s="772" t="e">
        <f t="shared" si="4"/>
        <v>#N/A</v>
      </c>
      <c r="AC11" s="2672" t="e">
        <f t="shared" si="5"/>
        <v>#N/A</v>
      </c>
    </row>
    <row r="12" spans="1:29" s="117" customFormat="1" ht="15">
      <c r="A12" s="430"/>
      <c r="B12" s="2601">
        <v>111</v>
      </c>
      <c r="C12" s="431"/>
      <c r="D12" s="432">
        <v>100</v>
      </c>
      <c r="E12" s="431"/>
      <c r="F12" s="135">
        <f>SUMIF(71:71,E12,72:72)-SUMIF(71:71,C12,72:72)+100</f>
        <v>100</v>
      </c>
      <c r="G12" s="2673"/>
      <c r="H12" s="135">
        <f>SUMIF(71:71,G12,72:72)-SUMIF(71:71,C12,72:72)+100</f>
        <v>100</v>
      </c>
      <c r="I12" s="431"/>
      <c r="J12" s="135">
        <f>SUMIF(71:71,I12,72:72)-SUMIF(71:71,C12,72:72)+100</f>
        <v>100</v>
      </c>
      <c r="K12" s="612"/>
      <c r="L12" s="1134"/>
      <c r="M12" s="1135"/>
      <c r="N12" s="1135"/>
      <c r="O12" s="1135"/>
      <c r="P12" s="3319"/>
      <c r="Q12" s="1797">
        <f t="shared" si="6"/>
        <v>111</v>
      </c>
      <c r="R12" s="769" t="s">
        <v>17</v>
      </c>
      <c r="S12" s="770">
        <f t="shared" si="0"/>
        <v>100</v>
      </c>
      <c r="T12" s="769" t="s">
        <v>17</v>
      </c>
      <c r="U12" s="770">
        <f t="shared" si="1"/>
        <v>100</v>
      </c>
      <c r="V12" s="769" t="s">
        <v>17</v>
      </c>
      <c r="W12" s="770">
        <f t="shared" si="2"/>
        <v>100</v>
      </c>
      <c r="X12" s="771"/>
      <c r="Y12" s="3132"/>
      <c r="Z12" s="55">
        <f t="shared" si="7"/>
        <v>111</v>
      </c>
      <c r="AA12" s="772">
        <f>D12/F12</f>
        <v>1</v>
      </c>
      <c r="AB12" s="772">
        <f>D12/H12</f>
        <v>1</v>
      </c>
      <c r="AC12" s="2672">
        <f>D12/J12</f>
        <v>1</v>
      </c>
    </row>
    <row r="13" spans="1:29" ht="15">
      <c r="A13" s="427"/>
      <c r="B13" s="2601">
        <v>111</v>
      </c>
      <c r="C13" s="433"/>
      <c r="D13" s="434">
        <v>100</v>
      </c>
      <c r="E13" s="431"/>
      <c r="F13" s="135">
        <f>SUMIF(73:73,E13,74:74)-SUMIF(73:73,C13,74:74)+100</f>
        <v>100</v>
      </c>
      <c r="G13" s="2673"/>
      <c r="H13" s="434">
        <f>SUMIF(73:73,G13,74:74)-SUMIF(73:73,C13,74:74)+100</f>
        <v>100</v>
      </c>
      <c r="I13" s="431"/>
      <c r="J13" s="434">
        <f>SUMIF(73:73,I13,74:74)-SUMIF(73:73,C13,74:74)+100</f>
        <v>100</v>
      </c>
      <c r="K13" s="612"/>
      <c r="L13" s="1142"/>
      <c r="M13" s="1133"/>
      <c r="N13" s="1133"/>
      <c r="O13" s="1133"/>
      <c r="P13" s="3319"/>
      <c r="Q13" s="1797">
        <f t="shared" si="6"/>
        <v>111</v>
      </c>
      <c r="R13" s="769" t="s">
        <v>17</v>
      </c>
      <c r="S13" s="770">
        <f t="shared" si="0"/>
        <v>100</v>
      </c>
      <c r="T13" s="769" t="s">
        <v>17</v>
      </c>
      <c r="U13" s="770">
        <f t="shared" si="1"/>
        <v>100</v>
      </c>
      <c r="V13" s="769" t="s">
        <v>17</v>
      </c>
      <c r="W13" s="770">
        <f t="shared" si="2"/>
        <v>100</v>
      </c>
      <c r="X13" s="771"/>
      <c r="Y13" s="3132"/>
      <c r="Z13" s="55">
        <f t="shared" si="7"/>
        <v>111</v>
      </c>
      <c r="AA13" s="772">
        <f t="shared" si="3"/>
        <v>1</v>
      </c>
      <c r="AB13" s="772">
        <f t="shared" si="4"/>
        <v>1</v>
      </c>
      <c r="AC13" s="2672">
        <f t="shared" si="5"/>
        <v>1</v>
      </c>
    </row>
    <row r="14" spans="1:29" ht="15.75" thickBot="1">
      <c r="A14" s="435"/>
      <c r="B14" s="2603">
        <v>111</v>
      </c>
      <c r="C14" s="436"/>
      <c r="D14" s="437">
        <v>100</v>
      </c>
      <c r="E14" s="627"/>
      <c r="F14" s="437">
        <f>SUMIF(75:75,E14,76:76)-SUMIF(75:75,C14,76:76)+100</f>
        <v>100</v>
      </c>
      <c r="G14" s="2673"/>
      <c r="H14" s="437">
        <f>SUMIF(75:75,G14,76:76)-SUMIF(75:75,C14,76:76)+100</f>
        <v>100</v>
      </c>
      <c r="I14" s="431"/>
      <c r="J14" s="437">
        <f>SUMIF(75:75,I14,76:76)-SUMIF(75:75,C14,76:76)+100</f>
        <v>100</v>
      </c>
      <c r="K14" s="612"/>
      <c r="L14" s="1142"/>
      <c r="M14" s="1133"/>
      <c r="N14" s="1133"/>
      <c r="O14" s="1133"/>
      <c r="P14" s="3319"/>
      <c r="Q14" s="1797">
        <f t="shared" si="6"/>
        <v>111</v>
      </c>
      <c r="R14" s="769" t="s">
        <v>17</v>
      </c>
      <c r="S14" s="770">
        <f t="shared" si="0"/>
        <v>100</v>
      </c>
      <c r="T14" s="769" t="s">
        <v>17</v>
      </c>
      <c r="U14" s="770">
        <f t="shared" si="1"/>
        <v>100</v>
      </c>
      <c r="V14" s="769" t="s">
        <v>17</v>
      </c>
      <c r="W14" s="770">
        <f t="shared" si="2"/>
        <v>100</v>
      </c>
      <c r="X14" s="771"/>
      <c r="Y14" s="3132"/>
      <c r="Z14" s="55">
        <f t="shared" si="7"/>
        <v>111</v>
      </c>
      <c r="AA14" s="772">
        <f t="shared" si="3"/>
        <v>1</v>
      </c>
      <c r="AB14" s="772">
        <f t="shared" si="4"/>
        <v>1</v>
      </c>
      <c r="AC14" s="2672">
        <f t="shared" si="5"/>
        <v>1</v>
      </c>
    </row>
    <row r="15" spans="1:29" ht="15">
      <c r="A15" s="439" t="s">
        <v>2544</v>
      </c>
      <c r="B15" s="628" t="s">
        <v>2672</v>
      </c>
      <c r="C15" s="2674">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346" t="s">
        <v>2545</v>
      </c>
      <c r="Q15" s="1812" t="str">
        <f t="shared" si="6"/>
        <v>办公集聚程度</v>
      </c>
      <c r="R15" s="773" t="s">
        <v>17</v>
      </c>
      <c r="S15" s="774">
        <f t="shared" si="0"/>
        <v>100</v>
      </c>
      <c r="T15" s="773" t="s">
        <v>17</v>
      </c>
      <c r="U15" s="774">
        <f t="shared" si="1"/>
        <v>100</v>
      </c>
      <c r="V15" s="773" t="s">
        <v>17</v>
      </c>
      <c r="W15" s="774">
        <f t="shared" si="2"/>
        <v>100</v>
      </c>
      <c r="X15" s="1815"/>
      <c r="Y15" s="3339" t="s">
        <v>2545</v>
      </c>
      <c r="Z15" s="1816" t="str">
        <f t="shared" si="7"/>
        <v>办公集聚程度</v>
      </c>
      <c r="AA15" s="1813">
        <f t="shared" si="3"/>
        <v>1</v>
      </c>
      <c r="AB15" s="1813">
        <f t="shared" si="4"/>
        <v>1</v>
      </c>
      <c r="AC15" s="2675">
        <f t="shared" si="5"/>
        <v>1</v>
      </c>
    </row>
    <row r="16" spans="1:29" ht="15">
      <c r="A16" s="427"/>
      <c r="B16" s="629"/>
      <c r="C16" s="2612"/>
      <c r="D16" s="447"/>
      <c r="E16" s="446"/>
      <c r="F16" s="447"/>
      <c r="G16" s="2612"/>
      <c r="H16" s="449"/>
      <c r="I16" s="446"/>
      <c r="J16" s="447"/>
      <c r="K16" s="614"/>
      <c r="L16" s="1142"/>
      <c r="M16" s="1133"/>
      <c r="N16" s="1133"/>
      <c r="O16" s="1133"/>
      <c r="P16" s="3347"/>
      <c r="Q16" s="1812"/>
      <c r="R16" s="773"/>
      <c r="S16" s="774"/>
      <c r="T16" s="773"/>
      <c r="U16" s="774"/>
      <c r="V16" s="773"/>
      <c r="W16" s="774"/>
      <c r="X16" s="1815"/>
      <c r="Y16" s="3340"/>
      <c r="Z16" s="1816"/>
      <c r="AA16" s="1813">
        <v>1</v>
      </c>
      <c r="AB16" s="1813">
        <v>1</v>
      </c>
      <c r="AC16" s="2675">
        <v>1</v>
      </c>
    </row>
    <row r="17" spans="1:29" ht="15">
      <c r="A17" s="427"/>
      <c r="B17" s="630" t="s">
        <v>2088</v>
      </c>
      <c r="C17" s="2676">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347"/>
      <c r="Q17" s="1812" t="str">
        <f>B17</f>
        <v>交通便捷度</v>
      </c>
      <c r="R17" s="773" t="s">
        <v>17</v>
      </c>
      <c r="S17" s="774">
        <f>F17</f>
        <v>100</v>
      </c>
      <c r="T17" s="773" t="s">
        <v>17</v>
      </c>
      <c r="U17" s="774">
        <f>H17</f>
        <v>100</v>
      </c>
      <c r="V17" s="773" t="s">
        <v>17</v>
      </c>
      <c r="W17" s="774">
        <f>J17</f>
        <v>100</v>
      </c>
      <c r="X17" s="1815"/>
      <c r="Y17" s="3340"/>
      <c r="Z17" s="1816" t="str">
        <f>Q17</f>
        <v>交通便捷度</v>
      </c>
      <c r="AA17" s="1813">
        <f t="shared" si="3"/>
        <v>1</v>
      </c>
      <c r="AB17" s="1813">
        <f t="shared" si="4"/>
        <v>1</v>
      </c>
      <c r="AC17" s="2675">
        <f t="shared" si="5"/>
        <v>1</v>
      </c>
    </row>
    <row r="18" spans="1:29" ht="15">
      <c r="A18" s="427"/>
      <c r="B18" s="631"/>
      <c r="C18" s="2677"/>
      <c r="D18" s="449"/>
      <c r="E18" s="2610"/>
      <c r="F18" s="449"/>
      <c r="G18" s="2611"/>
      <c r="H18" s="447"/>
      <c r="I18" s="2611"/>
      <c r="J18" s="447"/>
      <c r="K18" s="614"/>
      <c r="L18" s="1142"/>
      <c r="M18" s="1133"/>
      <c r="N18" s="1133"/>
      <c r="O18" s="1133"/>
      <c r="P18" s="3347"/>
      <c r="Q18" s="1812"/>
      <c r="R18" s="773"/>
      <c r="S18" s="774"/>
      <c r="T18" s="773"/>
      <c r="U18" s="774"/>
      <c r="V18" s="773"/>
      <c r="W18" s="774"/>
      <c r="X18" s="1815"/>
      <c r="Y18" s="3340"/>
      <c r="Z18" s="1816"/>
      <c r="AA18" s="1813">
        <v>1</v>
      </c>
      <c r="AB18" s="1813">
        <v>1</v>
      </c>
      <c r="AC18" s="2675">
        <v>1</v>
      </c>
    </row>
    <row r="19" spans="1:29" ht="15">
      <c r="A19" s="427"/>
      <c r="B19" s="630" t="s">
        <v>2673</v>
      </c>
      <c r="C19" s="2676">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347"/>
      <c r="Q19" s="1812" t="str">
        <f>B19</f>
        <v>公共配套设施</v>
      </c>
      <c r="R19" s="773" t="s">
        <v>17</v>
      </c>
      <c r="S19" s="774">
        <f>F19</f>
        <v>100</v>
      </c>
      <c r="T19" s="773" t="s">
        <v>17</v>
      </c>
      <c r="U19" s="774">
        <f>H19</f>
        <v>100</v>
      </c>
      <c r="V19" s="773" t="s">
        <v>17</v>
      </c>
      <c r="W19" s="774">
        <f>J19</f>
        <v>100</v>
      </c>
      <c r="X19" s="1815"/>
      <c r="Y19" s="3340"/>
      <c r="Z19" s="1816" t="str">
        <f>Q19</f>
        <v>公共配套设施</v>
      </c>
      <c r="AA19" s="1813">
        <f t="shared" si="3"/>
        <v>1</v>
      </c>
      <c r="AB19" s="1813">
        <f t="shared" si="4"/>
        <v>1</v>
      </c>
      <c r="AC19" s="2675">
        <f t="shared" si="5"/>
        <v>1</v>
      </c>
    </row>
    <row r="20" spans="1:29" ht="15">
      <c r="A20" s="427"/>
      <c r="B20" s="631"/>
      <c r="C20" s="2612"/>
      <c r="D20" s="447"/>
      <c r="E20" s="2605"/>
      <c r="F20" s="447"/>
      <c r="G20" s="2606"/>
      <c r="H20" s="447"/>
      <c r="I20" s="2606"/>
      <c r="J20" s="447"/>
      <c r="K20" s="614"/>
      <c r="L20" s="1142"/>
      <c r="M20" s="1133"/>
      <c r="N20" s="1133"/>
      <c r="O20" s="1133"/>
      <c r="P20" s="3347"/>
      <c r="Q20" s="1812"/>
      <c r="R20" s="773"/>
      <c r="S20" s="774"/>
      <c r="T20" s="773"/>
      <c r="U20" s="774"/>
      <c r="V20" s="773"/>
      <c r="W20" s="774"/>
      <c r="X20" s="1815"/>
      <c r="Y20" s="3340"/>
      <c r="Z20" s="1816"/>
      <c r="AA20" s="1813">
        <v>1</v>
      </c>
      <c r="AB20" s="1813">
        <v>1</v>
      </c>
      <c r="AC20" s="2675">
        <v>1</v>
      </c>
    </row>
    <row r="21" spans="1:29" ht="15">
      <c r="A21" s="427"/>
      <c r="B21" s="632" t="s">
        <v>2674</v>
      </c>
      <c r="C21" s="2676">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347"/>
      <c r="Q21" s="1812" t="str">
        <f>B21</f>
        <v>基础设施水平</v>
      </c>
      <c r="R21" s="773" t="s">
        <v>17</v>
      </c>
      <c r="S21" s="774">
        <f>F21</f>
        <v>100</v>
      </c>
      <c r="T21" s="773" t="s">
        <v>17</v>
      </c>
      <c r="U21" s="774">
        <f>H21</f>
        <v>100</v>
      </c>
      <c r="V21" s="773" t="s">
        <v>17</v>
      </c>
      <c r="W21" s="774">
        <f>J21</f>
        <v>100</v>
      </c>
      <c r="X21" s="1815"/>
      <c r="Y21" s="3340"/>
      <c r="Z21" s="1816" t="str">
        <f>Q21</f>
        <v>基础设施水平</v>
      </c>
      <c r="AA21" s="1813">
        <f t="shared" ref="AA21" si="8">D21/F21</f>
        <v>1</v>
      </c>
      <c r="AB21" s="1813">
        <f t="shared" ref="AB21" si="9">D21/H21</f>
        <v>1</v>
      </c>
      <c r="AC21" s="2675">
        <f t="shared" ref="AC21" si="10">D21/J21</f>
        <v>1</v>
      </c>
    </row>
    <row r="22" spans="1:29" ht="15">
      <c r="A22" s="427"/>
      <c r="B22" s="632"/>
      <c r="C22" s="2677"/>
      <c r="D22" s="447"/>
      <c r="E22" s="446"/>
      <c r="F22" s="447"/>
      <c r="G22" s="2612"/>
      <c r="H22" s="447"/>
      <c r="I22" s="2612"/>
      <c r="J22" s="447"/>
      <c r="K22" s="1385"/>
      <c r="L22" s="1142"/>
      <c r="M22" s="1133"/>
      <c r="N22" s="1133"/>
      <c r="O22" s="1133"/>
      <c r="P22" s="3347"/>
      <c r="Q22" s="1812"/>
      <c r="R22" s="773"/>
      <c r="S22" s="774"/>
      <c r="T22" s="773"/>
      <c r="U22" s="774"/>
      <c r="V22" s="773"/>
      <c r="W22" s="774"/>
      <c r="X22" s="1815"/>
      <c r="Y22" s="3340"/>
      <c r="Z22" s="1816"/>
      <c r="AA22" s="1813">
        <v>1</v>
      </c>
      <c r="AB22" s="1813">
        <v>1</v>
      </c>
      <c r="AC22" s="2675">
        <v>1</v>
      </c>
    </row>
    <row r="23" spans="1:29" ht="15">
      <c r="A23" s="427"/>
      <c r="B23" s="630" t="s">
        <v>2675</v>
      </c>
      <c r="C23" s="2676">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347"/>
      <c r="Q23" s="1812" t="str">
        <f>B23</f>
        <v>环境质量</v>
      </c>
      <c r="R23" s="773" t="s">
        <v>17</v>
      </c>
      <c r="S23" s="774">
        <f>F23</f>
        <v>100</v>
      </c>
      <c r="T23" s="773" t="s">
        <v>17</v>
      </c>
      <c r="U23" s="774">
        <f>H23</f>
        <v>100</v>
      </c>
      <c r="V23" s="773" t="s">
        <v>17</v>
      </c>
      <c r="W23" s="774">
        <f>J23</f>
        <v>100</v>
      </c>
      <c r="X23" s="1815"/>
      <c r="Y23" s="3340"/>
      <c r="Z23" s="1816" t="str">
        <f>Q23</f>
        <v>环境质量</v>
      </c>
      <c r="AA23" s="1813">
        <f t="shared" si="3"/>
        <v>1</v>
      </c>
      <c r="AB23" s="1813">
        <f t="shared" si="4"/>
        <v>1</v>
      </c>
      <c r="AC23" s="2675">
        <f t="shared" si="5"/>
        <v>1</v>
      </c>
    </row>
    <row r="24" spans="1:29" ht="15">
      <c r="A24" s="427"/>
      <c r="B24" s="632"/>
      <c r="C24" s="2612"/>
      <c r="D24" s="447"/>
      <c r="E24" s="2605"/>
      <c r="F24" s="447"/>
      <c r="G24" s="2606"/>
      <c r="H24" s="447"/>
      <c r="I24" s="2606"/>
      <c r="J24" s="447"/>
      <c r="K24" s="614"/>
      <c r="L24" s="1142"/>
      <c r="M24" s="1133"/>
      <c r="N24" s="1133"/>
      <c r="O24" s="1133"/>
      <c r="P24" s="3347"/>
      <c r="Q24" s="1812"/>
      <c r="R24" s="773"/>
      <c r="S24" s="774"/>
      <c r="T24" s="773"/>
      <c r="U24" s="774"/>
      <c r="V24" s="773"/>
      <c r="W24" s="774"/>
      <c r="X24" s="1815"/>
      <c r="Y24" s="3340"/>
      <c r="Z24" s="1816"/>
      <c r="AA24" s="1813">
        <v>1</v>
      </c>
      <c r="AB24" s="1813">
        <v>1</v>
      </c>
      <c r="AC24" s="2675">
        <v>1</v>
      </c>
    </row>
    <row r="25" spans="1:29" ht="27">
      <c r="A25" s="403"/>
      <c r="B25" s="630" t="s">
        <v>2676</v>
      </c>
      <c r="C25" s="2616"/>
      <c r="D25" s="434">
        <v>100</v>
      </c>
      <c r="E25" s="433"/>
      <c r="F25" s="434">
        <f>SUMIF(87:87,E26,88:88)-SUMIF(87:87,C26,88:88)+100</f>
        <v>100</v>
      </c>
      <c r="G25" s="2616"/>
      <c r="H25" s="434">
        <f>SUMIF(87:87,G26,88:88)-SUMIF(87:87,C26,88:88)+100</f>
        <v>100</v>
      </c>
      <c r="I25" s="433"/>
      <c r="J25" s="434">
        <f>SUMIF(87:87,I26,88:88)-SUMIF(87:87,C26,88:88)+100</f>
        <v>100</v>
      </c>
      <c r="K25" s="613"/>
      <c r="L25" s="1142"/>
      <c r="M25" s="1133"/>
      <c r="N25" s="1133"/>
      <c r="O25" s="1133"/>
      <c r="P25" s="3347"/>
      <c r="Q25" s="1812" t="str">
        <f>B25</f>
        <v>毗邻道路的类型与等级</v>
      </c>
      <c r="R25" s="773" t="s">
        <v>17</v>
      </c>
      <c r="S25" s="774">
        <f>F25</f>
        <v>100</v>
      </c>
      <c r="T25" s="773" t="s">
        <v>17</v>
      </c>
      <c r="U25" s="774">
        <f>H25</f>
        <v>100</v>
      </c>
      <c r="V25" s="773" t="s">
        <v>17</v>
      </c>
      <c r="W25" s="774">
        <f>J25</f>
        <v>100</v>
      </c>
      <c r="X25" s="1815"/>
      <c r="Y25" s="3340"/>
      <c r="Z25" s="1816" t="str">
        <f>Q25</f>
        <v>毗邻道路的类型与等级</v>
      </c>
      <c r="AA25" s="1813">
        <f t="shared" si="3"/>
        <v>1</v>
      </c>
      <c r="AB25" s="1813">
        <f t="shared" si="4"/>
        <v>1</v>
      </c>
      <c r="AC25" s="2675">
        <f t="shared" si="5"/>
        <v>1</v>
      </c>
    </row>
    <row r="26" spans="1:29" ht="15">
      <c r="A26" s="403"/>
      <c r="B26" s="631"/>
      <c r="C26" s="633"/>
      <c r="D26" s="434"/>
      <c r="E26" s="615"/>
      <c r="F26" s="434"/>
      <c r="G26" s="633"/>
      <c r="H26" s="434"/>
      <c r="I26" s="615"/>
      <c r="J26" s="434"/>
      <c r="K26" s="614"/>
      <c r="L26" s="1142"/>
      <c r="M26" s="1133"/>
      <c r="N26" s="1133"/>
      <c r="O26" s="1133"/>
      <c r="P26" s="3347"/>
      <c r="Q26" s="1812"/>
      <c r="R26" s="773"/>
      <c r="S26" s="774"/>
      <c r="T26" s="773"/>
      <c r="U26" s="774"/>
      <c r="V26" s="773"/>
      <c r="W26" s="774"/>
      <c r="X26" s="1815"/>
      <c r="Y26" s="3340"/>
      <c r="Z26" s="1816"/>
      <c r="AA26" s="1813">
        <v>1</v>
      </c>
      <c r="AB26" s="1813">
        <v>1</v>
      </c>
      <c r="AC26" s="2675">
        <v>1</v>
      </c>
    </row>
    <row r="27" spans="1:29" ht="15">
      <c r="A27" s="427"/>
      <c r="B27" s="631" t="s">
        <v>2644</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347"/>
      <c r="Q27" s="1812" t="str">
        <f t="shared" ref="Q27:Q47" si="11">B27</f>
        <v>楼层</v>
      </c>
      <c r="R27" s="773" t="s">
        <v>17</v>
      </c>
      <c r="S27" s="774">
        <f>F27</f>
        <v>100</v>
      </c>
      <c r="T27" s="773" t="s">
        <v>17</v>
      </c>
      <c r="U27" s="774">
        <f>H27</f>
        <v>100</v>
      </c>
      <c r="V27" s="773" t="s">
        <v>17</v>
      </c>
      <c r="W27" s="774">
        <f>J27</f>
        <v>100</v>
      </c>
      <c r="X27" s="1815"/>
      <c r="Y27" s="3340"/>
      <c r="Z27" s="1816" t="str">
        <f>Q27</f>
        <v>楼层</v>
      </c>
      <c r="AA27" s="1813">
        <f t="shared" si="3"/>
        <v>1</v>
      </c>
      <c r="AB27" s="1813">
        <f t="shared" si="4"/>
        <v>1</v>
      </c>
      <c r="AC27" s="2675">
        <f t="shared" si="5"/>
        <v>1</v>
      </c>
    </row>
    <row r="28" spans="1:29" s="117" customFormat="1" ht="15">
      <c r="A28" s="430"/>
      <c r="B28" s="630" t="s">
        <v>2677</v>
      </c>
      <c r="C28" s="2678"/>
      <c r="D28" s="461">
        <v>100</v>
      </c>
      <c r="E28" s="2666"/>
      <c r="F28" s="461">
        <f>SUMIF(91:91,E28,92:92)-SUMIF(91:91,C28,92:92)+100</f>
        <v>100</v>
      </c>
      <c r="G28" s="2678"/>
      <c r="H28" s="461">
        <f>SUMIF(91:91,G28,92:92)-SUMIF(91:91,C28,92:92)+100</f>
        <v>100</v>
      </c>
      <c r="I28" s="2666"/>
      <c r="J28" s="461">
        <f>SUMIF(91:91,I28,92:92)-SUMIF(91:91,C28,92:92)+100</f>
        <v>100</v>
      </c>
      <c r="K28" s="611"/>
      <c r="L28" s="1134"/>
      <c r="M28" s="1135"/>
      <c r="N28" s="1135"/>
      <c r="O28" s="1135"/>
      <c r="P28" s="3347"/>
      <c r="Q28" s="1797" t="str">
        <f t="shared" si="11"/>
        <v>朝向</v>
      </c>
      <c r="R28" s="769" t="s">
        <v>17</v>
      </c>
      <c r="S28" s="770">
        <f>F28</f>
        <v>100</v>
      </c>
      <c r="T28" s="769" t="s">
        <v>17</v>
      </c>
      <c r="U28" s="770">
        <f>H28</f>
        <v>100</v>
      </c>
      <c r="V28" s="769" t="s">
        <v>17</v>
      </c>
      <c r="W28" s="770">
        <f>J28</f>
        <v>100</v>
      </c>
      <c r="X28" s="771"/>
      <c r="Y28" s="3340"/>
      <c r="Z28" s="55" t="str">
        <f>Q28</f>
        <v>朝向</v>
      </c>
      <c r="AA28" s="1813">
        <f>D28/F28</f>
        <v>1</v>
      </c>
      <c r="AB28" s="1813">
        <f>D28/H28</f>
        <v>1</v>
      </c>
      <c r="AC28" s="2675">
        <f>D28/J28</f>
        <v>1</v>
      </c>
    </row>
    <row r="29" spans="1:29" ht="15">
      <c r="A29" s="427"/>
      <c r="B29" s="2679">
        <v>111</v>
      </c>
      <c r="C29" s="2616"/>
      <c r="D29" s="434">
        <v>100</v>
      </c>
      <c r="E29" s="431"/>
      <c r="F29" s="434">
        <f>SUMIF(93:93,E29,94:94)-SUMIF(93:93,C29,94:94)+100</f>
        <v>100</v>
      </c>
      <c r="G29" s="2673"/>
      <c r="H29" s="434">
        <f>SUMIF(93:93,G29,94:94)-SUMIF(93:93,C29,94:94)+100</f>
        <v>100</v>
      </c>
      <c r="I29" s="431"/>
      <c r="J29" s="434">
        <f>SUMIF(93:93,I29,94:94)-SUMIF(93:93,C29,94:94)+100</f>
        <v>100</v>
      </c>
      <c r="K29" s="612"/>
      <c r="L29" s="1142"/>
      <c r="M29" s="1133"/>
      <c r="N29" s="1133"/>
      <c r="O29" s="1133"/>
      <c r="P29" s="3347"/>
      <c r="Q29" s="1812">
        <f t="shared" si="11"/>
        <v>111</v>
      </c>
      <c r="R29" s="773" t="s">
        <v>17</v>
      </c>
      <c r="S29" s="774">
        <f t="shared" ref="S29:S47" si="12">F29</f>
        <v>100</v>
      </c>
      <c r="T29" s="773" t="s">
        <v>17</v>
      </c>
      <c r="U29" s="774">
        <f t="shared" ref="U29:U47" si="13">H29</f>
        <v>100</v>
      </c>
      <c r="V29" s="773" t="s">
        <v>17</v>
      </c>
      <c r="W29" s="774">
        <f t="shared" ref="W29:W47" si="14">J29</f>
        <v>100</v>
      </c>
      <c r="X29" s="1815"/>
      <c r="Y29" s="3340"/>
      <c r="Z29" s="1816">
        <f t="shared" ref="Z29:Z47" si="15">Q29</f>
        <v>111</v>
      </c>
      <c r="AA29" s="1813">
        <f t="shared" si="3"/>
        <v>1</v>
      </c>
      <c r="AB29" s="1813">
        <f t="shared" si="4"/>
        <v>1</v>
      </c>
      <c r="AC29" s="2675">
        <f t="shared" si="5"/>
        <v>1</v>
      </c>
    </row>
    <row r="30" spans="1:29" ht="15">
      <c r="A30" s="427"/>
      <c r="B30" s="2679">
        <v>111</v>
      </c>
      <c r="C30" s="2616"/>
      <c r="D30" s="434">
        <v>100</v>
      </c>
      <c r="E30" s="431"/>
      <c r="F30" s="434">
        <f>SUMIF(95:95,E30,96:96)-SUMIF(95:95,C30,96:96)+100</f>
        <v>100</v>
      </c>
      <c r="G30" s="2673"/>
      <c r="H30" s="434">
        <f>SUMIF(95:95,G30,96:96)-SUMIF(95:95,C30,96:96)+100</f>
        <v>100</v>
      </c>
      <c r="I30" s="431"/>
      <c r="J30" s="434">
        <f>SUMIF(95:95,I30,96:96)-SUMIF(95:95,C30,96:96)+100</f>
        <v>100</v>
      </c>
      <c r="K30" s="612"/>
      <c r="L30" s="1142"/>
      <c r="M30" s="1133"/>
      <c r="N30" s="1133"/>
      <c r="O30" s="1133"/>
      <c r="P30" s="3347"/>
      <c r="Q30" s="1812">
        <f t="shared" si="11"/>
        <v>111</v>
      </c>
      <c r="R30" s="773" t="s">
        <v>17</v>
      </c>
      <c r="S30" s="774">
        <f t="shared" si="12"/>
        <v>100</v>
      </c>
      <c r="T30" s="773" t="s">
        <v>17</v>
      </c>
      <c r="U30" s="774">
        <f t="shared" si="13"/>
        <v>100</v>
      </c>
      <c r="V30" s="773" t="s">
        <v>17</v>
      </c>
      <c r="W30" s="774">
        <f t="shared" si="14"/>
        <v>100</v>
      </c>
      <c r="X30" s="1815"/>
      <c r="Y30" s="3340"/>
      <c r="Z30" s="1816">
        <f t="shared" si="15"/>
        <v>111</v>
      </c>
      <c r="AA30" s="1813">
        <f t="shared" si="3"/>
        <v>1</v>
      </c>
      <c r="AB30" s="1813">
        <f t="shared" si="4"/>
        <v>1</v>
      </c>
      <c r="AC30" s="2675">
        <f t="shared" si="5"/>
        <v>1</v>
      </c>
    </row>
    <row r="31" spans="1:29" ht="15">
      <c r="A31" s="427"/>
      <c r="B31" s="2679">
        <v>111</v>
      </c>
      <c r="C31" s="2616"/>
      <c r="D31" s="434">
        <v>100</v>
      </c>
      <c r="E31" s="431"/>
      <c r="F31" s="434">
        <f>SUMIF(97:97,E31,98:98)-SUMIF(97:97,C31,98:98)+100</f>
        <v>100</v>
      </c>
      <c r="G31" s="2673"/>
      <c r="H31" s="434">
        <f>SUMIF(97:97,G31,98:98)-SUMIF(97:97,C31,98:98)+100</f>
        <v>100</v>
      </c>
      <c r="I31" s="431"/>
      <c r="J31" s="434">
        <f>SUMIF(97:97,I31,98:98)-SUMIF(97:97,C31,98:98)+100</f>
        <v>100</v>
      </c>
      <c r="K31" s="612"/>
      <c r="L31" s="1142"/>
      <c r="M31" s="1133"/>
      <c r="N31" s="1133"/>
      <c r="O31" s="1133"/>
      <c r="P31" s="3347"/>
      <c r="Q31" s="1812">
        <f t="shared" si="11"/>
        <v>111</v>
      </c>
      <c r="R31" s="773" t="s">
        <v>17</v>
      </c>
      <c r="S31" s="774">
        <f t="shared" si="12"/>
        <v>100</v>
      </c>
      <c r="T31" s="773" t="s">
        <v>17</v>
      </c>
      <c r="U31" s="774">
        <f t="shared" si="13"/>
        <v>100</v>
      </c>
      <c r="V31" s="773" t="s">
        <v>17</v>
      </c>
      <c r="W31" s="774">
        <f t="shared" si="14"/>
        <v>100</v>
      </c>
      <c r="X31" s="1815"/>
      <c r="Y31" s="3340"/>
      <c r="Z31" s="1816">
        <f t="shared" si="15"/>
        <v>111</v>
      </c>
      <c r="AA31" s="1813">
        <f t="shared" si="3"/>
        <v>1</v>
      </c>
      <c r="AB31" s="1813">
        <f t="shared" si="4"/>
        <v>1</v>
      </c>
      <c r="AC31" s="2675">
        <f t="shared" si="5"/>
        <v>1</v>
      </c>
    </row>
    <row r="32" spans="1:29" ht="15.75" thickBot="1">
      <c r="A32" s="435"/>
      <c r="B32" s="634">
        <v>111</v>
      </c>
      <c r="C32" s="2617"/>
      <c r="D32" s="437">
        <v>100</v>
      </c>
      <c r="E32" s="627"/>
      <c r="F32" s="437">
        <f>SUMIF(99:99,E32,100:100)-SUMIF(99:99,C32,100:100)+100</f>
        <v>100</v>
      </c>
      <c r="G32" s="2673"/>
      <c r="H32" s="437">
        <f>SUMIF(99:99,G32,100:100)-SUMIF(99:99,C32,100:100)+100</f>
        <v>100</v>
      </c>
      <c r="I32" s="431"/>
      <c r="J32" s="437">
        <f>SUMIF(99:99,I32,100:100)-SUMIF(99:99,C32,100:100)+100</f>
        <v>100</v>
      </c>
      <c r="K32" s="612"/>
      <c r="L32" s="1142"/>
      <c r="M32" s="1133"/>
      <c r="N32" s="1133"/>
      <c r="O32" s="1133"/>
      <c r="P32" s="3347"/>
      <c r="Q32" s="1812">
        <f t="shared" si="11"/>
        <v>111</v>
      </c>
      <c r="R32" s="773" t="s">
        <v>17</v>
      </c>
      <c r="S32" s="774">
        <f t="shared" si="12"/>
        <v>100</v>
      </c>
      <c r="T32" s="773" t="s">
        <v>17</v>
      </c>
      <c r="U32" s="774">
        <f t="shared" si="13"/>
        <v>100</v>
      </c>
      <c r="V32" s="773" t="s">
        <v>17</v>
      </c>
      <c r="W32" s="774">
        <f t="shared" si="14"/>
        <v>100</v>
      </c>
      <c r="X32" s="1815"/>
      <c r="Y32" s="3340"/>
      <c r="Z32" s="1816">
        <f t="shared" si="15"/>
        <v>111</v>
      </c>
      <c r="AA32" s="1813">
        <f t="shared" si="3"/>
        <v>1</v>
      </c>
      <c r="AB32" s="1813">
        <f t="shared" si="4"/>
        <v>1</v>
      </c>
      <c r="AC32" s="2675">
        <f t="shared" si="5"/>
        <v>1</v>
      </c>
    </row>
    <row r="33" spans="1:29" ht="15">
      <c r="A33" s="439" t="s">
        <v>2548</v>
      </c>
      <c r="B33" s="71" t="s">
        <v>2678</v>
      </c>
      <c r="C33" s="2680"/>
      <c r="D33" s="466">
        <v>100</v>
      </c>
      <c r="E33" s="2680"/>
      <c r="F33" s="460">
        <f>SUMIF(101:101,E33,102:102)-SUMIF(101:101,C33,102:102)+100</f>
        <v>100</v>
      </c>
      <c r="G33" s="2680"/>
      <c r="H33" s="434">
        <f>SUMIF(101:101,G33,102:102)-SUMIF(101:101,C33,102:102)+100</f>
        <v>100</v>
      </c>
      <c r="I33" s="2680"/>
      <c r="J33" s="466">
        <f>SUMIF(101:101,I33,102:102)-SUMIF(101:101,C33,102:102)+100</f>
        <v>100</v>
      </c>
      <c r="K33" s="611"/>
      <c r="L33" s="1142"/>
      <c r="M33" s="1133"/>
      <c r="N33" s="1133"/>
      <c r="O33" s="1133"/>
      <c r="P33" s="3341" t="s">
        <v>2550</v>
      </c>
      <c r="Q33" s="1812" t="str">
        <f t="shared" si="11"/>
        <v>建筑类型</v>
      </c>
      <c r="R33" s="773" t="s">
        <v>17</v>
      </c>
      <c r="S33" s="774">
        <f t="shared" si="12"/>
        <v>100</v>
      </c>
      <c r="T33" s="773" t="s">
        <v>17</v>
      </c>
      <c r="U33" s="774">
        <f t="shared" si="13"/>
        <v>100</v>
      </c>
      <c r="V33" s="773" t="s">
        <v>17</v>
      </c>
      <c r="W33" s="774">
        <f t="shared" si="14"/>
        <v>100</v>
      </c>
      <c r="X33" s="1815"/>
      <c r="Y33" s="3344" t="s">
        <v>2550</v>
      </c>
      <c r="Z33" s="1816" t="str">
        <f t="shared" si="15"/>
        <v>建筑类型</v>
      </c>
      <c r="AA33" s="1813">
        <f t="shared" si="3"/>
        <v>1</v>
      </c>
      <c r="AB33" s="1813">
        <f t="shared" si="4"/>
        <v>1</v>
      </c>
      <c r="AC33" s="2675">
        <f t="shared" si="5"/>
        <v>1</v>
      </c>
    </row>
    <row r="34" spans="1:29" s="470" customFormat="1" ht="15">
      <c r="A34" s="467"/>
      <c r="B34" s="421" t="s">
        <v>2551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342"/>
      <c r="Q34" s="775" t="str">
        <f t="shared" si="11"/>
        <v>项目建筑规模</v>
      </c>
      <c r="R34" s="776" t="s">
        <v>17</v>
      </c>
      <c r="S34" s="777" t="e">
        <f t="shared" si="12"/>
        <v>#N/A</v>
      </c>
      <c r="T34" s="776" t="s">
        <v>17</v>
      </c>
      <c r="U34" s="777" t="e">
        <f t="shared" si="13"/>
        <v>#N/A</v>
      </c>
      <c r="V34" s="776" t="s">
        <v>17</v>
      </c>
      <c r="W34" s="777" t="e">
        <f t="shared" si="14"/>
        <v>#N/A</v>
      </c>
      <c r="X34" s="778"/>
      <c r="Y34" s="3344"/>
      <c r="Z34" s="779" t="str">
        <f t="shared" si="15"/>
        <v>项目建筑规模</v>
      </c>
      <c r="AA34" s="1813" t="e">
        <f t="shared" si="3"/>
        <v>#N/A</v>
      </c>
      <c r="AB34" s="1813" t="e">
        <f t="shared" si="4"/>
        <v>#N/A</v>
      </c>
      <c r="AC34" s="2675" t="e">
        <f t="shared" si="5"/>
        <v>#N/A</v>
      </c>
    </row>
    <row r="35" spans="1:29" ht="15">
      <c r="A35" s="471"/>
      <c r="B35" s="421" t="s">
        <v>2552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342"/>
      <c r="Q35" s="1812" t="str">
        <f t="shared" si="11"/>
        <v>建筑结构</v>
      </c>
      <c r="R35" s="773" t="s">
        <v>17</v>
      </c>
      <c r="S35" s="774">
        <f t="shared" si="12"/>
        <v>100</v>
      </c>
      <c r="T35" s="773" t="s">
        <v>17</v>
      </c>
      <c r="U35" s="774">
        <f t="shared" si="13"/>
        <v>100</v>
      </c>
      <c r="V35" s="773" t="s">
        <v>17</v>
      </c>
      <c r="W35" s="774">
        <f t="shared" si="14"/>
        <v>100</v>
      </c>
      <c r="X35" s="1815"/>
      <c r="Y35" s="3344"/>
      <c r="Z35" s="1816" t="str">
        <f t="shared" si="15"/>
        <v>建筑结构</v>
      </c>
      <c r="AA35" s="1813">
        <f t="shared" si="3"/>
        <v>1</v>
      </c>
      <c r="AB35" s="1813">
        <f t="shared" si="4"/>
        <v>1</v>
      </c>
      <c r="AC35" s="2675">
        <f t="shared" si="5"/>
        <v>1</v>
      </c>
    </row>
    <row r="36" spans="1:29" ht="15">
      <c r="A36" s="471"/>
      <c r="B36" s="421" t="s">
        <v>2646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342"/>
      <c r="Q36" s="1812" t="str">
        <f t="shared" si="11"/>
        <v>公共部分装修</v>
      </c>
      <c r="R36" s="773" t="s">
        <v>17</v>
      </c>
      <c r="S36" s="774">
        <f t="shared" si="12"/>
        <v>100</v>
      </c>
      <c r="T36" s="773" t="s">
        <v>17</v>
      </c>
      <c r="U36" s="774">
        <f t="shared" si="13"/>
        <v>100</v>
      </c>
      <c r="V36" s="773" t="s">
        <v>17</v>
      </c>
      <c r="W36" s="774">
        <f t="shared" si="14"/>
        <v>100</v>
      </c>
      <c r="X36" s="1815"/>
      <c r="Y36" s="3344"/>
      <c r="Z36" s="1816" t="str">
        <f t="shared" si="15"/>
        <v>公共部分装修</v>
      </c>
      <c r="AA36" s="1813">
        <f t="shared" si="3"/>
        <v>1</v>
      </c>
      <c r="AB36" s="1813">
        <f t="shared" si="4"/>
        <v>1</v>
      </c>
      <c r="AC36" s="2675">
        <f t="shared" si="5"/>
        <v>1</v>
      </c>
    </row>
    <row r="37" spans="1:29" ht="15">
      <c r="A37" s="471"/>
      <c r="B37" s="421" t="s">
        <v>2647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342"/>
      <c r="Q37" s="1812" t="str">
        <f t="shared" si="11"/>
        <v>成新度</v>
      </c>
      <c r="R37" s="773" t="s">
        <v>17</v>
      </c>
      <c r="S37" s="774" t="e">
        <f t="shared" si="12"/>
        <v>#N/A</v>
      </c>
      <c r="T37" s="773" t="s">
        <v>17</v>
      </c>
      <c r="U37" s="774" t="e">
        <f t="shared" si="13"/>
        <v>#N/A</v>
      </c>
      <c r="V37" s="773" t="s">
        <v>17</v>
      </c>
      <c r="W37" s="774" t="e">
        <f t="shared" si="14"/>
        <v>#N/A</v>
      </c>
      <c r="X37" s="1815"/>
      <c r="Y37" s="3344"/>
      <c r="Z37" s="1816" t="str">
        <f t="shared" si="15"/>
        <v>成新度</v>
      </c>
      <c r="AA37" s="1813" t="e">
        <f t="shared" si="3"/>
        <v>#N/A</v>
      </c>
      <c r="AB37" s="1813" t="e">
        <f t="shared" si="4"/>
        <v>#N/A</v>
      </c>
      <c r="AC37" s="2675" t="e">
        <f t="shared" si="5"/>
        <v>#N/A</v>
      </c>
    </row>
    <row r="38" spans="1:29" s="117" customFormat="1" ht="15">
      <c r="A38" s="472"/>
      <c r="B38" s="421" t="s">
        <v>2679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342"/>
      <c r="Q38" s="1797" t="str">
        <f t="shared" si="11"/>
        <v>写字楼等级</v>
      </c>
      <c r="R38" s="769" t="s">
        <v>17</v>
      </c>
      <c r="S38" s="770">
        <f t="shared" si="12"/>
        <v>100</v>
      </c>
      <c r="T38" s="769" t="s">
        <v>17</v>
      </c>
      <c r="U38" s="770">
        <f t="shared" si="13"/>
        <v>100</v>
      </c>
      <c r="V38" s="769" t="s">
        <v>17</v>
      </c>
      <c r="W38" s="770">
        <f t="shared" si="14"/>
        <v>100</v>
      </c>
      <c r="X38" s="771"/>
      <c r="Y38" s="3344"/>
      <c r="Z38" s="55" t="str">
        <f t="shared" si="15"/>
        <v>写字楼等级</v>
      </c>
      <c r="AA38" s="772">
        <f t="shared" si="3"/>
        <v>1</v>
      </c>
      <c r="AB38" s="772">
        <f t="shared" si="4"/>
        <v>1</v>
      </c>
      <c r="AC38" s="2672">
        <f t="shared" si="5"/>
        <v>1</v>
      </c>
    </row>
    <row r="39" spans="1:29" ht="15">
      <c r="A39" s="471"/>
      <c r="B39" s="421" t="s">
        <v>2680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342" t="s">
        <v>2550</v>
      </c>
      <c r="Q39" s="1812" t="str">
        <f t="shared" si="11"/>
        <v>物业管理</v>
      </c>
      <c r="R39" s="773" t="s">
        <v>17</v>
      </c>
      <c r="S39" s="774">
        <f t="shared" si="12"/>
        <v>100</v>
      </c>
      <c r="T39" s="773" t="s">
        <v>17</v>
      </c>
      <c r="U39" s="774">
        <f t="shared" si="13"/>
        <v>100</v>
      </c>
      <c r="V39" s="773" t="s">
        <v>17</v>
      </c>
      <c r="W39" s="774">
        <f t="shared" si="14"/>
        <v>100</v>
      </c>
      <c r="X39" s="1815"/>
      <c r="Y39" s="3344" t="s">
        <v>2550</v>
      </c>
      <c r="Z39" s="1816" t="str">
        <f t="shared" si="15"/>
        <v>物业管理</v>
      </c>
      <c r="AA39" s="1813">
        <f t="shared" si="3"/>
        <v>1</v>
      </c>
      <c r="AB39" s="1813">
        <f t="shared" si="4"/>
        <v>1</v>
      </c>
      <c r="AC39" s="2675">
        <f t="shared" si="5"/>
        <v>1</v>
      </c>
    </row>
    <row r="40" spans="1:29" ht="15">
      <c r="A40" s="471"/>
      <c r="B40" s="421" t="s">
        <v>2648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342"/>
      <c r="Q40" s="1812" t="str">
        <f t="shared" si="11"/>
        <v>市政基础设施</v>
      </c>
      <c r="R40" s="773" t="s">
        <v>17</v>
      </c>
      <c r="S40" s="774">
        <f t="shared" si="12"/>
        <v>100</v>
      </c>
      <c r="T40" s="773" t="s">
        <v>17</v>
      </c>
      <c r="U40" s="774">
        <f t="shared" si="13"/>
        <v>100</v>
      </c>
      <c r="V40" s="773" t="s">
        <v>17</v>
      </c>
      <c r="W40" s="774">
        <f t="shared" si="14"/>
        <v>100</v>
      </c>
      <c r="X40" s="1815"/>
      <c r="Y40" s="3344"/>
      <c r="Z40" s="1816" t="str">
        <f t="shared" si="15"/>
        <v>市政基础设施</v>
      </c>
      <c r="AA40" s="1813">
        <f t="shared" si="3"/>
        <v>1</v>
      </c>
      <c r="AB40" s="1813">
        <f t="shared" si="4"/>
        <v>1</v>
      </c>
      <c r="AC40" s="2675">
        <f t="shared" si="5"/>
        <v>1</v>
      </c>
    </row>
    <row r="41" spans="1:29" ht="15">
      <c r="A41" s="471"/>
      <c r="B41" s="421" t="s">
        <v>2650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342"/>
      <c r="Q41" s="1812" t="str">
        <f t="shared" si="11"/>
        <v>层高</v>
      </c>
      <c r="R41" s="773" t="s">
        <v>17</v>
      </c>
      <c r="S41" s="774">
        <f t="shared" si="12"/>
        <v>100</v>
      </c>
      <c r="T41" s="773" t="s">
        <v>17</v>
      </c>
      <c r="U41" s="774">
        <f t="shared" si="13"/>
        <v>100</v>
      </c>
      <c r="V41" s="773" t="s">
        <v>17</v>
      </c>
      <c r="W41" s="774">
        <f t="shared" si="14"/>
        <v>100</v>
      </c>
      <c r="X41" s="1815"/>
      <c r="Y41" s="3344"/>
      <c r="Z41" s="1816" t="str">
        <f t="shared" si="15"/>
        <v>层高</v>
      </c>
      <c r="AA41" s="1813">
        <f t="shared" si="3"/>
        <v>1</v>
      </c>
      <c r="AB41" s="1813">
        <f t="shared" si="4"/>
        <v>1</v>
      </c>
      <c r="AC41" s="2675">
        <f t="shared" si="5"/>
        <v>1</v>
      </c>
    </row>
    <row r="42" spans="1:29" s="470" customFormat="1" ht="15">
      <c r="A42" s="467"/>
      <c r="B42" s="1814" t="s">
        <v>2681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342"/>
      <c r="Q42" s="775" t="str">
        <f t="shared" si="11"/>
        <v>单套建筑面积</v>
      </c>
      <c r="R42" s="776" t="s">
        <v>17</v>
      </c>
      <c r="S42" s="777">
        <f t="shared" si="12"/>
        <v>100</v>
      </c>
      <c r="T42" s="776" t="s">
        <v>17</v>
      </c>
      <c r="U42" s="777">
        <f t="shared" si="13"/>
        <v>100</v>
      </c>
      <c r="V42" s="776" t="s">
        <v>17</v>
      </c>
      <c r="W42" s="777">
        <f t="shared" si="14"/>
        <v>100</v>
      </c>
      <c r="X42" s="778"/>
      <c r="Y42" s="3344"/>
      <c r="Z42" s="779" t="str">
        <f t="shared" si="15"/>
        <v>单套建筑面积</v>
      </c>
      <c r="AA42" s="1813">
        <f t="shared" si="3"/>
        <v>1</v>
      </c>
      <c r="AB42" s="1813">
        <f t="shared" si="4"/>
        <v>1</v>
      </c>
      <c r="AC42" s="2675">
        <f t="shared" si="5"/>
        <v>1</v>
      </c>
    </row>
    <row r="43" spans="1:29" ht="15">
      <c r="A43" s="471"/>
      <c r="B43" s="421" t="s">
        <v>2653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342"/>
      <c r="Q43" s="1812" t="str">
        <f t="shared" si="11"/>
        <v>内部装修</v>
      </c>
      <c r="R43" s="773" t="s">
        <v>17</v>
      </c>
      <c r="S43" s="774">
        <f t="shared" si="12"/>
        <v>100</v>
      </c>
      <c r="T43" s="773" t="s">
        <v>17</v>
      </c>
      <c r="U43" s="774">
        <f t="shared" si="13"/>
        <v>100</v>
      </c>
      <c r="V43" s="773" t="s">
        <v>17</v>
      </c>
      <c r="W43" s="774">
        <f t="shared" si="14"/>
        <v>100</v>
      </c>
      <c r="X43" s="1815"/>
      <c r="Y43" s="3344"/>
      <c r="Z43" s="1816" t="str">
        <f t="shared" si="15"/>
        <v>内部装修</v>
      </c>
      <c r="AA43" s="1813">
        <f t="shared" si="3"/>
        <v>1</v>
      </c>
      <c r="AB43" s="1813">
        <f t="shared" si="4"/>
        <v>1</v>
      </c>
      <c r="AC43" s="2675">
        <f t="shared" si="5"/>
        <v>1</v>
      </c>
    </row>
    <row r="44" spans="1:29" ht="15">
      <c r="A44" s="471"/>
      <c r="B44" s="421" t="s">
        <v>2561</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42"/>
      <c r="M44" s="1133"/>
      <c r="N44" s="1133"/>
      <c r="O44" s="1133"/>
      <c r="P44" s="3342"/>
      <c r="Q44" s="1812" t="str">
        <f t="shared" si="11"/>
        <v>内部装修维护情况</v>
      </c>
      <c r="R44" s="773" t="s">
        <v>17</v>
      </c>
      <c r="S44" s="774">
        <f t="shared" si="12"/>
        <v>100</v>
      </c>
      <c r="T44" s="773" t="s">
        <v>17</v>
      </c>
      <c r="U44" s="774">
        <f t="shared" si="13"/>
        <v>100</v>
      </c>
      <c r="V44" s="773" t="s">
        <v>17</v>
      </c>
      <c r="W44" s="774">
        <f t="shared" si="14"/>
        <v>100</v>
      </c>
      <c r="X44" s="1815"/>
      <c r="Y44" s="3344"/>
      <c r="Z44" s="1816" t="str">
        <f t="shared" si="15"/>
        <v>内部装修维护情况</v>
      </c>
      <c r="AA44" s="1813">
        <f t="shared" si="3"/>
        <v>1</v>
      </c>
      <c r="AB44" s="1813">
        <f t="shared" si="4"/>
        <v>1</v>
      </c>
      <c r="AC44" s="2675">
        <f t="shared" si="5"/>
        <v>1</v>
      </c>
    </row>
    <row r="45" spans="1:29" s="117"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342"/>
      <c r="Q45" s="1797">
        <f t="shared" si="11"/>
        <v>111</v>
      </c>
      <c r="R45" s="769" t="s">
        <v>17</v>
      </c>
      <c r="S45" s="770">
        <f t="shared" si="12"/>
        <v>100</v>
      </c>
      <c r="T45" s="769" t="s">
        <v>17</v>
      </c>
      <c r="U45" s="770">
        <f t="shared" si="13"/>
        <v>100</v>
      </c>
      <c r="V45" s="769" t="s">
        <v>17</v>
      </c>
      <c r="W45" s="770">
        <f t="shared" si="14"/>
        <v>100</v>
      </c>
      <c r="X45" s="771"/>
      <c r="Y45" s="3344"/>
      <c r="Z45" s="55">
        <f t="shared" si="15"/>
        <v>111</v>
      </c>
      <c r="AA45" s="772">
        <f t="shared" si="3"/>
        <v>1</v>
      </c>
      <c r="AB45" s="772">
        <f t="shared" si="4"/>
        <v>1</v>
      </c>
      <c r="AC45" s="2672">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342"/>
      <c r="Q46" s="1812">
        <f t="shared" si="11"/>
        <v>111</v>
      </c>
      <c r="R46" s="773" t="s">
        <v>17</v>
      </c>
      <c r="S46" s="774">
        <f t="shared" si="12"/>
        <v>100</v>
      </c>
      <c r="T46" s="773" t="s">
        <v>17</v>
      </c>
      <c r="U46" s="774">
        <f t="shared" si="13"/>
        <v>100</v>
      </c>
      <c r="V46" s="773" t="s">
        <v>17</v>
      </c>
      <c r="W46" s="774">
        <f t="shared" si="14"/>
        <v>100</v>
      </c>
      <c r="X46" s="1815"/>
      <c r="Y46" s="3344"/>
      <c r="Z46" s="1816">
        <f t="shared" si="15"/>
        <v>111</v>
      </c>
      <c r="AA46" s="1813">
        <f t="shared" si="3"/>
        <v>1</v>
      </c>
      <c r="AB46" s="1813">
        <f t="shared" si="4"/>
        <v>1</v>
      </c>
      <c r="AC46" s="2675">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343"/>
      <c r="Q47" s="1812">
        <f t="shared" si="11"/>
        <v>111</v>
      </c>
      <c r="R47" s="773" t="s">
        <v>17</v>
      </c>
      <c r="S47" s="774">
        <f t="shared" si="12"/>
        <v>100</v>
      </c>
      <c r="T47" s="773" t="s">
        <v>17</v>
      </c>
      <c r="U47" s="774">
        <f t="shared" si="13"/>
        <v>100</v>
      </c>
      <c r="V47" s="773" t="s">
        <v>17</v>
      </c>
      <c r="W47" s="774">
        <f t="shared" si="14"/>
        <v>100</v>
      </c>
      <c r="X47" s="1815"/>
      <c r="Y47" s="3345"/>
      <c r="Z47" s="1816">
        <f t="shared" si="15"/>
        <v>111</v>
      </c>
      <c r="AA47" s="1813">
        <f t="shared" si="3"/>
        <v>1</v>
      </c>
      <c r="AB47" s="1813">
        <f t="shared" si="4"/>
        <v>1</v>
      </c>
      <c r="AC47" s="2675">
        <f t="shared" si="5"/>
        <v>1</v>
      </c>
    </row>
    <row r="48" spans="1:29" ht="15">
      <c r="A48" s="478" t="s">
        <v>2562</v>
      </c>
      <c r="B48" s="479"/>
      <c r="C48" s="1409" t="s">
        <v>1</v>
      </c>
      <c r="D48" s="1410"/>
      <c r="E48" s="1411"/>
      <c r="F48" s="1412"/>
      <c r="G48" s="1413"/>
      <c r="H48" s="1414"/>
      <c r="I48" s="1411"/>
      <c r="J48" s="484"/>
      <c r="K48" s="782"/>
      <c r="L48" s="1145"/>
      <c r="M48" s="1133"/>
      <c r="N48" s="1133"/>
      <c r="O48" s="1133"/>
      <c r="P48" s="3319" t="str">
        <f>A48</f>
        <v>成交单价（元/平方米）</v>
      </c>
      <c r="Q48" s="3337"/>
      <c r="R48" s="3338">
        <f>E48</f>
        <v>0</v>
      </c>
      <c r="S48" s="3338"/>
      <c r="T48" s="3338">
        <f>G48</f>
        <v>0</v>
      </c>
      <c r="U48" s="3338"/>
      <c r="V48" s="3338">
        <f>I48</f>
        <v>0</v>
      </c>
      <c r="W48" s="3338"/>
      <c r="X48" s="445"/>
      <c r="Y48" s="780"/>
      <c r="Z48" s="445"/>
      <c r="AA48" s="445"/>
      <c r="AB48" s="445"/>
      <c r="AC48" s="629"/>
    </row>
    <row r="49" spans="1:29" ht="15.75" thickBot="1">
      <c r="A49" s="485" t="s">
        <v>2654</v>
      </c>
      <c r="B49" s="486"/>
      <c r="C49" s="1415" t="e">
        <f>R50</f>
        <v>#DIV/0!</v>
      </c>
      <c r="D49" s="1416"/>
      <c r="E49" s="1417" t="e">
        <f>R49</f>
        <v>#DIV/0!</v>
      </c>
      <c r="F49" s="1417"/>
      <c r="G49" s="1415" t="e">
        <f>T49</f>
        <v>#DIV/0!</v>
      </c>
      <c r="H49" s="1416"/>
      <c r="I49" s="1417" t="e">
        <f>V49</f>
        <v>#DIV/0!</v>
      </c>
      <c r="J49" s="488"/>
      <c r="K49" s="783"/>
      <c r="L49" s="1145"/>
      <c r="M49" s="1133"/>
      <c r="N49" s="1133"/>
      <c r="O49" s="1133"/>
      <c r="P49" s="3319" t="str">
        <f>A49</f>
        <v>比较价值（元/平方米）</v>
      </c>
      <c r="Q49" s="3337"/>
      <c r="R49" s="3338" t="e">
        <f>IF(F1="售价",ROUND(PRODUCT(R48,AA7:AA47),0),ROUND(PRODUCT(R48,AA7:AA47),1))</f>
        <v>#DIV/0!</v>
      </c>
      <c r="S49" s="3338"/>
      <c r="T49" s="3338" t="e">
        <f>IF(F1="售价",ROUND(PRODUCT(T48,AB7:AB47),0),ROUND(PRODUCT(T48,AB7:AB47),1))</f>
        <v>#DIV/0!</v>
      </c>
      <c r="U49" s="3338"/>
      <c r="V49" s="3338" t="e">
        <f>IF(F1="售价",ROUND(PRODUCT(V48,AC7:AC47),0),ROUND(PRODUCT(V48,AC7:AC47),1))</f>
        <v>#DIV/0!</v>
      </c>
      <c r="W49" s="3338"/>
      <c r="X49" s="445"/>
      <c r="Y49" s="445"/>
      <c r="Z49" s="445"/>
      <c r="AA49" s="445"/>
      <c r="AB49" s="445"/>
      <c r="AC49" s="629"/>
    </row>
    <row r="50" spans="1:29" ht="15.75" thickBot="1">
      <c r="A50" s="491" t="s">
        <v>2655</v>
      </c>
      <c r="B50" s="492"/>
      <c r="C50" s="1419" t="e">
        <f>R50</f>
        <v>#DIV/0!</v>
      </c>
      <c r="D50" s="1419"/>
      <c r="E50" s="1419"/>
      <c r="F50" s="1419"/>
      <c r="G50" s="1419"/>
      <c r="H50" s="1419"/>
      <c r="I50" s="1419"/>
      <c r="J50" s="493"/>
      <c r="K50" s="784"/>
      <c r="L50" s="1145"/>
      <c r="M50" s="1133"/>
      <c r="N50" s="1133"/>
      <c r="O50" s="1133"/>
      <c r="P50" s="3360" t="str">
        <f>A50</f>
        <v>估价对象XX用房的比较价值（楼面单价，元/平方米）</v>
      </c>
      <c r="Q50" s="3361"/>
      <c r="R50" s="3362" t="e">
        <f>IF(F1="售价",ROUND(AVERAGE(R49:V49),0),ROUND(AVERAGE(R49:V49),1))</f>
        <v>#DIV/0!</v>
      </c>
      <c r="S50" s="3362"/>
      <c r="T50" s="3362"/>
      <c r="U50" s="3362"/>
      <c r="V50" s="3362"/>
      <c r="W50" s="3362"/>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2656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2657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2658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1"/>
    </row>
    <row r="56" spans="1:29" s="501"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1.75" thickBot="1">
      <c r="A58" s="762" t="s">
        <v>2659</v>
      </c>
      <c r="B58" s="758"/>
      <c r="C58" s="763"/>
      <c r="D58" s="763"/>
      <c r="E58" s="763"/>
      <c r="F58" s="764"/>
      <c r="G58" s="764"/>
      <c r="H58" s="763"/>
      <c r="I58" s="763"/>
      <c r="J58" s="763"/>
      <c r="K58" s="765"/>
      <c r="L58" s="1163"/>
      <c r="M58" s="1161"/>
      <c r="N58" s="1161"/>
      <c r="O58" s="1161"/>
      <c r="P58" s="2682"/>
      <c r="Q58" s="503"/>
    </row>
    <row r="59" spans="1:29" s="507" customFormat="1" ht="15">
      <c r="A59" s="504" t="s">
        <v>2533</v>
      </c>
      <c r="B59" s="505"/>
      <c r="C59" s="1576" t="str">
        <f>YEAR(C7)&amp;"-"&amp;MONTH(C7)</f>
        <v>2018-1</v>
      </c>
      <c r="D59" s="1577">
        <f>EDATE(C59,-1)</f>
        <v>43070</v>
      </c>
      <c r="E59" s="1577">
        <f>EDATE(D59,-1)</f>
        <v>43040</v>
      </c>
      <c r="F59" s="1577">
        <f t="shared" ref="F59:O59" si="16">EDATE(E59,-1)</f>
        <v>43009</v>
      </c>
      <c r="G59" s="1577">
        <f t="shared" si="16"/>
        <v>42979</v>
      </c>
      <c r="H59" s="1577">
        <f t="shared" si="16"/>
        <v>42948</v>
      </c>
      <c r="I59" s="1577">
        <f t="shared" si="16"/>
        <v>42917</v>
      </c>
      <c r="J59" s="1577">
        <f t="shared" si="16"/>
        <v>42887</v>
      </c>
      <c r="K59" s="1577">
        <f t="shared" si="16"/>
        <v>42856</v>
      </c>
      <c r="L59" s="1577">
        <f t="shared" si="16"/>
        <v>42826</v>
      </c>
      <c r="M59" s="1577">
        <f t="shared" si="16"/>
        <v>42795</v>
      </c>
      <c r="N59" s="1577">
        <f t="shared" si="16"/>
        <v>42767</v>
      </c>
      <c r="O59" s="1577">
        <f t="shared" si="16"/>
        <v>42736</v>
      </c>
      <c r="P59" s="1573"/>
    </row>
    <row r="60" spans="1:29" s="117" customFormat="1" ht="15">
      <c r="A60" s="508"/>
      <c r="B60" s="509"/>
      <c r="C60" s="1575">
        <v>100</v>
      </c>
      <c r="D60" s="511"/>
      <c r="E60" s="511"/>
      <c r="F60" s="511"/>
      <c r="G60" s="511"/>
      <c r="H60" s="511"/>
      <c r="I60" s="511"/>
      <c r="J60" s="511"/>
      <c r="K60" s="511"/>
      <c r="L60" s="511"/>
      <c r="M60" s="512"/>
      <c r="N60" s="511"/>
      <c r="O60" s="512"/>
      <c r="P60" s="2683"/>
    </row>
    <row r="61" spans="1:29" s="117" customFormat="1" ht="15.75" thickBot="1">
      <c r="A61" s="514" t="s">
        <v>2570</v>
      </c>
      <c r="B61" s="515"/>
      <c r="C61" s="516"/>
      <c r="D61" s="517"/>
      <c r="E61" s="517"/>
      <c r="F61" s="517"/>
      <c r="G61" s="517"/>
      <c r="H61" s="517"/>
      <c r="I61" s="517"/>
      <c r="J61" s="517"/>
      <c r="K61" s="517"/>
      <c r="L61" s="517"/>
      <c r="M61" s="518"/>
      <c r="N61" s="517"/>
      <c r="O61" s="518"/>
      <c r="P61" s="2683"/>
      <c r="Q61" s="503"/>
    </row>
    <row r="62" spans="1:29" s="117" customFormat="1" ht="15">
      <c r="A62" s="520" t="s">
        <v>2535</v>
      </c>
      <c r="B62" s="509"/>
      <c r="C62" s="521" t="s">
        <v>2637</v>
      </c>
      <c r="D62" s="522"/>
      <c r="E62" s="522"/>
      <c r="F62" s="522"/>
      <c r="G62" s="522"/>
      <c r="H62" s="522"/>
      <c r="I62" s="522"/>
      <c r="J62" s="522"/>
      <c r="K62" s="522"/>
      <c r="L62" s="523"/>
      <c r="M62" s="524"/>
      <c r="N62" s="1153"/>
      <c r="O62" s="1153"/>
      <c r="P62" s="2684"/>
      <c r="Q62" s="503"/>
    </row>
    <row r="63" spans="1:29" s="117" customFormat="1" ht="15.75" thickBot="1">
      <c r="A63" s="520"/>
      <c r="B63" s="509"/>
      <c r="C63" s="510">
        <v>100</v>
      </c>
      <c r="D63" s="511"/>
      <c r="E63" s="511"/>
      <c r="F63" s="511"/>
      <c r="G63" s="511"/>
      <c r="H63" s="511"/>
      <c r="I63" s="511"/>
      <c r="J63" s="511"/>
      <c r="K63" s="511"/>
      <c r="L63" s="511"/>
      <c r="M63" s="513"/>
      <c r="N63" s="1153"/>
      <c r="O63" s="1153"/>
      <c r="P63" s="2683"/>
      <c r="Q63" s="503"/>
    </row>
    <row r="64" spans="1:29">
      <c r="A64" s="526" t="s">
        <v>2573</v>
      </c>
      <c r="B64" s="527" t="s">
        <v>2539</v>
      </c>
      <c r="C64" s="528">
        <f>C9</f>
        <v>0</v>
      </c>
      <c r="D64" s="529"/>
      <c r="E64" s="529"/>
      <c r="F64" s="529"/>
      <c r="G64" s="529"/>
      <c r="H64" s="529"/>
      <c r="I64" s="529"/>
      <c r="J64" s="529"/>
      <c r="K64" s="530"/>
      <c r="L64" s="531"/>
      <c r="M64" s="532"/>
      <c r="N64" s="1154"/>
      <c r="O64" s="1154"/>
      <c r="P64" s="2685"/>
      <c r="Q64" s="503"/>
    </row>
    <row r="65" spans="1:17" ht="15.75" thickBot="1">
      <c r="A65" s="533"/>
      <c r="B65" s="534"/>
      <c r="C65" s="535">
        <v>100</v>
      </c>
      <c r="D65" s="535"/>
      <c r="E65" s="535"/>
      <c r="F65" s="535"/>
      <c r="G65" s="535"/>
      <c r="H65" s="535"/>
      <c r="I65" s="535"/>
      <c r="J65" s="535"/>
      <c r="K65" s="535"/>
      <c r="L65" s="535"/>
      <c r="M65" s="536"/>
      <c r="N65" s="1155"/>
      <c r="O65" s="1155"/>
      <c r="P65" s="2685"/>
      <c r="Q65" s="503"/>
    </row>
    <row r="66" spans="1:17" ht="27.75" thickTop="1">
      <c r="A66" s="533"/>
      <c r="B66" s="537" t="s">
        <v>2542</v>
      </c>
      <c r="C66" s="538" t="s">
        <v>2574</v>
      </c>
      <c r="D66" s="538" t="s">
        <v>2575</v>
      </c>
      <c r="E66" s="538" t="s">
        <v>2576</v>
      </c>
      <c r="F66" s="538" t="s">
        <v>2577</v>
      </c>
      <c r="G66" s="538" t="s">
        <v>2578</v>
      </c>
      <c r="H66" s="538" t="s">
        <v>2579</v>
      </c>
      <c r="I66" s="538" t="s">
        <v>2580</v>
      </c>
      <c r="J66" s="538"/>
      <c r="K66" s="539"/>
      <c r="L66" s="540"/>
      <c r="M66" s="541"/>
      <c r="N66" s="1154"/>
      <c r="O66" s="1154"/>
      <c r="P66" s="2685"/>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5"/>
      <c r="Q67" s="503"/>
    </row>
    <row r="68" spans="1:17" ht="15.75" thickTop="1">
      <c r="A68" s="533"/>
      <c r="B68" s="545" t="s">
        <v>2543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5"/>
      <c r="Q68" s="503"/>
    </row>
    <row r="69" spans="1:17" ht="15">
      <c r="A69" s="533"/>
      <c r="B69" s="547"/>
      <c r="C69" s="548"/>
      <c r="D69" s="548"/>
      <c r="E69" s="548"/>
      <c r="F69" s="548"/>
      <c r="G69" s="548"/>
      <c r="H69" s="548"/>
      <c r="I69" s="548"/>
      <c r="J69" s="548"/>
      <c r="K69" s="549"/>
      <c r="L69" s="550"/>
      <c r="M69" s="551"/>
      <c r="N69" s="1154"/>
      <c r="O69" s="1154"/>
      <c r="P69" s="2685"/>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5"/>
      <c r="Q70" s="503"/>
    </row>
    <row r="71" spans="1:17" s="470" customFormat="1" ht="15.75" thickTop="1">
      <c r="A71" s="552"/>
      <c r="B71" s="537">
        <f>B12</f>
        <v>111</v>
      </c>
      <c r="C71" s="553"/>
      <c r="D71" s="553"/>
      <c r="E71" s="553"/>
      <c r="F71" s="553"/>
      <c r="G71" s="553"/>
      <c r="H71" s="554"/>
      <c r="I71" s="554"/>
      <c r="J71" s="554"/>
      <c r="K71" s="554"/>
      <c r="L71" s="555"/>
      <c r="M71" s="556"/>
      <c r="N71" s="1156"/>
      <c r="O71" s="1156"/>
      <c r="P71" s="2686"/>
      <c r="Q71" s="558"/>
    </row>
    <row r="72" spans="1:17" s="470" customFormat="1" ht="15.75" thickBot="1">
      <c r="A72" s="552"/>
      <c r="B72" s="542"/>
      <c r="C72" s="559"/>
      <c r="D72" s="535"/>
      <c r="E72" s="535"/>
      <c r="F72" s="535"/>
      <c r="G72" s="535"/>
      <c r="H72" s="535"/>
      <c r="I72" s="535"/>
      <c r="J72" s="535"/>
      <c r="K72" s="535"/>
      <c r="L72" s="535"/>
      <c r="M72" s="536"/>
      <c r="N72" s="1155"/>
      <c r="O72" s="1155"/>
      <c r="P72" s="2686"/>
      <c r="Q72" s="558"/>
    </row>
    <row r="73" spans="1:17" s="470" customFormat="1" ht="15.75" thickTop="1">
      <c r="A73" s="552"/>
      <c r="B73" s="537">
        <f>B13</f>
        <v>111</v>
      </c>
      <c r="C73" s="553"/>
      <c r="D73" s="553"/>
      <c r="E73" s="553"/>
      <c r="F73" s="553"/>
      <c r="G73" s="553"/>
      <c r="H73" s="554"/>
      <c r="I73" s="554"/>
      <c r="J73" s="554"/>
      <c r="K73" s="554"/>
      <c r="L73" s="555"/>
      <c r="M73" s="556"/>
      <c r="N73" s="1156"/>
      <c r="O73" s="1156"/>
      <c r="P73" s="2687"/>
      <c r="Q73" s="560"/>
    </row>
    <row r="74" spans="1:17" s="470" customFormat="1" ht="15.75" thickBot="1">
      <c r="A74" s="552"/>
      <c r="B74" s="542"/>
      <c r="C74" s="559"/>
      <c r="D74" s="559"/>
      <c r="E74" s="559"/>
      <c r="F74" s="559"/>
      <c r="G74" s="559"/>
      <c r="H74" s="561"/>
      <c r="I74" s="561"/>
      <c r="J74" s="561"/>
      <c r="K74" s="561"/>
      <c r="L74" s="561"/>
      <c r="M74" s="562"/>
      <c r="N74" s="1156"/>
      <c r="O74" s="1156"/>
      <c r="P74" s="2686"/>
      <c r="Q74" s="558"/>
    </row>
    <row r="75" spans="1:17" s="470" customFormat="1" ht="15.75" thickTop="1">
      <c r="A75" s="552"/>
      <c r="B75" s="545">
        <f>B14</f>
        <v>111</v>
      </c>
      <c r="C75" s="522"/>
      <c r="D75" s="522"/>
      <c r="E75" s="522"/>
      <c r="F75" s="522"/>
      <c r="G75" s="522"/>
      <c r="H75" s="563"/>
      <c r="I75" s="563"/>
      <c r="J75" s="563"/>
      <c r="K75" s="563"/>
      <c r="L75" s="564"/>
      <c r="M75" s="565"/>
      <c r="N75" s="1156"/>
      <c r="O75" s="1156"/>
      <c r="P75" s="2688"/>
      <c r="Q75" s="558"/>
    </row>
    <row r="76" spans="1:17" s="470" customFormat="1" ht="15.75" thickBot="1">
      <c r="A76" s="567"/>
      <c r="B76" s="568"/>
      <c r="C76" s="569"/>
      <c r="D76" s="569"/>
      <c r="E76" s="569"/>
      <c r="F76" s="569"/>
      <c r="G76" s="569"/>
      <c r="H76" s="570"/>
      <c r="I76" s="570"/>
      <c r="J76" s="570"/>
      <c r="K76" s="570"/>
      <c r="L76" s="570"/>
      <c r="M76" s="571"/>
      <c r="N76" s="1156"/>
      <c r="O76" s="1156"/>
      <c r="P76" s="2686"/>
      <c r="Q76" s="558"/>
    </row>
    <row r="77" spans="1:17">
      <c r="A77" s="526" t="s">
        <v>2544</v>
      </c>
      <c r="B77" s="527" t="s">
        <v>2682</v>
      </c>
      <c r="C77" s="572" t="s">
        <v>2582</v>
      </c>
      <c r="D77" s="572" t="s">
        <v>2583</v>
      </c>
      <c r="E77" s="572" t="s">
        <v>2584</v>
      </c>
      <c r="F77" s="572" t="s">
        <v>2585</v>
      </c>
      <c r="G77" s="572" t="s">
        <v>2586</v>
      </c>
      <c r="H77" s="528"/>
      <c r="I77" s="528"/>
      <c r="J77" s="528"/>
      <c r="K77" s="573"/>
      <c r="L77" s="574"/>
      <c r="M77" s="575"/>
      <c r="N77" s="1154"/>
      <c r="O77" s="1154"/>
      <c r="P77" s="2689"/>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5"/>
      <c r="Q78" s="503"/>
    </row>
    <row r="79" spans="1:17" ht="15.75" thickTop="1">
      <c r="A79" s="533"/>
      <c r="B79" s="537" t="s">
        <v>2587</v>
      </c>
      <c r="C79" s="577" t="s">
        <v>2582</v>
      </c>
      <c r="D79" s="577" t="s">
        <v>2583</v>
      </c>
      <c r="E79" s="577" t="s">
        <v>2584</v>
      </c>
      <c r="F79" s="577" t="s">
        <v>2585</v>
      </c>
      <c r="G79" s="577" t="s">
        <v>2586</v>
      </c>
      <c r="H79" s="538"/>
      <c r="I79" s="538"/>
      <c r="J79" s="538"/>
      <c r="K79" s="539"/>
      <c r="L79" s="540"/>
      <c r="M79" s="541"/>
      <c r="N79" s="1154"/>
      <c r="O79" s="1154"/>
      <c r="P79" s="2685"/>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5"/>
      <c r="Q80" s="503"/>
    </row>
    <row r="81" spans="1:17" ht="15.75" thickTop="1">
      <c r="A81" s="533"/>
      <c r="B81" s="537" t="s">
        <v>2588</v>
      </c>
      <c r="C81" s="577" t="s">
        <v>2582</v>
      </c>
      <c r="D81" s="577" t="s">
        <v>2583</v>
      </c>
      <c r="E81" s="577" t="s">
        <v>2584</v>
      </c>
      <c r="F81" s="577" t="s">
        <v>2585</v>
      </c>
      <c r="G81" s="577" t="s">
        <v>2586</v>
      </c>
      <c r="H81" s="538"/>
      <c r="I81" s="538"/>
      <c r="J81" s="538"/>
      <c r="K81" s="539"/>
      <c r="L81" s="540"/>
      <c r="M81" s="541"/>
      <c r="N81" s="1154"/>
      <c r="O81" s="1154"/>
      <c r="P81" s="2685"/>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5"/>
      <c r="Q82" s="503"/>
    </row>
    <row r="83" spans="1:17" ht="15.75" thickTop="1">
      <c r="A83" s="533"/>
      <c r="B83" s="545" t="s">
        <v>2674</v>
      </c>
      <c r="C83" s="659" t="s">
        <v>2660</v>
      </c>
      <c r="D83" s="659" t="s">
        <v>2661</v>
      </c>
      <c r="E83" s="659" t="s">
        <v>2662</v>
      </c>
      <c r="F83" s="659" t="s">
        <v>2663</v>
      </c>
      <c r="G83" s="659" t="s">
        <v>2664</v>
      </c>
      <c r="H83" s="538"/>
      <c r="I83" s="538"/>
      <c r="J83" s="538"/>
      <c r="K83" s="538"/>
      <c r="L83" s="538"/>
      <c r="M83" s="1384"/>
      <c r="N83" s="1155"/>
      <c r="O83" s="1155"/>
      <c r="P83" s="2685"/>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5"/>
      <c r="Q84" s="503"/>
    </row>
    <row r="85" spans="1:17" ht="15.75" thickTop="1">
      <c r="A85" s="533"/>
      <c r="B85" s="537" t="s">
        <v>2683</v>
      </c>
      <c r="C85" s="577" t="s">
        <v>2582</v>
      </c>
      <c r="D85" s="577" t="s">
        <v>2583</v>
      </c>
      <c r="E85" s="577" t="s">
        <v>2584</v>
      </c>
      <c r="F85" s="577" t="s">
        <v>2585</v>
      </c>
      <c r="G85" s="577" t="s">
        <v>2586</v>
      </c>
      <c r="H85" s="538"/>
      <c r="I85" s="538"/>
      <c r="J85" s="538"/>
      <c r="K85" s="539"/>
      <c r="L85" s="540"/>
      <c r="M85" s="541"/>
      <c r="N85" s="1154"/>
      <c r="O85" s="1154"/>
      <c r="P85" s="2685"/>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5"/>
      <c r="Q86" s="503"/>
    </row>
    <row r="87" spans="1:17" s="117" customFormat="1" ht="27.75" thickTop="1">
      <c r="A87" s="578"/>
      <c r="B87" s="537" t="s">
        <v>2684</v>
      </c>
      <c r="C87" s="553"/>
      <c r="D87" s="553"/>
      <c r="E87" s="553"/>
      <c r="F87" s="553"/>
      <c r="G87" s="553"/>
      <c r="H87" s="553"/>
      <c r="I87" s="553"/>
      <c r="J87" s="553"/>
      <c r="K87" s="553"/>
      <c r="L87" s="579"/>
      <c r="M87" s="580"/>
      <c r="N87" s="1153"/>
      <c r="O87" s="1153"/>
      <c r="P87" s="2685"/>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5"/>
      <c r="Q88" s="503"/>
    </row>
    <row r="89" spans="1:17" s="117" customFormat="1" ht="15.75" thickTop="1">
      <c r="A89" s="578"/>
      <c r="B89" s="537" t="str">
        <f>B27</f>
        <v>楼层</v>
      </c>
      <c r="C89" s="553"/>
      <c r="D89" s="553"/>
      <c r="E89" s="553"/>
      <c r="F89" s="2636"/>
      <c r="G89" s="553"/>
      <c r="H89" s="553"/>
      <c r="I89" s="553"/>
      <c r="J89" s="553"/>
      <c r="K89" s="553"/>
      <c r="L89" s="553"/>
      <c r="M89" s="580"/>
      <c r="N89" s="1153"/>
      <c r="O89" s="1153"/>
      <c r="P89" s="2685"/>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5"/>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6"/>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6"/>
      <c r="Q92" s="558"/>
    </row>
    <row r="93" spans="1:17" ht="15.75" thickTop="1">
      <c r="A93" s="533"/>
      <c r="B93" s="537">
        <f>B29</f>
        <v>111</v>
      </c>
      <c r="C93" s="553"/>
      <c r="D93" s="553"/>
      <c r="E93" s="553"/>
      <c r="F93" s="553"/>
      <c r="G93" s="553"/>
      <c r="H93" s="553"/>
      <c r="I93" s="553"/>
      <c r="J93" s="553"/>
      <c r="K93" s="553"/>
      <c r="L93" s="579"/>
      <c r="M93" s="580"/>
      <c r="N93" s="1154"/>
      <c r="O93" s="1154"/>
      <c r="P93" s="2685"/>
      <c r="Q93" s="503"/>
    </row>
    <row r="94" spans="1:17" ht="15.75" thickBot="1">
      <c r="A94" s="533"/>
      <c r="B94" s="542"/>
      <c r="C94" s="559"/>
      <c r="D94" s="535"/>
      <c r="E94" s="535"/>
      <c r="F94" s="535"/>
      <c r="G94" s="535"/>
      <c r="H94" s="535"/>
      <c r="I94" s="535"/>
      <c r="J94" s="535"/>
      <c r="K94" s="535"/>
      <c r="L94" s="535"/>
      <c r="M94" s="536"/>
      <c r="N94" s="1155"/>
      <c r="O94" s="1155"/>
      <c r="P94" s="2685"/>
      <c r="Q94" s="503"/>
    </row>
    <row r="95" spans="1:17" ht="15.75" thickTop="1">
      <c r="A95" s="533"/>
      <c r="B95" s="537">
        <f>B30</f>
        <v>111</v>
      </c>
      <c r="C95" s="553"/>
      <c r="D95" s="553"/>
      <c r="E95" s="553"/>
      <c r="F95" s="553"/>
      <c r="G95" s="582"/>
      <c r="H95" s="582"/>
      <c r="I95" s="582"/>
      <c r="J95" s="582"/>
      <c r="K95" s="583"/>
      <c r="L95" s="584"/>
      <c r="M95" s="585"/>
      <c r="N95" s="1154"/>
      <c r="O95" s="1154"/>
      <c r="P95" s="2685"/>
      <c r="Q95" s="503"/>
    </row>
    <row r="96" spans="1:17" ht="15.75" thickBot="1">
      <c r="A96" s="533"/>
      <c r="B96" s="542"/>
      <c r="C96" s="559"/>
      <c r="D96" s="559"/>
      <c r="E96" s="559"/>
      <c r="F96" s="559"/>
      <c r="G96" s="535"/>
      <c r="H96" s="535"/>
      <c r="I96" s="535"/>
      <c r="J96" s="535"/>
      <c r="K96" s="535"/>
      <c r="L96" s="535"/>
      <c r="M96" s="536"/>
      <c r="N96" s="1155"/>
      <c r="O96" s="1155"/>
      <c r="P96" s="2685"/>
      <c r="Q96" s="503"/>
    </row>
    <row r="97" spans="1:17" ht="15.75" thickTop="1">
      <c r="A97" s="533"/>
      <c r="B97" s="537">
        <f>B31</f>
        <v>111</v>
      </c>
      <c r="C97" s="553"/>
      <c r="D97" s="553"/>
      <c r="E97" s="553"/>
      <c r="F97" s="553"/>
      <c r="G97" s="582"/>
      <c r="H97" s="582"/>
      <c r="I97" s="582"/>
      <c r="J97" s="582"/>
      <c r="K97" s="583"/>
      <c r="L97" s="584"/>
      <c r="M97" s="585"/>
      <c r="N97" s="1154"/>
      <c r="O97" s="1154"/>
      <c r="P97" s="2685"/>
      <c r="Q97" s="503"/>
    </row>
    <row r="98" spans="1:17" ht="15.75" thickBot="1">
      <c r="A98" s="533"/>
      <c r="B98" s="542"/>
      <c r="C98" s="559"/>
      <c r="D98" s="535"/>
      <c r="E98" s="535"/>
      <c r="F98" s="535"/>
      <c r="G98" s="535"/>
      <c r="H98" s="535"/>
      <c r="I98" s="535"/>
      <c r="J98" s="535"/>
      <c r="K98" s="535"/>
      <c r="L98" s="535"/>
      <c r="M98" s="536"/>
      <c r="N98" s="1155"/>
      <c r="O98" s="1155"/>
      <c r="P98" s="2685"/>
      <c r="Q98" s="503"/>
    </row>
    <row r="99" spans="1:17" ht="15.75" thickTop="1">
      <c r="A99" s="533"/>
      <c r="B99" s="545">
        <f>B32</f>
        <v>111</v>
      </c>
      <c r="C99" s="522"/>
      <c r="D99" s="522"/>
      <c r="E99" s="522"/>
      <c r="F99" s="522"/>
      <c r="G99" s="586"/>
      <c r="H99" s="586"/>
      <c r="I99" s="586"/>
      <c r="J99" s="586"/>
      <c r="K99" s="587"/>
      <c r="L99" s="588"/>
      <c r="M99" s="589"/>
      <c r="N99" s="1154"/>
      <c r="O99" s="1154"/>
      <c r="P99" s="2685"/>
      <c r="Q99" s="503"/>
    </row>
    <row r="100" spans="1:17" ht="15.75" thickBot="1">
      <c r="A100" s="2637"/>
      <c r="B100" s="568"/>
      <c r="C100" s="569"/>
      <c r="D100" s="569"/>
      <c r="E100" s="569"/>
      <c r="F100" s="569"/>
      <c r="G100" s="590"/>
      <c r="H100" s="590"/>
      <c r="I100" s="590"/>
      <c r="J100" s="590"/>
      <c r="K100" s="590"/>
      <c r="L100" s="590"/>
      <c r="M100" s="591"/>
      <c r="N100" s="1155"/>
      <c r="O100" s="1155"/>
      <c r="P100" s="2685"/>
      <c r="Q100" s="503"/>
    </row>
    <row r="101" spans="1:17">
      <c r="A101" s="526" t="s">
        <v>2548</v>
      </c>
      <c r="B101" s="527" t="s">
        <v>2597</v>
      </c>
      <c r="C101" s="529"/>
      <c r="D101" s="529"/>
      <c r="E101" s="529"/>
      <c r="F101" s="529"/>
      <c r="G101" s="529"/>
      <c r="H101" s="529"/>
      <c r="I101" s="529"/>
      <c r="J101" s="529"/>
      <c r="K101" s="530"/>
      <c r="L101" s="531"/>
      <c r="M101" s="532"/>
      <c r="N101" s="1154"/>
      <c r="O101" s="1154"/>
      <c r="P101" s="2685"/>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5"/>
      <c r="Q102" s="503"/>
    </row>
    <row r="103" spans="1:17" ht="15.75" thickTop="1">
      <c r="A103" s="533"/>
      <c r="B103" s="537" t="s">
        <v>2598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5"/>
      <c r="Q103" s="503"/>
    </row>
    <row r="104" spans="1:17" s="470" customFormat="1">
      <c r="A104" s="592"/>
      <c r="B104" s="593"/>
      <c r="C104" s="594"/>
      <c r="D104" s="594"/>
      <c r="E104" s="594"/>
      <c r="F104" s="594"/>
      <c r="G104" s="594"/>
      <c r="H104" s="594"/>
      <c r="I104" s="594"/>
      <c r="J104" s="595"/>
      <c r="K104" s="595"/>
      <c r="L104" s="596"/>
      <c r="M104" s="597"/>
      <c r="N104" s="1156"/>
      <c r="O104" s="1156"/>
      <c r="P104" s="2686"/>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6"/>
      <c r="Q105" s="558"/>
    </row>
    <row r="106" spans="1:17" ht="15" thickTop="1">
      <c r="A106" s="598"/>
      <c r="B106" s="537" t="s">
        <v>2599</v>
      </c>
      <c r="C106" s="553"/>
      <c r="D106" s="553"/>
      <c r="E106" s="582"/>
      <c r="F106" s="582"/>
      <c r="G106" s="582"/>
      <c r="H106" s="582"/>
      <c r="I106" s="582"/>
      <c r="J106" s="582"/>
      <c r="K106" s="583"/>
      <c r="L106" s="584"/>
      <c r="M106" s="585"/>
      <c r="N106" s="1154"/>
      <c r="O106" s="1154"/>
      <c r="P106" s="2685"/>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5"/>
      <c r="Q107" s="503"/>
    </row>
    <row r="108" spans="1:17" ht="15" thickTop="1">
      <c r="A108" s="598"/>
      <c r="B108" s="537" t="s">
        <v>2601</v>
      </c>
      <c r="C108" s="553"/>
      <c r="D108" s="553"/>
      <c r="E108" s="553"/>
      <c r="F108" s="582"/>
      <c r="G108" s="582"/>
      <c r="H108" s="582"/>
      <c r="I108" s="582"/>
      <c r="J108" s="582"/>
      <c r="K108" s="583"/>
      <c r="L108" s="584"/>
      <c r="M108" s="585"/>
      <c r="N108" s="1154"/>
      <c r="O108" s="1154"/>
      <c r="P108" s="2685"/>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5"/>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5"/>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5"/>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5"/>
      <c r="Q112" s="503"/>
    </row>
    <row r="113" spans="1:17" s="470" customFormat="1" ht="15" thickTop="1">
      <c r="A113" s="592"/>
      <c r="B113" s="537" t="s">
        <v>2685</v>
      </c>
      <c r="C113" s="553"/>
      <c r="D113" s="553"/>
      <c r="E113" s="553"/>
      <c r="F113" s="553"/>
      <c r="G113" s="553"/>
      <c r="H113" s="582"/>
      <c r="I113" s="582"/>
      <c r="J113" s="582"/>
      <c r="K113" s="583"/>
      <c r="L113" s="584"/>
      <c r="M113" s="585"/>
      <c r="N113" s="1156"/>
      <c r="O113" s="1156"/>
      <c r="P113" s="2686"/>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6"/>
      <c r="Q114" s="558"/>
    </row>
    <row r="115" spans="1:17" ht="15" thickTop="1">
      <c r="A115" s="598"/>
      <c r="B115" s="537" t="s">
        <v>2602</v>
      </c>
      <c r="C115" s="553"/>
      <c r="D115" s="553"/>
      <c r="E115" s="582"/>
      <c r="F115" s="582"/>
      <c r="G115" s="582"/>
      <c r="H115" s="582"/>
      <c r="I115" s="582"/>
      <c r="J115" s="582"/>
      <c r="K115" s="583"/>
      <c r="L115" s="584"/>
      <c r="M115" s="585"/>
      <c r="N115" s="1154"/>
      <c r="O115" s="1154"/>
      <c r="P115" s="2685"/>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5"/>
      <c r="Q116" s="503"/>
    </row>
    <row r="117" spans="1:17" ht="15" thickTop="1">
      <c r="A117" s="598"/>
      <c r="B117" s="537" t="s">
        <v>2603</v>
      </c>
      <c r="C117" s="553"/>
      <c r="D117" s="553"/>
      <c r="E117" s="553"/>
      <c r="F117" s="553"/>
      <c r="G117" s="553"/>
      <c r="H117" s="582"/>
      <c r="I117" s="582"/>
      <c r="J117" s="582"/>
      <c r="K117" s="583"/>
      <c r="L117" s="584"/>
      <c r="M117" s="585"/>
      <c r="N117" s="1154"/>
      <c r="O117" s="1154"/>
      <c r="P117" s="2685"/>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5"/>
      <c r="Q118" s="503"/>
    </row>
    <row r="119" spans="1:17" ht="15" thickTop="1">
      <c r="A119" s="598"/>
      <c r="B119" s="635" t="s">
        <v>2686</v>
      </c>
      <c r="C119" s="582"/>
      <c r="D119" s="582"/>
      <c r="E119" s="582"/>
      <c r="F119" s="582"/>
      <c r="G119" s="582"/>
      <c r="H119" s="582"/>
      <c r="I119" s="582"/>
      <c r="J119" s="582"/>
      <c r="K119" s="582"/>
      <c r="L119" s="2690"/>
      <c r="M119" s="2691"/>
      <c r="N119" s="1155"/>
      <c r="O119" s="1155"/>
      <c r="P119" s="2692"/>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5"/>
      <c r="Q120" s="503"/>
    </row>
    <row r="121" spans="1:17" s="470" customFormat="1" ht="15" thickTop="1">
      <c r="A121" s="592"/>
      <c r="B121" s="537" t="s">
        <v>2669</v>
      </c>
      <c r="C121" s="553"/>
      <c r="D121" s="553"/>
      <c r="E121" s="553"/>
      <c r="F121" s="582"/>
      <c r="G121" s="554"/>
      <c r="H121" s="554"/>
      <c r="I121" s="554"/>
      <c r="J121" s="554"/>
      <c r="K121" s="554"/>
      <c r="L121" s="555"/>
      <c r="M121" s="556"/>
      <c r="N121" s="1156"/>
      <c r="O121" s="1156"/>
      <c r="P121" s="2686"/>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6"/>
      <c r="Q122" s="558"/>
    </row>
    <row r="123" spans="1:17" ht="15" thickTop="1">
      <c r="A123" s="598"/>
      <c r="B123" s="537" t="s">
        <v>2605</v>
      </c>
      <c r="C123" s="553"/>
      <c r="D123" s="553"/>
      <c r="E123" s="553"/>
      <c r="F123" s="582"/>
      <c r="G123" s="582"/>
      <c r="H123" s="582"/>
      <c r="I123" s="582"/>
      <c r="J123" s="582"/>
      <c r="K123" s="583"/>
      <c r="L123" s="584"/>
      <c r="M123" s="585"/>
      <c r="N123" s="1154"/>
      <c r="O123" s="1154"/>
      <c r="P123" s="2685"/>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5"/>
      <c r="Q124" s="503"/>
    </row>
    <row r="125" spans="1:17" ht="15" thickTop="1">
      <c r="A125" s="598"/>
      <c r="B125" s="537" t="s">
        <v>2606</v>
      </c>
      <c r="C125" s="577" t="s">
        <v>2582</v>
      </c>
      <c r="D125" s="577" t="s">
        <v>2583</v>
      </c>
      <c r="E125" s="577" t="s">
        <v>2584</v>
      </c>
      <c r="F125" s="577" t="s">
        <v>2585</v>
      </c>
      <c r="G125" s="577" t="s">
        <v>2586</v>
      </c>
      <c r="H125" s="538"/>
      <c r="I125" s="538"/>
      <c r="J125" s="538"/>
      <c r="K125" s="539"/>
      <c r="L125" s="540"/>
      <c r="M125" s="541"/>
      <c r="N125" s="1154"/>
      <c r="O125" s="1154"/>
      <c r="P125" s="2686"/>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5"/>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6"/>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6"/>
      <c r="Q128" s="558"/>
    </row>
    <row r="129" spans="1:17" ht="15" thickTop="1">
      <c r="A129" s="598"/>
      <c r="B129" s="537">
        <f>B46</f>
        <v>111</v>
      </c>
      <c r="C129" s="553"/>
      <c r="D129" s="553"/>
      <c r="E129" s="553"/>
      <c r="F129" s="553"/>
      <c r="G129" s="582"/>
      <c r="H129" s="582"/>
      <c r="I129" s="582"/>
      <c r="J129" s="582"/>
      <c r="K129" s="583"/>
      <c r="L129" s="584"/>
      <c r="M129" s="585"/>
      <c r="N129" s="1154"/>
      <c r="O129" s="1154"/>
      <c r="P129" s="2685"/>
      <c r="Q129" s="503"/>
    </row>
    <row r="130" spans="1:17" ht="15.75" thickBot="1">
      <c r="A130" s="533"/>
      <c r="B130" s="542"/>
      <c r="C130" s="559"/>
      <c r="D130" s="559"/>
      <c r="E130" s="559"/>
      <c r="F130" s="559"/>
      <c r="G130" s="535"/>
      <c r="H130" s="535"/>
      <c r="I130" s="535"/>
      <c r="J130" s="535"/>
      <c r="K130" s="535"/>
      <c r="L130" s="535"/>
      <c r="M130" s="536"/>
      <c r="N130" s="1155"/>
      <c r="O130" s="1155"/>
      <c r="P130" s="2685"/>
      <c r="Q130" s="503"/>
    </row>
    <row r="131" spans="1:17" ht="15" thickTop="1">
      <c r="A131" s="598"/>
      <c r="B131" s="545">
        <f>B47</f>
        <v>111</v>
      </c>
      <c r="C131" s="522"/>
      <c r="D131" s="522"/>
      <c r="E131" s="522"/>
      <c r="F131" s="522"/>
      <c r="G131" s="586"/>
      <c r="H131" s="586"/>
      <c r="I131" s="586"/>
      <c r="J131" s="586"/>
      <c r="K131" s="522"/>
      <c r="L131" s="523"/>
      <c r="M131" s="589"/>
      <c r="N131" s="1154"/>
      <c r="O131" s="1154"/>
      <c r="P131" s="2685"/>
      <c r="Q131" s="503"/>
    </row>
    <row r="132" spans="1:17" ht="15.75" thickBot="1">
      <c r="A132" s="2637"/>
      <c r="B132" s="568"/>
      <c r="C132" s="569"/>
      <c r="D132" s="569"/>
      <c r="E132" s="569"/>
      <c r="F132" s="569"/>
      <c r="G132" s="590"/>
      <c r="H132" s="590"/>
      <c r="I132" s="590"/>
      <c r="J132" s="590"/>
      <c r="K132" s="590"/>
      <c r="L132" s="590"/>
      <c r="M132" s="591"/>
      <c r="N132" s="1155"/>
      <c r="O132" s="1155"/>
      <c r="P132" s="2685"/>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北京宏远天竺仓储有限公司：</v>
      </c>
    </row>
    <row r="4" spans="1:1" ht="36">
      <c r="A4" s="1950" t="str">
        <f>"受贵公司委托，我公司对"&amp;项目基本情况!S1&amp;"进行了预评估。"</f>
        <v>受贵公司委托，我公司对北京市顺义区天竺镇府前二街1号4幢等8幢房地产抵押价值进行了预评估。</v>
      </c>
    </row>
    <row r="5" spans="1:1" ht="18.75">
      <c r="A5" s="1951" t="s">
        <v>1611</v>
      </c>
    </row>
    <row r="6" spans="1:1" ht="18.75">
      <c r="A6" s="1952" t="s">
        <v>1612</v>
      </c>
    </row>
    <row r="7" spans="1:1" ht="90">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天竺镇府前二街1号4幢等8幢房地产，为北京宏远天竺仓储有限公司所有。根据《国有土地使用证》[京顺国用（2003出）字第0276号]，估价对象（分摊）出让国有建设用地使用权面积为34445.57平方米。根据《房屋所有权证》[X京房权证顺字第273971、223233、223419号]，估价对象建筑面积为47850.3平方米。</v>
      </c>
    </row>
    <row r="8" spans="1:1" ht="57.75">
      <c r="A8" s="1953" t="s">
        <v>1613</v>
      </c>
    </row>
    <row r="9" spans="1:1" ht="18.75">
      <c r="A9" s="1952" t="s">
        <v>1614</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天竺镇府前二街1号4幢等8幢房地产,为北京宏远天竺仓储有限公司开发建设的工业项目，该项目尚在开发建设中。根据《国有土地使用证》[京顺国用（2003出）字第0276号]，估价对象（分摊）出让国有建设用地使用权面积为34445.57平方米。根据《房屋所有权证》[X京房权证顺字第273971、223233、223419号]，估价对象规划建筑面积为47850.3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2018年1月16日（评估专业人员实地查勘之日）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16日，估价对象规划用途为工业，土地取得方式为出让，出让国有建设用地使用权剩余土地使用年限为35.69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35.69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5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1608</v>
      </c>
    </row>
    <row r="24" spans="1:1" ht="18">
      <c r="A24" s="1957" t="str">
        <f>"本次评估采用的主估价方法为"&amp;结果表!K4&amp;"和"&amp;结果表!L4&amp;"。"</f>
        <v>本次评估采用的主估价方法为成本法和收益法。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2513</v>
      </c>
      <c r="B1" s="2670" t="s">
        <v>2687</v>
      </c>
      <c r="C1" s="1622" t="s">
        <v>2515</v>
      </c>
      <c r="D1" s="1623"/>
      <c r="E1" s="1632"/>
      <c r="F1" s="2585"/>
      <c r="G1" s="1633" t="s">
        <v>2628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2312</v>
      </c>
      <c r="B2" s="1420" t="e">
        <f ca="1">IF(C2="——",ROUND(C43*D3/10000,0),ROUND(C43*D3/10000,0)-D2)</f>
        <v>#DIV/0!</v>
      </c>
      <c r="C2" s="2587"/>
      <c r="D2" s="1126" t="e">
        <f ca="1">SUMIF(INDIRECT("'"&amp;F2&amp;"'"&amp;"!A:A"),"承租人权益价值",INDIRECT("'"&amp;F2&amp;"'"&amp;"!c:c"))</f>
        <v>#REF!</v>
      </c>
      <c r="E2" s="2588" t="s">
        <v>2313</v>
      </c>
      <c r="F2" s="2589"/>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2314</v>
      </c>
      <c r="B3" s="608" t="e">
        <f ca="1">IF(C2="——",C43,ROUND(B2*10000/D3,0))</f>
        <v>#DIV/0!</v>
      </c>
      <c r="C3" s="399" t="s">
        <v>2629</v>
      </c>
      <c r="D3" s="398">
        <f>IF(D1="",'数据-汇总表'!E3,SUMIF('数据-汇总表'!$C19:$C33,D1,'数据-汇总表'!$E19:$E33))</f>
        <v>47850.3</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07" t="s">
        <v>2632</v>
      </c>
      <c r="S4" s="3308"/>
      <c r="T4" s="3307" t="s">
        <v>2633</v>
      </c>
      <c r="U4" s="3308"/>
      <c r="V4" s="3332" t="s">
        <v>2634</v>
      </c>
      <c r="W4" s="3332"/>
      <c r="X4" s="1815"/>
      <c r="Y4" s="3307" t="s">
        <v>2636</v>
      </c>
      <c r="Z4" s="3308"/>
      <c r="AA4" s="3302" t="s">
        <v>2632</v>
      </c>
      <c r="AB4" s="3303" t="s">
        <v>2633</v>
      </c>
      <c r="AC4" s="3302" t="s">
        <v>2634</v>
      </c>
    </row>
    <row r="5" spans="1:29" ht="15">
      <c r="A5" s="403"/>
      <c r="B5" s="404"/>
      <c r="C5" s="3313" t="s">
        <v>2527</v>
      </c>
      <c r="D5" s="3314"/>
      <c r="E5" s="3311" t="s">
        <v>2528</v>
      </c>
      <c r="F5" s="3312"/>
      <c r="G5" s="3313" t="s">
        <v>2529</v>
      </c>
      <c r="H5" s="3314"/>
      <c r="I5" s="3313" t="s">
        <v>2530</v>
      </c>
      <c r="J5" s="3314"/>
      <c r="K5" s="609"/>
      <c r="L5" s="1132"/>
      <c r="M5" s="1133"/>
      <c r="N5" s="1133"/>
      <c r="O5" s="1133"/>
      <c r="P5" s="3326"/>
      <c r="Q5" s="3327"/>
      <c r="R5" s="3309"/>
      <c r="S5" s="3310"/>
      <c r="T5" s="3309"/>
      <c r="U5" s="3310"/>
      <c r="V5" s="3332"/>
      <c r="W5" s="3332"/>
      <c r="X5" s="1815"/>
      <c r="Y5" s="3309"/>
      <c r="Z5" s="3310"/>
      <c r="AA5" s="3303"/>
      <c r="AB5" s="3303"/>
      <c r="AC5" s="3303"/>
    </row>
    <row r="6" spans="1:29" ht="15.75" thickBot="1">
      <c r="A6" s="405"/>
      <c r="B6" s="406"/>
      <c r="C6" s="3315" t="s">
        <v>2531</v>
      </c>
      <c r="D6" s="3316"/>
      <c r="E6" s="3317" t="s">
        <v>2531</v>
      </c>
      <c r="F6" s="3318"/>
      <c r="G6" s="3315" t="s">
        <v>2531</v>
      </c>
      <c r="H6" s="3316"/>
      <c r="I6" s="3315" t="s">
        <v>2531</v>
      </c>
      <c r="J6" s="3316"/>
      <c r="K6" s="609" t="s">
        <v>2532</v>
      </c>
      <c r="L6" s="1132"/>
      <c r="M6" s="1133"/>
      <c r="N6" s="1133"/>
      <c r="O6" s="1133"/>
      <c r="P6" s="3328"/>
      <c r="Q6" s="3329"/>
      <c r="R6" s="3309"/>
      <c r="S6" s="3310"/>
      <c r="T6" s="3330"/>
      <c r="U6" s="3331"/>
      <c r="V6" s="3332"/>
      <c r="W6" s="3332"/>
      <c r="X6" s="1815"/>
      <c r="Y6" s="3330"/>
      <c r="Z6" s="3331"/>
      <c r="AA6" s="3304"/>
      <c r="AB6" s="3304"/>
      <c r="AC6" s="3304"/>
    </row>
    <row r="7" spans="1:29" s="117" customFormat="1" ht="15.75" thickBot="1">
      <c r="A7" s="407" t="s">
        <v>2533</v>
      </c>
      <c r="B7" s="408"/>
      <c r="C7" s="409">
        <f>'数据-取费表'!B2</f>
        <v>43116</v>
      </c>
      <c r="D7" s="410">
        <v>100</v>
      </c>
      <c r="E7" s="411"/>
      <c r="F7" s="412">
        <f>SUMIF(52:52,YEAR(E7)&amp;"-"&amp;MONTH(E7),53:53)</f>
        <v>0</v>
      </c>
      <c r="G7" s="411"/>
      <c r="H7" s="410">
        <f>SUMIF(52:52,YEAR(G7)&amp;"-"&amp;MONTH(G7),53:53)</f>
        <v>0</v>
      </c>
      <c r="I7" s="411"/>
      <c r="J7" s="410">
        <f>SUMIF(52:52,YEAR(I7)&amp;"-"&amp;MONTH(I7),53:53)</f>
        <v>0</v>
      </c>
      <c r="K7" s="610"/>
      <c r="L7" s="1134"/>
      <c r="M7" s="1135"/>
      <c r="N7" s="1135"/>
      <c r="O7" s="1135"/>
      <c r="P7" s="3305" t="s">
        <v>2534</v>
      </c>
      <c r="Q7" s="3333"/>
      <c r="R7" s="769" t="s">
        <v>17</v>
      </c>
      <c r="S7" s="770">
        <f t="shared" ref="S7:S15" si="0">F7</f>
        <v>0</v>
      </c>
      <c r="T7" s="769" t="s">
        <v>17</v>
      </c>
      <c r="U7" s="770">
        <f t="shared" ref="U7:U15" si="1">H7</f>
        <v>0</v>
      </c>
      <c r="V7" s="769" t="s">
        <v>17</v>
      </c>
      <c r="W7" s="770">
        <f t="shared" ref="W7:W15" si="2">J7</f>
        <v>0</v>
      </c>
      <c r="X7" s="771"/>
      <c r="Y7" s="3305" t="s">
        <v>2534</v>
      </c>
      <c r="Z7" s="3306"/>
      <c r="AA7" s="772" t="e">
        <f>D7/F7</f>
        <v>#DIV/0!</v>
      </c>
      <c r="AB7" s="772" t="e">
        <f>D7/H7</f>
        <v>#DIV/0!</v>
      </c>
      <c r="AC7" s="772" t="e">
        <f>D7/J7</f>
        <v>#DIV/0!</v>
      </c>
    </row>
    <row r="8" spans="1:29" s="117" customFormat="1" ht="15.75" thickBot="1">
      <c r="A8" s="407" t="s">
        <v>2535</v>
      </c>
      <c r="B8" s="408"/>
      <c r="C8" s="413" t="s">
        <v>2536</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305" t="s">
        <v>2537</v>
      </c>
      <c r="Q8" s="3306"/>
      <c r="R8" s="769" t="s">
        <v>17</v>
      </c>
      <c r="S8" s="770">
        <f t="shared" si="0"/>
        <v>0</v>
      </c>
      <c r="T8" s="769" t="s">
        <v>17</v>
      </c>
      <c r="U8" s="770">
        <f t="shared" si="1"/>
        <v>0</v>
      </c>
      <c r="V8" s="769" t="s">
        <v>17</v>
      </c>
      <c r="W8" s="770">
        <f t="shared" si="2"/>
        <v>0</v>
      </c>
      <c r="X8" s="771"/>
      <c r="Y8" s="3305" t="s">
        <v>2537</v>
      </c>
      <c r="Z8" s="3306"/>
      <c r="AA8" s="772" t="e">
        <f t="shared" ref="AA8:AA40" si="3">D8/F8</f>
        <v>#DIV/0!</v>
      </c>
      <c r="AB8" s="772" t="e">
        <f t="shared" ref="AB8:AB40" si="4">D8/H8</f>
        <v>#DIV/0!</v>
      </c>
      <c r="AC8" s="772" t="e">
        <f t="shared" ref="AC8:AC40" si="5">D8/J8</f>
        <v>#DIV/0!</v>
      </c>
    </row>
    <row r="9" spans="1:29" s="117" customFormat="1">
      <c r="A9" s="414" t="s">
        <v>2538</v>
      </c>
      <c r="B9" s="71" t="s">
        <v>2539</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337" t="s">
        <v>2540</v>
      </c>
      <c r="Q9" s="1797" t="str">
        <f t="shared" ref="Q9:Q15" si="6">B9</f>
        <v>用途</v>
      </c>
      <c r="R9" s="769" t="s">
        <v>17</v>
      </c>
      <c r="S9" s="770">
        <f t="shared" si="0"/>
        <v>100</v>
      </c>
      <c r="T9" s="769" t="s">
        <v>17</v>
      </c>
      <c r="U9" s="770">
        <f t="shared" si="1"/>
        <v>100</v>
      </c>
      <c r="V9" s="769" t="s">
        <v>17</v>
      </c>
      <c r="W9" s="770">
        <f t="shared" si="2"/>
        <v>100</v>
      </c>
      <c r="X9" s="771"/>
      <c r="Y9" s="3132" t="s">
        <v>2541</v>
      </c>
      <c r="Z9" s="55" t="str">
        <f t="shared" ref="Z9:Z15" si="7">Q9</f>
        <v>用途</v>
      </c>
      <c r="AA9" s="772">
        <f t="shared" si="3"/>
        <v>1</v>
      </c>
      <c r="AB9" s="772">
        <f t="shared" si="4"/>
        <v>1</v>
      </c>
      <c r="AC9" s="772">
        <f t="shared" si="5"/>
        <v>1</v>
      </c>
    </row>
    <row r="10" spans="1:29" s="426" customFormat="1" ht="27">
      <c r="A10" s="420"/>
      <c r="B10" s="421" t="s">
        <v>2542</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337"/>
      <c r="Q10" s="1797" t="str">
        <f t="shared" si="6"/>
        <v>土地使用年限（年）</v>
      </c>
      <c r="R10" s="769" t="s">
        <v>17</v>
      </c>
      <c r="S10" s="770">
        <f t="shared" si="0"/>
        <v>100</v>
      </c>
      <c r="T10" s="769" t="s">
        <v>17</v>
      </c>
      <c r="U10" s="770">
        <f t="shared" si="1"/>
        <v>100</v>
      </c>
      <c r="V10" s="769" t="s">
        <v>17</v>
      </c>
      <c r="W10" s="770">
        <f t="shared" si="2"/>
        <v>100</v>
      </c>
      <c r="X10" s="771"/>
      <c r="Y10" s="3132"/>
      <c r="Z10" s="55" t="str">
        <f t="shared" si="7"/>
        <v>土地使用年限（年）</v>
      </c>
      <c r="AA10" s="772">
        <f t="shared" si="3"/>
        <v>1</v>
      </c>
      <c r="AB10" s="772">
        <f t="shared" si="4"/>
        <v>1</v>
      </c>
      <c r="AC10" s="772">
        <f t="shared" si="5"/>
        <v>1</v>
      </c>
    </row>
    <row r="11" spans="1:29" ht="15">
      <c r="A11" s="427"/>
      <c r="B11" s="421" t="s">
        <v>2543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337"/>
      <c r="Q11" s="1797" t="str">
        <f t="shared" si="6"/>
        <v>容积率</v>
      </c>
      <c r="R11" s="769" t="s">
        <v>17</v>
      </c>
      <c r="S11" s="770" t="e">
        <f t="shared" si="0"/>
        <v>#N/A</v>
      </c>
      <c r="T11" s="769" t="s">
        <v>17</v>
      </c>
      <c r="U11" s="770" t="e">
        <f t="shared" si="1"/>
        <v>#N/A</v>
      </c>
      <c r="V11" s="769" t="s">
        <v>17</v>
      </c>
      <c r="W11" s="770" t="e">
        <f t="shared" si="2"/>
        <v>#N/A</v>
      </c>
      <c r="X11" s="771"/>
      <c r="Y11" s="3132"/>
      <c r="Z11" s="55" t="str">
        <f t="shared" si="7"/>
        <v>容积率</v>
      </c>
      <c r="AA11" s="772" t="e">
        <f t="shared" si="3"/>
        <v>#N/A</v>
      </c>
      <c r="AB11" s="772" t="e">
        <f t="shared" si="4"/>
        <v>#N/A</v>
      </c>
      <c r="AC11" s="772" t="e">
        <f t="shared" si="5"/>
        <v>#N/A</v>
      </c>
    </row>
    <row r="12" spans="1:29" s="117" customFormat="1" ht="15">
      <c r="A12" s="430"/>
      <c r="B12" s="2601">
        <v>111</v>
      </c>
      <c r="C12" s="431"/>
      <c r="D12" s="432">
        <v>100</v>
      </c>
      <c r="E12" s="433"/>
      <c r="F12" s="135">
        <f>SUMIF(64:64,E12,65:65)-SUMIF(64:64,C12,65:65)+100</f>
        <v>100</v>
      </c>
      <c r="G12" s="2693"/>
      <c r="H12" s="135">
        <f>SUMIF(64:64,G12,65:65)-SUMIF(64:64,C12,65:65)+100</f>
        <v>100</v>
      </c>
      <c r="I12" s="468"/>
      <c r="J12" s="135">
        <f>SUMIF(64:64,I12,65:65)-SUMIF(64:64,C12,65:65)+100</f>
        <v>100</v>
      </c>
      <c r="K12" s="612"/>
      <c r="L12" s="1134"/>
      <c r="M12" s="1135"/>
      <c r="N12" s="1135"/>
      <c r="O12" s="1136"/>
      <c r="P12" s="3337"/>
      <c r="Q12" s="1797">
        <f t="shared" si="6"/>
        <v>111</v>
      </c>
      <c r="R12" s="769" t="s">
        <v>17</v>
      </c>
      <c r="S12" s="770">
        <f t="shared" si="0"/>
        <v>100</v>
      </c>
      <c r="T12" s="769" t="s">
        <v>17</v>
      </c>
      <c r="U12" s="770">
        <f t="shared" si="1"/>
        <v>100</v>
      </c>
      <c r="V12" s="769" t="s">
        <v>17</v>
      </c>
      <c r="W12" s="770">
        <f t="shared" si="2"/>
        <v>100</v>
      </c>
      <c r="X12" s="771"/>
      <c r="Y12" s="3132"/>
      <c r="Z12" s="55">
        <f t="shared" si="7"/>
        <v>111</v>
      </c>
      <c r="AA12" s="772">
        <f>D12/F12</f>
        <v>1</v>
      </c>
      <c r="AB12" s="772">
        <f>D12/H12</f>
        <v>1</v>
      </c>
      <c r="AC12" s="772">
        <f>D12/J12</f>
        <v>1</v>
      </c>
    </row>
    <row r="13" spans="1:29" ht="15">
      <c r="A13" s="427"/>
      <c r="B13" s="2601">
        <v>111</v>
      </c>
      <c r="C13" s="433"/>
      <c r="D13" s="434">
        <v>100</v>
      </c>
      <c r="E13" s="433"/>
      <c r="F13" s="135">
        <f>SUMIF(66:66,E13,67:67)-SUMIF(66:66,C13,67:67)+100</f>
        <v>100</v>
      </c>
      <c r="G13" s="2693"/>
      <c r="H13" s="434">
        <f>SUMIF(66:66,G13,67:67)-SUMIF(66:66,C13,67:67)+100</f>
        <v>100</v>
      </c>
      <c r="I13" s="468"/>
      <c r="J13" s="434">
        <f>SUMIF(66:66,I13,67:67)-SUMIF(66:66,C13,67:67)+100</f>
        <v>100</v>
      </c>
      <c r="K13" s="612"/>
      <c r="L13" s="1142"/>
      <c r="M13" s="1133"/>
      <c r="N13" s="1133"/>
      <c r="O13" s="1141"/>
      <c r="P13" s="3337"/>
      <c r="Q13" s="1797">
        <f t="shared" si="6"/>
        <v>111</v>
      </c>
      <c r="R13" s="769" t="s">
        <v>17</v>
      </c>
      <c r="S13" s="770">
        <f t="shared" si="0"/>
        <v>100</v>
      </c>
      <c r="T13" s="769" t="s">
        <v>17</v>
      </c>
      <c r="U13" s="770">
        <f t="shared" si="1"/>
        <v>100</v>
      </c>
      <c r="V13" s="769" t="s">
        <v>17</v>
      </c>
      <c r="W13" s="770">
        <f t="shared" si="2"/>
        <v>100</v>
      </c>
      <c r="X13" s="771"/>
      <c r="Y13" s="3132"/>
      <c r="Z13" s="55">
        <f t="shared" si="7"/>
        <v>111</v>
      </c>
      <c r="AA13" s="772">
        <f t="shared" si="3"/>
        <v>1</v>
      </c>
      <c r="AB13" s="772">
        <f t="shared" si="4"/>
        <v>1</v>
      </c>
      <c r="AC13" s="772">
        <f t="shared" si="5"/>
        <v>1</v>
      </c>
    </row>
    <row r="14" spans="1:29" ht="15.75" thickBot="1">
      <c r="A14" s="435"/>
      <c r="B14" s="2603">
        <v>111</v>
      </c>
      <c r="C14" s="436"/>
      <c r="D14" s="437">
        <v>100</v>
      </c>
      <c r="E14" s="436"/>
      <c r="F14" s="437">
        <f>SUMIF(68:68,E14,69:69)-SUMIF(68:68,C14,69:69)+100</f>
        <v>100</v>
      </c>
      <c r="G14" s="2693"/>
      <c r="H14" s="437">
        <f>SUMIF(68:68,G14,69:69)-SUMIF(68:68,C14,69:69)+100</f>
        <v>100</v>
      </c>
      <c r="I14" s="468"/>
      <c r="J14" s="437">
        <f>SUMIF(68:68,I14,69:69)-SUMIF(68:68,C14,69:69)+100</f>
        <v>100</v>
      </c>
      <c r="K14" s="612"/>
      <c r="L14" s="1142"/>
      <c r="M14" s="1133"/>
      <c r="N14" s="1133"/>
      <c r="O14" s="1141"/>
      <c r="P14" s="3337"/>
      <c r="Q14" s="1797">
        <f t="shared" si="6"/>
        <v>111</v>
      </c>
      <c r="R14" s="769" t="s">
        <v>17</v>
      </c>
      <c r="S14" s="770">
        <f t="shared" si="0"/>
        <v>100</v>
      </c>
      <c r="T14" s="769" t="s">
        <v>17</v>
      </c>
      <c r="U14" s="770">
        <f t="shared" si="1"/>
        <v>100</v>
      </c>
      <c r="V14" s="769" t="s">
        <v>17</v>
      </c>
      <c r="W14" s="770">
        <f t="shared" si="2"/>
        <v>100</v>
      </c>
      <c r="X14" s="771"/>
      <c r="Y14" s="3132"/>
      <c r="Z14" s="55">
        <f t="shared" si="7"/>
        <v>111</v>
      </c>
      <c r="AA14" s="772">
        <f t="shared" si="3"/>
        <v>1</v>
      </c>
      <c r="AB14" s="772">
        <f t="shared" si="4"/>
        <v>1</v>
      </c>
      <c r="AC14" s="772">
        <f t="shared" si="5"/>
        <v>1</v>
      </c>
    </row>
    <row r="15" spans="1:29" ht="15">
      <c r="A15" s="439" t="s">
        <v>2544</v>
      </c>
      <c r="B15" s="69" t="s">
        <v>2688</v>
      </c>
      <c r="C15" s="2694" t="str">
        <f>估价对象房地状况!G3</f>
        <v>较好</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339" t="s">
        <v>2545</v>
      </c>
      <c r="Q15" s="1812" t="str">
        <f t="shared" si="6"/>
        <v>产业集聚程度</v>
      </c>
      <c r="R15" s="773" t="s">
        <v>17</v>
      </c>
      <c r="S15" s="774">
        <f t="shared" si="0"/>
        <v>100</v>
      </c>
      <c r="T15" s="773" t="s">
        <v>17</v>
      </c>
      <c r="U15" s="774">
        <f t="shared" si="1"/>
        <v>100</v>
      </c>
      <c r="V15" s="773" t="s">
        <v>17</v>
      </c>
      <c r="W15" s="774">
        <f t="shared" si="2"/>
        <v>100</v>
      </c>
      <c r="X15" s="1815"/>
      <c r="Y15" s="3339" t="s">
        <v>2545</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340"/>
      <c r="Q16" s="1812"/>
      <c r="R16" s="773"/>
      <c r="S16" s="774"/>
      <c r="T16" s="773"/>
      <c r="U16" s="774"/>
      <c r="V16" s="773"/>
      <c r="W16" s="774"/>
      <c r="X16" s="1815"/>
      <c r="Y16" s="3340"/>
      <c r="Z16" s="1816"/>
      <c r="AA16" s="1813">
        <v>1</v>
      </c>
      <c r="AB16" s="1813">
        <v>1</v>
      </c>
      <c r="AC16" s="1813">
        <v>1</v>
      </c>
    </row>
    <row r="17" spans="1:29" ht="15">
      <c r="A17" s="427"/>
      <c r="B17" s="450" t="s">
        <v>2088</v>
      </c>
      <c r="C17" s="2608" t="str">
        <f>估价对象房地状况!G4</f>
        <v>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340"/>
      <c r="Q17" s="1812" t="str">
        <f>B17</f>
        <v>交通便捷度</v>
      </c>
      <c r="R17" s="773" t="s">
        <v>17</v>
      </c>
      <c r="S17" s="774">
        <f>F17</f>
        <v>100</v>
      </c>
      <c r="T17" s="773" t="s">
        <v>17</v>
      </c>
      <c r="U17" s="774">
        <f>H17</f>
        <v>100</v>
      </c>
      <c r="V17" s="773" t="s">
        <v>17</v>
      </c>
      <c r="W17" s="774">
        <f>J17</f>
        <v>100</v>
      </c>
      <c r="X17" s="1815"/>
      <c r="Y17" s="3340"/>
      <c r="Z17" s="1816" t="str">
        <f>Q17</f>
        <v>交通便捷度</v>
      </c>
      <c r="AA17" s="1813">
        <f t="shared" si="3"/>
        <v>1</v>
      </c>
      <c r="AB17" s="1813">
        <f t="shared" si="4"/>
        <v>1</v>
      </c>
      <c r="AC17" s="1813">
        <f t="shared" si="5"/>
        <v>1</v>
      </c>
    </row>
    <row r="18" spans="1:29" ht="15">
      <c r="A18" s="427"/>
      <c r="B18" s="455"/>
      <c r="C18" s="2609"/>
      <c r="D18" s="449"/>
      <c r="E18" s="2611"/>
      <c r="F18" s="452"/>
      <c r="G18" s="2610"/>
      <c r="H18" s="447"/>
      <c r="I18" s="2611"/>
      <c r="J18" s="447"/>
      <c r="K18" s="614"/>
      <c r="L18" s="1142"/>
      <c r="M18" s="1133"/>
      <c r="N18" s="1133"/>
      <c r="O18" s="1141"/>
      <c r="P18" s="3340"/>
      <c r="Q18" s="1812"/>
      <c r="R18" s="773"/>
      <c r="S18" s="774"/>
      <c r="T18" s="773"/>
      <c r="U18" s="774"/>
      <c r="V18" s="773"/>
      <c r="W18" s="774"/>
      <c r="X18" s="1815"/>
      <c r="Y18" s="3340"/>
      <c r="Z18" s="1816"/>
      <c r="AA18" s="1813">
        <v>1</v>
      </c>
      <c r="AB18" s="1813">
        <v>1</v>
      </c>
      <c r="AC18" s="1813">
        <v>1</v>
      </c>
    </row>
    <row r="19" spans="1:29" ht="15">
      <c r="A19" s="427"/>
      <c r="B19" s="450" t="s">
        <v>2673</v>
      </c>
      <c r="C19" s="2608" t="str">
        <f>估价对象房地状况!G5</f>
        <v>较好</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340"/>
      <c r="Q19" s="1812" t="str">
        <f>B19</f>
        <v>公共配套设施</v>
      </c>
      <c r="R19" s="773" t="s">
        <v>17</v>
      </c>
      <c r="S19" s="774">
        <f>F19</f>
        <v>100</v>
      </c>
      <c r="T19" s="773" t="s">
        <v>17</v>
      </c>
      <c r="U19" s="774">
        <f>H19</f>
        <v>100</v>
      </c>
      <c r="V19" s="773" t="s">
        <v>17</v>
      </c>
      <c r="W19" s="774">
        <f>J19</f>
        <v>100</v>
      </c>
      <c r="X19" s="1815"/>
      <c r="Y19" s="3340"/>
      <c r="Z19" s="1816" t="str">
        <f>Q19</f>
        <v>公共配套设施</v>
      </c>
      <c r="AA19" s="1813">
        <f t="shared" si="3"/>
        <v>1</v>
      </c>
      <c r="AB19" s="1813">
        <f t="shared" si="4"/>
        <v>1</v>
      </c>
      <c r="AC19" s="1813">
        <f t="shared" si="5"/>
        <v>1</v>
      </c>
    </row>
    <row r="20" spans="1:29" ht="15">
      <c r="A20" s="427"/>
      <c r="B20" s="455"/>
      <c r="C20" s="446"/>
      <c r="D20" s="447"/>
      <c r="E20" s="2606"/>
      <c r="F20" s="448"/>
      <c r="G20" s="2605"/>
      <c r="H20" s="447"/>
      <c r="I20" s="2606"/>
      <c r="J20" s="447"/>
      <c r="K20" s="614"/>
      <c r="L20" s="1142"/>
      <c r="M20" s="1133"/>
      <c r="N20" s="1133"/>
      <c r="O20" s="1141"/>
      <c r="P20" s="3340"/>
      <c r="Q20" s="1812"/>
      <c r="R20" s="773"/>
      <c r="S20" s="774"/>
      <c r="T20" s="773"/>
      <c r="U20" s="774"/>
      <c r="V20" s="773"/>
      <c r="W20" s="774"/>
      <c r="X20" s="1815"/>
      <c r="Y20" s="3340"/>
      <c r="Z20" s="1816"/>
      <c r="AA20" s="1813">
        <v>1</v>
      </c>
      <c r="AB20" s="1813">
        <v>1</v>
      </c>
      <c r="AC20" s="1813">
        <v>1</v>
      </c>
    </row>
    <row r="21" spans="1:29" ht="15">
      <c r="A21" s="427"/>
      <c r="B21" s="1386" t="s">
        <v>2674</v>
      </c>
      <c r="C21" s="2608" t="str">
        <f>估价对象房地状况!G6</f>
        <v>七通</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340"/>
      <c r="Q21" s="1812" t="str">
        <f>B21</f>
        <v>基础设施水平</v>
      </c>
      <c r="R21" s="773" t="s">
        <v>17</v>
      </c>
      <c r="S21" s="774">
        <f>F21</f>
        <v>100</v>
      </c>
      <c r="T21" s="773" t="s">
        <v>17</v>
      </c>
      <c r="U21" s="774">
        <f>H21</f>
        <v>100</v>
      </c>
      <c r="V21" s="773" t="s">
        <v>17</v>
      </c>
      <c r="W21" s="774">
        <f>J21</f>
        <v>100</v>
      </c>
      <c r="X21" s="1815"/>
      <c r="Y21" s="3340"/>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8"/>
      <c r="G22" s="446"/>
      <c r="H22" s="447"/>
      <c r="I22" s="446"/>
      <c r="J22" s="447"/>
      <c r="K22" s="1385"/>
      <c r="L22" s="1142"/>
      <c r="M22" s="1133"/>
      <c r="N22" s="1133"/>
      <c r="O22" s="1141"/>
      <c r="P22" s="3340"/>
      <c r="Q22" s="1812"/>
      <c r="R22" s="773"/>
      <c r="S22" s="774"/>
      <c r="T22" s="773"/>
      <c r="U22" s="774"/>
      <c r="V22" s="773"/>
      <c r="W22" s="774"/>
      <c r="X22" s="1815"/>
      <c r="Y22" s="3340"/>
      <c r="Z22" s="1816"/>
      <c r="AA22" s="1813">
        <v>1</v>
      </c>
      <c r="AB22" s="1813">
        <v>1</v>
      </c>
      <c r="AC22" s="1813">
        <v>1</v>
      </c>
    </row>
    <row r="23" spans="1:29" ht="15">
      <c r="A23" s="427"/>
      <c r="B23" s="450" t="s">
        <v>2675</v>
      </c>
      <c r="C23" s="2608" t="str">
        <f>估价对象房地状况!G7</f>
        <v>一般</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340"/>
      <c r="Q23" s="1812" t="str">
        <f>B23</f>
        <v>环境质量</v>
      </c>
      <c r="R23" s="773" t="s">
        <v>17</v>
      </c>
      <c r="S23" s="774">
        <f>F23</f>
        <v>100</v>
      </c>
      <c r="T23" s="773" t="s">
        <v>17</v>
      </c>
      <c r="U23" s="774">
        <f>H23</f>
        <v>100</v>
      </c>
      <c r="V23" s="773" t="s">
        <v>17</v>
      </c>
      <c r="W23" s="774">
        <f>J23</f>
        <v>100</v>
      </c>
      <c r="X23" s="1815"/>
      <c r="Y23" s="3340"/>
      <c r="Z23" s="1816" t="str">
        <f>Q23</f>
        <v>环境质量</v>
      </c>
      <c r="AA23" s="1813">
        <f t="shared" si="3"/>
        <v>1</v>
      </c>
      <c r="AB23" s="1813">
        <f t="shared" si="4"/>
        <v>1</v>
      </c>
      <c r="AC23" s="1813">
        <f t="shared" si="5"/>
        <v>1</v>
      </c>
    </row>
    <row r="24" spans="1:29" ht="15">
      <c r="A24" s="427"/>
      <c r="B24" s="1386"/>
      <c r="C24" s="446"/>
      <c r="D24" s="447"/>
      <c r="E24" s="2606"/>
      <c r="F24" s="448"/>
      <c r="G24" s="2605"/>
      <c r="H24" s="447"/>
      <c r="I24" s="2606"/>
      <c r="J24" s="447"/>
      <c r="K24" s="614"/>
      <c r="L24" s="1142"/>
      <c r="M24" s="1133"/>
      <c r="N24" s="1133"/>
      <c r="O24" s="1141"/>
      <c r="P24" s="3340"/>
      <c r="Q24" s="1812"/>
      <c r="R24" s="773"/>
      <c r="S24" s="774"/>
      <c r="T24" s="773"/>
      <c r="U24" s="774"/>
      <c r="V24" s="773"/>
      <c r="W24" s="774"/>
      <c r="X24" s="1815"/>
      <c r="Y24" s="3340"/>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340"/>
      <c r="Q25" s="1812">
        <f>B25</f>
        <v>111</v>
      </c>
      <c r="R25" s="773" t="s">
        <v>17</v>
      </c>
      <c r="S25" s="774">
        <f>F25</f>
        <v>100</v>
      </c>
      <c r="T25" s="773" t="s">
        <v>17</v>
      </c>
      <c r="U25" s="774">
        <f>H25</f>
        <v>100</v>
      </c>
      <c r="V25" s="773" t="s">
        <v>17</v>
      </c>
      <c r="W25" s="774">
        <f>J25</f>
        <v>100</v>
      </c>
      <c r="X25" s="1815"/>
      <c r="Y25" s="3340"/>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340"/>
      <c r="Q26" s="1812">
        <f t="shared" ref="Q26:Q40" si="11">B26</f>
        <v>111</v>
      </c>
      <c r="R26" s="773" t="s">
        <v>17</v>
      </c>
      <c r="S26" s="774">
        <f>F26</f>
        <v>100</v>
      </c>
      <c r="T26" s="773" t="s">
        <v>17</v>
      </c>
      <c r="U26" s="774">
        <f>H26</f>
        <v>100</v>
      </c>
      <c r="V26" s="773" t="s">
        <v>17</v>
      </c>
      <c r="W26" s="774">
        <f>J26</f>
        <v>100</v>
      </c>
      <c r="X26" s="1815"/>
      <c r="Y26" s="3340"/>
      <c r="Z26" s="1816">
        <f>Q26</f>
        <v>111</v>
      </c>
      <c r="AA26" s="1813">
        <f t="shared" si="3"/>
        <v>1</v>
      </c>
      <c r="AB26" s="1813">
        <f t="shared" si="4"/>
        <v>1</v>
      </c>
      <c r="AC26" s="1813">
        <f t="shared" si="5"/>
        <v>1</v>
      </c>
    </row>
    <row r="27" spans="1:29" s="117"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340"/>
      <c r="Q27" s="1797">
        <f t="shared" si="11"/>
        <v>111</v>
      </c>
      <c r="R27" s="769" t="s">
        <v>17</v>
      </c>
      <c r="S27" s="770">
        <f>F27</f>
        <v>100</v>
      </c>
      <c r="T27" s="769" t="s">
        <v>17</v>
      </c>
      <c r="U27" s="770">
        <f>H27</f>
        <v>100</v>
      </c>
      <c r="V27" s="769" t="s">
        <v>17</v>
      </c>
      <c r="W27" s="770">
        <f>J27</f>
        <v>100</v>
      </c>
      <c r="X27" s="771"/>
      <c r="Y27" s="3340"/>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340"/>
      <c r="Q28" s="1812">
        <f t="shared" si="11"/>
        <v>111</v>
      </c>
      <c r="R28" s="773" t="s">
        <v>17</v>
      </c>
      <c r="S28" s="774">
        <f t="shared" ref="S28:S40" si="12">F28</f>
        <v>100</v>
      </c>
      <c r="T28" s="773" t="s">
        <v>17</v>
      </c>
      <c r="U28" s="774">
        <f t="shared" ref="U28:U40" si="13">H28</f>
        <v>100</v>
      </c>
      <c r="V28" s="773" t="s">
        <v>17</v>
      </c>
      <c r="W28" s="774">
        <f t="shared" ref="W28:W40" si="14">J28</f>
        <v>100</v>
      </c>
      <c r="X28" s="1815"/>
      <c r="Y28" s="3340"/>
      <c r="Z28" s="1816">
        <f t="shared" ref="Z28:Z40" si="15">Q28</f>
        <v>111</v>
      </c>
      <c r="AA28" s="1813">
        <f t="shared" si="3"/>
        <v>1</v>
      </c>
      <c r="AB28" s="1813">
        <f t="shared" si="4"/>
        <v>1</v>
      </c>
      <c r="AC28" s="1813">
        <f t="shared" si="5"/>
        <v>1</v>
      </c>
    </row>
    <row r="29" spans="1:29" ht="15">
      <c r="A29" s="465" t="s">
        <v>2548</v>
      </c>
      <c r="B29" s="71" t="s">
        <v>2678</v>
      </c>
      <c r="C29" s="2680"/>
      <c r="D29" s="466">
        <v>100</v>
      </c>
      <c r="E29" s="2680"/>
      <c r="F29" s="460">
        <f>SUMIF(88:88,E29,89:89)-SUMIF(88:88,C29,89:89)+100</f>
        <v>100</v>
      </c>
      <c r="G29" s="2680"/>
      <c r="H29" s="434">
        <f>SUMIF(88:88,G29,89:89)-SUMIF(88:88,C29,89:89)+100</f>
        <v>100</v>
      </c>
      <c r="I29" s="2680"/>
      <c r="J29" s="466">
        <f>SUMIF(88:88,I29,89:89)-SUMIF(88:88,C29,89:89)+100</f>
        <v>100</v>
      </c>
      <c r="K29" s="611"/>
      <c r="L29" s="1142"/>
      <c r="M29" s="1133"/>
      <c r="N29" s="1133"/>
      <c r="O29" s="1141"/>
      <c r="P29" s="3363" t="s">
        <v>2550</v>
      </c>
      <c r="Q29" s="1812" t="str">
        <f t="shared" si="11"/>
        <v>建筑类型</v>
      </c>
      <c r="R29" s="773" t="s">
        <v>17</v>
      </c>
      <c r="S29" s="774">
        <f t="shared" si="12"/>
        <v>100</v>
      </c>
      <c r="T29" s="773" t="s">
        <v>17</v>
      </c>
      <c r="U29" s="774">
        <f t="shared" si="13"/>
        <v>100</v>
      </c>
      <c r="V29" s="773" t="s">
        <v>17</v>
      </c>
      <c r="W29" s="774">
        <f t="shared" si="14"/>
        <v>100</v>
      </c>
      <c r="X29" s="1815"/>
      <c r="Y29" s="3344" t="s">
        <v>2550</v>
      </c>
      <c r="Z29" s="1816" t="str">
        <f t="shared" si="15"/>
        <v>建筑类型</v>
      </c>
      <c r="AA29" s="1813">
        <f t="shared" si="3"/>
        <v>1</v>
      </c>
      <c r="AB29" s="1813">
        <f t="shared" si="4"/>
        <v>1</v>
      </c>
      <c r="AC29" s="1813">
        <f t="shared" si="5"/>
        <v>1</v>
      </c>
    </row>
    <row r="30" spans="1:29" s="470" customFormat="1" ht="15">
      <c r="A30" s="467"/>
      <c r="B30" s="421" t="s">
        <v>2551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344"/>
      <c r="Q30" s="775" t="str">
        <f t="shared" si="11"/>
        <v>项目建筑规模</v>
      </c>
      <c r="R30" s="776" t="s">
        <v>17</v>
      </c>
      <c r="S30" s="777" t="e">
        <f t="shared" si="12"/>
        <v>#N/A</v>
      </c>
      <c r="T30" s="776" t="s">
        <v>17</v>
      </c>
      <c r="U30" s="777" t="e">
        <f t="shared" si="13"/>
        <v>#N/A</v>
      </c>
      <c r="V30" s="776" t="s">
        <v>17</v>
      </c>
      <c r="W30" s="777" t="e">
        <f t="shared" si="14"/>
        <v>#N/A</v>
      </c>
      <c r="X30" s="778"/>
      <c r="Y30" s="3344"/>
      <c r="Z30" s="779" t="str">
        <f t="shared" si="15"/>
        <v>项目建筑规模</v>
      </c>
      <c r="AA30" s="1813" t="e">
        <f t="shared" si="3"/>
        <v>#N/A</v>
      </c>
      <c r="AB30" s="1813" t="e">
        <f t="shared" si="4"/>
        <v>#N/A</v>
      </c>
      <c r="AC30" s="1813" t="e">
        <f t="shared" si="5"/>
        <v>#N/A</v>
      </c>
    </row>
    <row r="31" spans="1:29" ht="15">
      <c r="A31" s="471"/>
      <c r="B31" s="421" t="s">
        <v>2552</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344"/>
      <c r="Q31" s="1812" t="str">
        <f t="shared" si="11"/>
        <v>建筑结构</v>
      </c>
      <c r="R31" s="773" t="s">
        <v>17</v>
      </c>
      <c r="S31" s="774">
        <f t="shared" si="12"/>
        <v>100</v>
      </c>
      <c r="T31" s="773" t="s">
        <v>17</v>
      </c>
      <c r="U31" s="774">
        <f t="shared" si="13"/>
        <v>100</v>
      </c>
      <c r="V31" s="773" t="s">
        <v>17</v>
      </c>
      <c r="W31" s="774">
        <f t="shared" si="14"/>
        <v>100</v>
      </c>
      <c r="X31" s="1815"/>
      <c r="Y31" s="3344"/>
      <c r="Z31" s="1816" t="str">
        <f t="shared" si="15"/>
        <v>建筑结构</v>
      </c>
      <c r="AA31" s="1813">
        <f t="shared" si="3"/>
        <v>1</v>
      </c>
      <c r="AB31" s="1813">
        <f t="shared" si="4"/>
        <v>1</v>
      </c>
      <c r="AC31" s="1813">
        <f t="shared" si="5"/>
        <v>1</v>
      </c>
    </row>
    <row r="32" spans="1:29" ht="15">
      <c r="A32" s="471"/>
      <c r="B32" s="421" t="s">
        <v>2646</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344"/>
      <c r="Q32" s="1812" t="str">
        <f t="shared" si="11"/>
        <v>公共部分装修</v>
      </c>
      <c r="R32" s="773" t="s">
        <v>17</v>
      </c>
      <c r="S32" s="774">
        <f t="shared" si="12"/>
        <v>100</v>
      </c>
      <c r="T32" s="773" t="s">
        <v>17</v>
      </c>
      <c r="U32" s="774">
        <f t="shared" si="13"/>
        <v>100</v>
      </c>
      <c r="V32" s="773" t="s">
        <v>17</v>
      </c>
      <c r="W32" s="774">
        <f t="shared" si="14"/>
        <v>100</v>
      </c>
      <c r="X32" s="1815"/>
      <c r="Y32" s="3344"/>
      <c r="Z32" s="1816" t="str">
        <f t="shared" si="15"/>
        <v>公共部分装修</v>
      </c>
      <c r="AA32" s="1813">
        <f t="shared" si="3"/>
        <v>1</v>
      </c>
      <c r="AB32" s="1813">
        <f t="shared" si="4"/>
        <v>1</v>
      </c>
      <c r="AC32" s="1813">
        <f t="shared" si="5"/>
        <v>1</v>
      </c>
    </row>
    <row r="33" spans="1:29" ht="15">
      <c r="A33" s="471"/>
      <c r="B33" s="421" t="s">
        <v>2647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344"/>
      <c r="Q33" s="1812" t="str">
        <f t="shared" si="11"/>
        <v>成新度</v>
      </c>
      <c r="R33" s="773" t="s">
        <v>17</v>
      </c>
      <c r="S33" s="774" t="e">
        <f t="shared" si="12"/>
        <v>#N/A</v>
      </c>
      <c r="T33" s="773" t="s">
        <v>17</v>
      </c>
      <c r="U33" s="774" t="e">
        <f t="shared" si="13"/>
        <v>#N/A</v>
      </c>
      <c r="V33" s="773" t="s">
        <v>17</v>
      </c>
      <c r="W33" s="774" t="e">
        <f t="shared" si="14"/>
        <v>#N/A</v>
      </c>
      <c r="X33" s="1815"/>
      <c r="Y33" s="3344"/>
      <c r="Z33" s="1816" t="str">
        <f t="shared" si="15"/>
        <v>成新度</v>
      </c>
      <c r="AA33" s="1813" t="e">
        <f t="shared" si="3"/>
        <v>#N/A</v>
      </c>
      <c r="AB33" s="1813" t="e">
        <f t="shared" si="4"/>
        <v>#N/A</v>
      </c>
      <c r="AC33" s="1813" t="e">
        <f t="shared" si="5"/>
        <v>#N/A</v>
      </c>
    </row>
    <row r="34" spans="1:29" s="117" customFormat="1" ht="15">
      <c r="A34" s="472"/>
      <c r="B34" s="421" t="s">
        <v>2680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344"/>
      <c r="Q34" s="1797" t="str">
        <f t="shared" si="11"/>
        <v>物业管理</v>
      </c>
      <c r="R34" s="769" t="s">
        <v>17</v>
      </c>
      <c r="S34" s="770">
        <f t="shared" si="12"/>
        <v>100</v>
      </c>
      <c r="T34" s="769" t="s">
        <v>17</v>
      </c>
      <c r="U34" s="770">
        <f t="shared" si="13"/>
        <v>100</v>
      </c>
      <c r="V34" s="769" t="s">
        <v>17</v>
      </c>
      <c r="W34" s="770">
        <f t="shared" si="14"/>
        <v>100</v>
      </c>
      <c r="X34" s="771"/>
      <c r="Y34" s="3344"/>
      <c r="Z34" s="55" t="str">
        <f t="shared" si="15"/>
        <v>物业管理</v>
      </c>
      <c r="AA34" s="772">
        <f t="shared" si="3"/>
        <v>1</v>
      </c>
      <c r="AB34" s="772">
        <f t="shared" si="4"/>
        <v>1</v>
      </c>
      <c r="AC34" s="772">
        <f t="shared" si="5"/>
        <v>1</v>
      </c>
    </row>
    <row r="35" spans="1:29" ht="15">
      <c r="A35" s="471"/>
      <c r="B35" s="421" t="s">
        <v>2648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344" t="s">
        <v>2550</v>
      </c>
      <c r="Q35" s="1812" t="str">
        <f t="shared" si="11"/>
        <v>市政基础设施</v>
      </c>
      <c r="R35" s="773" t="s">
        <v>17</v>
      </c>
      <c r="S35" s="774">
        <f t="shared" si="12"/>
        <v>100</v>
      </c>
      <c r="T35" s="773" t="s">
        <v>17</v>
      </c>
      <c r="U35" s="774">
        <f t="shared" si="13"/>
        <v>100</v>
      </c>
      <c r="V35" s="773" t="s">
        <v>17</v>
      </c>
      <c r="W35" s="774">
        <f t="shared" si="14"/>
        <v>100</v>
      </c>
      <c r="X35" s="1815"/>
      <c r="Y35" s="3344" t="s">
        <v>2550</v>
      </c>
      <c r="Z35" s="1816" t="str">
        <f t="shared" si="15"/>
        <v>市政基础设施</v>
      </c>
      <c r="AA35" s="1813">
        <f t="shared" si="3"/>
        <v>1</v>
      </c>
      <c r="AB35" s="1813">
        <f t="shared" si="4"/>
        <v>1</v>
      </c>
      <c r="AC35" s="1813">
        <f t="shared" si="5"/>
        <v>1</v>
      </c>
    </row>
    <row r="36" spans="1:29" ht="15">
      <c r="A36" s="471"/>
      <c r="B36" s="421" t="s">
        <v>2653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344"/>
      <c r="Q36" s="1812" t="str">
        <f t="shared" si="11"/>
        <v>内部装修</v>
      </c>
      <c r="R36" s="773" t="s">
        <v>17</v>
      </c>
      <c r="S36" s="774">
        <f t="shared" si="12"/>
        <v>100</v>
      </c>
      <c r="T36" s="773" t="s">
        <v>17</v>
      </c>
      <c r="U36" s="774">
        <f t="shared" si="13"/>
        <v>100</v>
      </c>
      <c r="V36" s="773" t="s">
        <v>17</v>
      </c>
      <c r="W36" s="774">
        <f t="shared" si="14"/>
        <v>100</v>
      </c>
      <c r="X36" s="1815"/>
      <c r="Y36" s="3344"/>
      <c r="Z36" s="1816" t="str">
        <f t="shared" si="15"/>
        <v>内部装修</v>
      </c>
      <c r="AA36" s="1813">
        <f t="shared" si="3"/>
        <v>1</v>
      </c>
      <c r="AB36" s="1813">
        <f t="shared" si="4"/>
        <v>1</v>
      </c>
      <c r="AC36" s="1813">
        <f t="shared" si="5"/>
        <v>1</v>
      </c>
    </row>
    <row r="37" spans="1:29" ht="15">
      <c r="A37" s="471"/>
      <c r="B37" s="421" t="s">
        <v>2689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344"/>
      <c r="Q37" s="1812" t="str">
        <f t="shared" si="11"/>
        <v>内部装修状况</v>
      </c>
      <c r="R37" s="773" t="s">
        <v>17</v>
      </c>
      <c r="S37" s="774">
        <f t="shared" si="12"/>
        <v>100</v>
      </c>
      <c r="T37" s="773" t="s">
        <v>17</v>
      </c>
      <c r="U37" s="774">
        <f t="shared" si="13"/>
        <v>100</v>
      </c>
      <c r="V37" s="773" t="s">
        <v>17</v>
      </c>
      <c r="W37" s="774">
        <f t="shared" si="14"/>
        <v>100</v>
      </c>
      <c r="X37" s="1815"/>
      <c r="Y37" s="3344"/>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344"/>
      <c r="Q38" s="775">
        <f t="shared" si="11"/>
        <v>111</v>
      </c>
      <c r="R38" s="776" t="s">
        <v>17</v>
      </c>
      <c r="S38" s="777">
        <f t="shared" si="12"/>
        <v>100</v>
      </c>
      <c r="T38" s="776" t="s">
        <v>17</v>
      </c>
      <c r="U38" s="777">
        <f t="shared" si="13"/>
        <v>100</v>
      </c>
      <c r="V38" s="776" t="s">
        <v>17</v>
      </c>
      <c r="W38" s="777">
        <f t="shared" si="14"/>
        <v>100</v>
      </c>
      <c r="X38" s="778"/>
      <c r="Y38" s="3344"/>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344"/>
      <c r="Q39" s="1812">
        <f t="shared" si="11"/>
        <v>111</v>
      </c>
      <c r="R39" s="773" t="s">
        <v>17</v>
      </c>
      <c r="S39" s="774">
        <f t="shared" si="12"/>
        <v>100</v>
      </c>
      <c r="T39" s="773" t="s">
        <v>17</v>
      </c>
      <c r="U39" s="774">
        <f t="shared" si="13"/>
        <v>100</v>
      </c>
      <c r="V39" s="773" t="s">
        <v>17</v>
      </c>
      <c r="W39" s="774">
        <f t="shared" si="14"/>
        <v>100</v>
      </c>
      <c r="X39" s="1815"/>
      <c r="Y39" s="3344"/>
      <c r="Z39" s="1816">
        <f t="shared" si="15"/>
        <v>111</v>
      </c>
      <c r="AA39" s="1813">
        <f t="shared" si="3"/>
        <v>1</v>
      </c>
      <c r="AB39" s="1813">
        <f t="shared" si="4"/>
        <v>1</v>
      </c>
      <c r="AC39" s="1813">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345"/>
      <c r="Q40" s="1812">
        <f t="shared" si="11"/>
        <v>111</v>
      </c>
      <c r="R40" s="773" t="s">
        <v>17</v>
      </c>
      <c r="S40" s="774">
        <f t="shared" si="12"/>
        <v>100</v>
      </c>
      <c r="T40" s="773" t="s">
        <v>17</v>
      </c>
      <c r="U40" s="774">
        <f t="shared" si="13"/>
        <v>100</v>
      </c>
      <c r="V40" s="773" t="s">
        <v>17</v>
      </c>
      <c r="W40" s="774">
        <f t="shared" si="14"/>
        <v>100</v>
      </c>
      <c r="X40" s="1815"/>
      <c r="Y40" s="3345"/>
      <c r="Z40" s="1816">
        <f t="shared" si="15"/>
        <v>111</v>
      </c>
      <c r="AA40" s="1813">
        <f t="shared" si="3"/>
        <v>1</v>
      </c>
      <c r="AB40" s="1813">
        <f t="shared" si="4"/>
        <v>1</v>
      </c>
      <c r="AC40" s="1813">
        <f t="shared" si="5"/>
        <v>1</v>
      </c>
    </row>
    <row r="41" spans="1:29" ht="15">
      <c r="A41" s="478" t="s">
        <v>2562</v>
      </c>
      <c r="B41" s="479"/>
      <c r="C41" s="1409" t="s">
        <v>1</v>
      </c>
      <c r="D41" s="1410"/>
      <c r="E41" s="1411"/>
      <c r="F41" s="1412"/>
      <c r="G41" s="1413"/>
      <c r="H41" s="1414"/>
      <c r="I41" s="1411"/>
      <c r="J41" s="1414"/>
      <c r="K41" s="782"/>
      <c r="L41" s="1145"/>
      <c r="M41" s="1146"/>
      <c r="N41" s="1133"/>
      <c r="O41" s="1146"/>
      <c r="P41" s="3337" t="str">
        <f>A41</f>
        <v>成交单价（元/平方米）</v>
      </c>
      <c r="Q41" s="3337"/>
      <c r="R41" s="3338">
        <f>E41</f>
        <v>0</v>
      </c>
      <c r="S41" s="3338"/>
      <c r="T41" s="3338">
        <f>G41</f>
        <v>0</v>
      </c>
      <c r="U41" s="3338"/>
      <c r="V41" s="3338">
        <f>I41</f>
        <v>0</v>
      </c>
      <c r="W41" s="3338"/>
      <c r="X41" s="758"/>
      <c r="Y41" s="780"/>
      <c r="Z41" s="758"/>
      <c r="AA41" s="758"/>
      <c r="AB41" s="758"/>
      <c r="AC41" s="758"/>
    </row>
    <row r="42" spans="1:29" ht="15.75" thickBot="1">
      <c r="A42" s="485" t="s">
        <v>2654</v>
      </c>
      <c r="B42" s="486"/>
      <c r="C42" s="1415" t="e">
        <f>R43</f>
        <v>#DIV/0!</v>
      </c>
      <c r="D42" s="1416"/>
      <c r="E42" s="1417" t="e">
        <f>R42</f>
        <v>#DIV/0!</v>
      </c>
      <c r="F42" s="1417"/>
      <c r="G42" s="1415" t="e">
        <f>T42</f>
        <v>#DIV/0!</v>
      </c>
      <c r="H42" s="1416"/>
      <c r="I42" s="1417" t="e">
        <f>V42</f>
        <v>#DIV/0!</v>
      </c>
      <c r="J42" s="1416"/>
      <c r="K42" s="783"/>
      <c r="L42" s="1145"/>
      <c r="M42" s="1146"/>
      <c r="N42" s="1133"/>
      <c r="O42" s="1146"/>
      <c r="P42" s="3337" t="str">
        <f>A42</f>
        <v>比较价值（元/平方米）</v>
      </c>
      <c r="Q42" s="3337"/>
      <c r="R42" s="3338" t="e">
        <f>IF(F1="售价",ROUND(PRODUCT(R41,AA7:AA40),0),ROUND(PRODUCT(R41,AA7:AA40),1))</f>
        <v>#DIV/0!</v>
      </c>
      <c r="S42" s="3338"/>
      <c r="T42" s="3338" t="e">
        <f>IF(F1="售价",ROUND(PRODUCT(T41,AB7:AB40),0),ROUND(PRODUCT(T41,AB7:AB40),1))</f>
        <v>#DIV/0!</v>
      </c>
      <c r="U42" s="3338"/>
      <c r="V42" s="3338" t="e">
        <f>IF(F1="售价",ROUND(PRODUCT(V41,AC7:AC40),0),ROUND(PRODUCT(V41,AC7:AC40),1))</f>
        <v>#DIV/0!</v>
      </c>
      <c r="W42" s="3338"/>
      <c r="X42" s="758"/>
      <c r="Y42" s="758"/>
      <c r="Z42" s="758"/>
      <c r="AA42" s="758"/>
      <c r="AB42" s="758"/>
      <c r="AC42" s="758"/>
    </row>
    <row r="43" spans="1:29" ht="15.75" thickBot="1">
      <c r="A43" s="491" t="s">
        <v>2655</v>
      </c>
      <c r="B43" s="492"/>
      <c r="C43" s="1419" t="e">
        <f>R43</f>
        <v>#DIV/0!</v>
      </c>
      <c r="D43" s="1419"/>
      <c r="E43" s="1419"/>
      <c r="F43" s="1419"/>
      <c r="G43" s="1419"/>
      <c r="H43" s="1419"/>
      <c r="I43" s="1419"/>
      <c r="J43" s="1419"/>
      <c r="K43" s="784"/>
      <c r="L43" s="1145"/>
      <c r="M43" s="1146"/>
      <c r="N43" s="1146"/>
      <c r="O43" s="1146"/>
      <c r="P43" s="3334" t="str">
        <f>A43</f>
        <v>估价对象XX用房的比较价值（楼面单价，元/平方米）</v>
      </c>
      <c r="Q43" s="3335"/>
      <c r="R43" s="3336" t="e">
        <f>IF(F1="售价",ROUND(AVERAGE(R42:V42),0),ROUND(AVERAGE(R42:V42),1))</f>
        <v>#DIV/0!</v>
      </c>
      <c r="S43" s="3336"/>
      <c r="T43" s="3336"/>
      <c r="U43" s="3336"/>
      <c r="V43" s="3336"/>
      <c r="W43" s="3336"/>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2656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2657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2658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2659</v>
      </c>
      <c r="B51" s="758"/>
      <c r="C51" s="763"/>
      <c r="D51" s="763"/>
      <c r="E51" s="763"/>
      <c r="F51" s="764"/>
      <c r="G51" s="764"/>
      <c r="H51" s="763"/>
      <c r="I51" s="763"/>
      <c r="J51" s="763"/>
      <c r="K51" s="1162"/>
      <c r="L51" s="1163"/>
      <c r="M51" s="1161"/>
      <c r="N51" s="1161"/>
      <c r="O51" s="1161"/>
      <c r="P51" s="502"/>
      <c r="Q51" s="503"/>
    </row>
    <row r="52" spans="1:17" s="507" customFormat="1" ht="15">
      <c r="A52" s="504" t="s">
        <v>2533</v>
      </c>
      <c r="B52" s="505"/>
      <c r="C52" s="1576" t="str">
        <f>YEAR(C7)&amp;"-"&amp;MONTH(C7)</f>
        <v>2018-1</v>
      </c>
      <c r="D52" s="1577">
        <f>EDATE(C52,-1)</f>
        <v>43070</v>
      </c>
      <c r="E52" s="1577">
        <f t="shared" ref="E52:O52" si="16">EDATE(D52,-1)</f>
        <v>43040</v>
      </c>
      <c r="F52" s="1577">
        <f t="shared" si="16"/>
        <v>43009</v>
      </c>
      <c r="G52" s="1577">
        <f t="shared" si="16"/>
        <v>42979</v>
      </c>
      <c r="H52" s="1577">
        <f t="shared" si="16"/>
        <v>42948</v>
      </c>
      <c r="I52" s="1577">
        <f t="shared" si="16"/>
        <v>42917</v>
      </c>
      <c r="J52" s="1577">
        <f t="shared" si="16"/>
        <v>42887</v>
      </c>
      <c r="K52" s="1577">
        <f t="shared" si="16"/>
        <v>42856</v>
      </c>
      <c r="L52" s="1577">
        <f t="shared" si="16"/>
        <v>42826</v>
      </c>
      <c r="M52" s="1577">
        <f t="shared" si="16"/>
        <v>42795</v>
      </c>
      <c r="N52" s="1577">
        <f t="shared" si="16"/>
        <v>42767</v>
      </c>
      <c r="O52" s="1577">
        <f t="shared" si="16"/>
        <v>42736</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2570</v>
      </c>
      <c r="B54" s="515"/>
      <c r="C54" s="516"/>
      <c r="D54" s="517"/>
      <c r="E54" s="517"/>
      <c r="F54" s="517"/>
      <c r="G54" s="517"/>
      <c r="H54" s="517"/>
      <c r="I54" s="517"/>
      <c r="J54" s="517"/>
      <c r="K54" s="517"/>
      <c r="L54" s="517"/>
      <c r="M54" s="518"/>
      <c r="N54" s="517"/>
      <c r="O54" s="519"/>
      <c r="P54" s="503"/>
      <c r="Q54" s="503"/>
    </row>
    <row r="55" spans="1:17" s="117" customFormat="1" ht="15">
      <c r="A55" s="520" t="s">
        <v>2535</v>
      </c>
      <c r="B55" s="509"/>
      <c r="C55" s="521" t="s">
        <v>2637</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2573</v>
      </c>
      <c r="B57" s="527" t="s">
        <v>2539</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2542</v>
      </c>
      <c r="C59" s="538" t="s">
        <v>2574</v>
      </c>
      <c r="D59" s="538" t="s">
        <v>2575</v>
      </c>
      <c r="E59" s="538" t="s">
        <v>2576</v>
      </c>
      <c r="F59" s="538" t="s">
        <v>2577</v>
      </c>
      <c r="G59" s="538" t="s">
        <v>2578</v>
      </c>
      <c r="H59" s="538" t="s">
        <v>2579</v>
      </c>
      <c r="I59" s="538" t="s">
        <v>2580</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2543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2544</v>
      </c>
      <c r="B70" s="527" t="s">
        <v>2690</v>
      </c>
      <c r="C70" s="572" t="s">
        <v>2582</v>
      </c>
      <c r="D70" s="572" t="s">
        <v>2583</v>
      </c>
      <c r="E70" s="572" t="s">
        <v>2584</v>
      </c>
      <c r="F70" s="572" t="s">
        <v>2585</v>
      </c>
      <c r="G70" s="572" t="s">
        <v>2586</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2587</v>
      </c>
      <c r="C72" s="577" t="s">
        <v>2582</v>
      </c>
      <c r="D72" s="577" t="s">
        <v>2583</v>
      </c>
      <c r="E72" s="577" t="s">
        <v>2584</v>
      </c>
      <c r="F72" s="577" t="s">
        <v>2585</v>
      </c>
      <c r="G72" s="577" t="s">
        <v>2586</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2588</v>
      </c>
      <c r="C74" s="577" t="s">
        <v>2582</v>
      </c>
      <c r="D74" s="577" t="s">
        <v>2583</v>
      </c>
      <c r="E74" s="577" t="s">
        <v>2584</v>
      </c>
      <c r="F74" s="577" t="s">
        <v>2585</v>
      </c>
      <c r="G74" s="577" t="s">
        <v>2586</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2674</v>
      </c>
      <c r="C76" s="659" t="s">
        <v>2660</v>
      </c>
      <c r="D76" s="659" t="s">
        <v>2661</v>
      </c>
      <c r="E76" s="659" t="s">
        <v>2662</v>
      </c>
      <c r="F76" s="659" t="s">
        <v>2663</v>
      </c>
      <c r="G76" s="659" t="s">
        <v>2664</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2683</v>
      </c>
      <c r="C78" s="577" t="s">
        <v>2582</v>
      </c>
      <c r="D78" s="577" t="s">
        <v>2583</v>
      </c>
      <c r="E78" s="577" t="s">
        <v>2584</v>
      </c>
      <c r="F78" s="577" t="s">
        <v>2585</v>
      </c>
      <c r="G78" s="577" t="s">
        <v>2586</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7"/>
      <c r="B87" s="568"/>
      <c r="C87" s="569"/>
      <c r="D87" s="569"/>
      <c r="E87" s="569"/>
      <c r="F87" s="569"/>
      <c r="G87" s="590"/>
      <c r="H87" s="590"/>
      <c r="I87" s="590"/>
      <c r="J87" s="590"/>
      <c r="K87" s="590"/>
      <c r="L87" s="590"/>
      <c r="M87" s="591"/>
      <c r="N87" s="1155"/>
      <c r="O87" s="1155"/>
      <c r="P87" s="45"/>
      <c r="Q87" s="503"/>
    </row>
    <row r="88" spans="1:17">
      <c r="A88" s="526" t="s">
        <v>2548</v>
      </c>
      <c r="B88" s="527" t="s">
        <v>2597</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2598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2599</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2601</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2602</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2603</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2605</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2691</v>
      </c>
      <c r="C106" s="577" t="s">
        <v>2582</v>
      </c>
      <c r="D106" s="577" t="s">
        <v>2583</v>
      </c>
      <c r="E106" s="577" t="s">
        <v>2584</v>
      </c>
      <c r="F106" s="577" t="s">
        <v>2585</v>
      </c>
      <c r="G106" s="577" t="s">
        <v>2586</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7"/>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2692</v>
      </c>
      <c r="B1" s="1621"/>
      <c r="C1" s="1622" t="s">
        <v>2515</v>
      </c>
      <c r="D1" s="1623"/>
      <c r="E1" s="1624"/>
      <c r="F1" s="2585"/>
      <c r="G1" s="1625" t="s">
        <v>2628</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2312</v>
      </c>
      <c r="B2" s="1420" t="e">
        <f ca="1">IF(C2="——",IF(B37="元/平方米",ROUND(C39*D3/10000,0),ROUND(F3*C39/10000,0)),IF(B37="元/平方米",ROUND(C39*D3/10000,0),ROUND(F3*C39/10000,0))-D2)</f>
        <v>#DIV/0!</v>
      </c>
      <c r="C2" s="2587"/>
      <c r="D2" s="1126" t="e">
        <f ca="1">SUMIF(INDIRECT("'"&amp;F2&amp;"'"&amp;"!A:A"),"承租人权益价值",INDIRECT("'"&amp;F2&amp;"'"&amp;"!c:c"))</f>
        <v>#REF!</v>
      </c>
      <c r="E2" s="2588" t="s">
        <v>2313</v>
      </c>
      <c r="F2" s="2589"/>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2314</v>
      </c>
      <c r="B3" s="608" t="e">
        <f ca="1">IF(AND(C2="——",B37="元/平方米"),C39,ROUND(B2*10000/D3,0))</f>
        <v>#DIV/0!</v>
      </c>
      <c r="C3" s="399" t="s">
        <v>2629</v>
      </c>
      <c r="D3" s="398">
        <f>SUMIF('数据-汇总表'!$C19:$C33,D1,'数据-汇总表'!$E19:$E33)</f>
        <v>0</v>
      </c>
      <c r="E3" s="399" t="s">
        <v>2693</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07" t="s">
        <v>2632</v>
      </c>
      <c r="S4" s="3308"/>
      <c r="T4" s="3307" t="s">
        <v>2633</v>
      </c>
      <c r="U4" s="3308"/>
      <c r="V4" s="3332" t="s">
        <v>2634</v>
      </c>
      <c r="W4" s="3332"/>
      <c r="X4" s="1815"/>
      <c r="Y4" s="3307" t="s">
        <v>2636</v>
      </c>
      <c r="Z4" s="3308"/>
      <c r="AA4" s="3302" t="s">
        <v>2632</v>
      </c>
      <c r="AB4" s="3303" t="s">
        <v>2633</v>
      </c>
      <c r="AC4" s="3302" t="s">
        <v>2634</v>
      </c>
    </row>
    <row r="5" spans="1:29" ht="15">
      <c r="A5" s="403"/>
      <c r="B5" s="404"/>
      <c r="C5" s="3313" t="s">
        <v>2527</v>
      </c>
      <c r="D5" s="3314"/>
      <c r="E5" s="3311" t="s">
        <v>2528</v>
      </c>
      <c r="F5" s="3312"/>
      <c r="G5" s="3313" t="s">
        <v>2529</v>
      </c>
      <c r="H5" s="3314"/>
      <c r="I5" s="3313" t="s">
        <v>2530</v>
      </c>
      <c r="J5" s="3314"/>
      <c r="K5" s="609"/>
      <c r="L5" s="1132"/>
      <c r="M5" s="1133"/>
      <c r="N5" s="1133"/>
      <c r="O5" s="1133"/>
      <c r="P5" s="3326"/>
      <c r="Q5" s="3327"/>
      <c r="R5" s="3309"/>
      <c r="S5" s="3310"/>
      <c r="T5" s="3309"/>
      <c r="U5" s="3310"/>
      <c r="V5" s="3332"/>
      <c r="W5" s="3332"/>
      <c r="X5" s="1815"/>
      <c r="Y5" s="3309"/>
      <c r="Z5" s="3310"/>
      <c r="AA5" s="3303"/>
      <c r="AB5" s="3303"/>
      <c r="AC5" s="3303"/>
    </row>
    <row r="6" spans="1:29" ht="15.75" thickBot="1">
      <c r="A6" s="405"/>
      <c r="B6" s="406"/>
      <c r="C6" s="3315" t="s">
        <v>2531</v>
      </c>
      <c r="D6" s="3316"/>
      <c r="E6" s="3317" t="s">
        <v>2531</v>
      </c>
      <c r="F6" s="3318"/>
      <c r="G6" s="3315" t="s">
        <v>2531</v>
      </c>
      <c r="H6" s="3316"/>
      <c r="I6" s="3315" t="s">
        <v>2531</v>
      </c>
      <c r="J6" s="3316"/>
      <c r="K6" s="609" t="s">
        <v>2532</v>
      </c>
      <c r="L6" s="1132"/>
      <c r="M6" s="1133"/>
      <c r="N6" s="1133"/>
      <c r="O6" s="1133"/>
      <c r="P6" s="3328"/>
      <c r="Q6" s="3329"/>
      <c r="R6" s="3309"/>
      <c r="S6" s="3310"/>
      <c r="T6" s="3330"/>
      <c r="U6" s="3331"/>
      <c r="V6" s="3332"/>
      <c r="W6" s="3332"/>
      <c r="X6" s="1815"/>
      <c r="Y6" s="3330"/>
      <c r="Z6" s="3331"/>
      <c r="AA6" s="3304"/>
      <c r="AB6" s="3304"/>
      <c r="AC6" s="3304"/>
    </row>
    <row r="7" spans="1:29" s="117" customFormat="1" ht="15.75" thickBot="1">
      <c r="A7" s="407" t="s">
        <v>2533</v>
      </c>
      <c r="B7" s="408"/>
      <c r="C7" s="409">
        <f>'数据-取费表'!B2</f>
        <v>43116</v>
      </c>
      <c r="D7" s="410">
        <v>100</v>
      </c>
      <c r="E7" s="411"/>
      <c r="F7" s="412">
        <f>SUMIF(48:48,YEAR(E7)&amp;"-"&amp;MONTH(E7),49:49)</f>
        <v>0</v>
      </c>
      <c r="G7" s="411"/>
      <c r="H7" s="410">
        <f>SUMIF(48:48,YEAR(G7)&amp;"-"&amp;MONTH(G7),49:49)</f>
        <v>0</v>
      </c>
      <c r="I7" s="411"/>
      <c r="J7" s="410">
        <f>SUMIF(48:48,YEAR(I7)&amp;"-"&amp;MONTH(I7),49:49)</f>
        <v>0</v>
      </c>
      <c r="K7" s="610"/>
      <c r="L7" s="1134"/>
      <c r="M7" s="1135"/>
      <c r="N7" s="1135"/>
      <c r="O7" s="1135"/>
      <c r="P7" s="3305" t="s">
        <v>2534</v>
      </c>
      <c r="Q7" s="3333"/>
      <c r="R7" s="769" t="s">
        <v>17</v>
      </c>
      <c r="S7" s="770">
        <f t="shared" ref="S7:S14" si="0">F7</f>
        <v>0</v>
      </c>
      <c r="T7" s="769" t="s">
        <v>17</v>
      </c>
      <c r="U7" s="770">
        <f t="shared" ref="U7:U14" si="1">H7</f>
        <v>0</v>
      </c>
      <c r="V7" s="769" t="s">
        <v>17</v>
      </c>
      <c r="W7" s="770">
        <f t="shared" ref="W7:W14" si="2">J7</f>
        <v>0</v>
      </c>
      <c r="X7" s="771"/>
      <c r="Y7" s="3305" t="s">
        <v>2534</v>
      </c>
      <c r="Z7" s="3306"/>
      <c r="AA7" s="772" t="e">
        <f>D7/F7</f>
        <v>#DIV/0!</v>
      </c>
      <c r="AB7" s="772" t="e">
        <f>D7/H7</f>
        <v>#DIV/0!</v>
      </c>
      <c r="AC7" s="772" t="e">
        <f>D7/J7</f>
        <v>#DIV/0!</v>
      </c>
    </row>
    <row r="8" spans="1:29" s="117" customFormat="1" ht="15.75" thickBot="1">
      <c r="A8" s="407" t="s">
        <v>2535</v>
      </c>
      <c r="B8" s="408"/>
      <c r="C8" s="413" t="s">
        <v>2637</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305" t="s">
        <v>2537</v>
      </c>
      <c r="Q8" s="3306"/>
      <c r="R8" s="769" t="s">
        <v>17</v>
      </c>
      <c r="S8" s="770">
        <f t="shared" si="0"/>
        <v>0</v>
      </c>
      <c r="T8" s="769" t="s">
        <v>17</v>
      </c>
      <c r="U8" s="770">
        <f t="shared" si="1"/>
        <v>0</v>
      </c>
      <c r="V8" s="769" t="s">
        <v>17</v>
      </c>
      <c r="W8" s="770">
        <f t="shared" si="2"/>
        <v>0</v>
      </c>
      <c r="X8" s="771"/>
      <c r="Y8" s="3305" t="s">
        <v>2537</v>
      </c>
      <c r="Z8" s="3306"/>
      <c r="AA8" s="772" t="e">
        <f t="shared" ref="AA8:AA36" si="3">D8/F8</f>
        <v>#DIV/0!</v>
      </c>
      <c r="AB8" s="772" t="e">
        <f t="shared" ref="AB8:AB36" si="4">D8/H8</f>
        <v>#DIV/0!</v>
      </c>
      <c r="AC8" s="772" t="e">
        <f t="shared" ref="AC8:AC36" si="5">D8/J8</f>
        <v>#DIV/0!</v>
      </c>
    </row>
    <row r="9" spans="1:29" s="117" customFormat="1">
      <c r="A9" s="68" t="s">
        <v>2538</v>
      </c>
      <c r="B9" s="639" t="s">
        <v>2539</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337" t="s">
        <v>2540</v>
      </c>
      <c r="Q9" s="1797" t="str">
        <f t="shared" ref="Q9:Q14" si="6">B9</f>
        <v>用途</v>
      </c>
      <c r="R9" s="769" t="s">
        <v>17</v>
      </c>
      <c r="S9" s="770">
        <f t="shared" si="0"/>
        <v>100</v>
      </c>
      <c r="T9" s="769" t="s">
        <v>17</v>
      </c>
      <c r="U9" s="770">
        <f t="shared" si="1"/>
        <v>100</v>
      </c>
      <c r="V9" s="769" t="s">
        <v>17</v>
      </c>
      <c r="W9" s="770">
        <f t="shared" si="2"/>
        <v>100</v>
      </c>
      <c r="X9" s="771"/>
      <c r="Y9" s="3132" t="s">
        <v>2541</v>
      </c>
      <c r="Z9" s="55" t="str">
        <f t="shared" ref="Z9:Z14" si="7">Q9</f>
        <v>用途</v>
      </c>
      <c r="AA9" s="772">
        <f t="shared" si="3"/>
        <v>1</v>
      </c>
      <c r="AB9" s="772">
        <f t="shared" si="4"/>
        <v>1</v>
      </c>
      <c r="AC9" s="772">
        <f t="shared" si="5"/>
        <v>1</v>
      </c>
    </row>
    <row r="10" spans="1:29" s="426" customFormat="1" ht="27">
      <c r="A10" s="640"/>
      <c r="B10" s="641" t="s">
        <v>2542</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337"/>
      <c r="Q10" s="1797" t="str">
        <f t="shared" si="6"/>
        <v>土地使用年限（年）</v>
      </c>
      <c r="R10" s="769" t="s">
        <v>17</v>
      </c>
      <c r="S10" s="770">
        <f t="shared" si="0"/>
        <v>100</v>
      </c>
      <c r="T10" s="769" t="s">
        <v>17</v>
      </c>
      <c r="U10" s="770">
        <f t="shared" si="1"/>
        <v>100</v>
      </c>
      <c r="V10" s="769" t="s">
        <v>17</v>
      </c>
      <c r="W10" s="770">
        <f t="shared" si="2"/>
        <v>100</v>
      </c>
      <c r="X10" s="771"/>
      <c r="Y10" s="3132"/>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337"/>
      <c r="Q11" s="1797">
        <f t="shared" si="6"/>
        <v>111</v>
      </c>
      <c r="R11" s="769" t="s">
        <v>17</v>
      </c>
      <c r="S11" s="770">
        <f t="shared" si="0"/>
        <v>100</v>
      </c>
      <c r="T11" s="769" t="s">
        <v>17</v>
      </c>
      <c r="U11" s="770">
        <f t="shared" si="1"/>
        <v>100</v>
      </c>
      <c r="V11" s="769" t="s">
        <v>17</v>
      </c>
      <c r="W11" s="770">
        <f t="shared" si="2"/>
        <v>100</v>
      </c>
      <c r="X11" s="771"/>
      <c r="Y11" s="3132"/>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337"/>
      <c r="Q12" s="1797">
        <f t="shared" si="6"/>
        <v>111</v>
      </c>
      <c r="R12" s="769" t="s">
        <v>17</v>
      </c>
      <c r="S12" s="770">
        <f t="shared" si="0"/>
        <v>100</v>
      </c>
      <c r="T12" s="769" t="s">
        <v>17</v>
      </c>
      <c r="U12" s="770">
        <f t="shared" si="1"/>
        <v>100</v>
      </c>
      <c r="V12" s="769" t="s">
        <v>17</v>
      </c>
      <c r="W12" s="770">
        <f t="shared" si="2"/>
        <v>100</v>
      </c>
      <c r="X12" s="771"/>
      <c r="Y12" s="3132"/>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337"/>
      <c r="Q13" s="1797">
        <f t="shared" si="6"/>
        <v>111</v>
      </c>
      <c r="R13" s="769" t="s">
        <v>17</v>
      </c>
      <c r="S13" s="770">
        <f t="shared" si="0"/>
        <v>100</v>
      </c>
      <c r="T13" s="769" t="s">
        <v>17</v>
      </c>
      <c r="U13" s="770">
        <f t="shared" si="1"/>
        <v>100</v>
      </c>
      <c r="V13" s="769" t="s">
        <v>17</v>
      </c>
      <c r="W13" s="770">
        <f t="shared" si="2"/>
        <v>100</v>
      </c>
      <c r="X13" s="771"/>
      <c r="Y13" s="3132"/>
      <c r="Z13" s="55">
        <f t="shared" si="7"/>
        <v>111</v>
      </c>
      <c r="AA13" s="772">
        <f t="shared" si="3"/>
        <v>1</v>
      </c>
      <c r="AB13" s="772">
        <f t="shared" si="4"/>
        <v>1</v>
      </c>
      <c r="AC13" s="772">
        <f t="shared" si="5"/>
        <v>1</v>
      </c>
    </row>
    <row r="14" spans="1:29" ht="15">
      <c r="A14" s="400" t="s">
        <v>2544</v>
      </c>
      <c r="B14" s="628" t="s">
        <v>2694</v>
      </c>
      <c r="C14" s="2694">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339" t="s">
        <v>2545</v>
      </c>
      <c r="Q14" s="1812" t="str">
        <f t="shared" si="6"/>
        <v>交通便捷度</v>
      </c>
      <c r="R14" s="773" t="s">
        <v>17</v>
      </c>
      <c r="S14" s="774">
        <f t="shared" si="0"/>
        <v>100</v>
      </c>
      <c r="T14" s="773" t="s">
        <v>17</v>
      </c>
      <c r="U14" s="774">
        <f t="shared" si="1"/>
        <v>100</v>
      </c>
      <c r="V14" s="773" t="s">
        <v>17</v>
      </c>
      <c r="W14" s="774">
        <f t="shared" si="2"/>
        <v>100</v>
      </c>
      <c r="X14" s="1815"/>
      <c r="Y14" s="3339" t="s">
        <v>2545</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340"/>
      <c r="Q15" s="1812"/>
      <c r="R15" s="773"/>
      <c r="S15" s="774"/>
      <c r="T15" s="773"/>
      <c r="U15" s="774"/>
      <c r="V15" s="773"/>
      <c r="W15" s="774"/>
      <c r="X15" s="1815"/>
      <c r="Y15" s="3340"/>
      <c r="Z15" s="1816"/>
      <c r="AA15" s="1813">
        <v>1</v>
      </c>
      <c r="AB15" s="1813">
        <v>1</v>
      </c>
      <c r="AC15" s="1813">
        <v>1</v>
      </c>
    </row>
    <row r="16" spans="1:29" ht="15">
      <c r="A16" s="403"/>
      <c r="B16" s="630" t="s">
        <v>2673</v>
      </c>
      <c r="C16" s="2608">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340"/>
      <c r="Q16" s="1812" t="str">
        <f>B16</f>
        <v>公共配套设施</v>
      </c>
      <c r="R16" s="773" t="s">
        <v>17</v>
      </c>
      <c r="S16" s="774">
        <f>F16</f>
        <v>100</v>
      </c>
      <c r="T16" s="773" t="s">
        <v>17</v>
      </c>
      <c r="U16" s="774">
        <f>H16</f>
        <v>100</v>
      </c>
      <c r="V16" s="773" t="s">
        <v>17</v>
      </c>
      <c r="W16" s="774">
        <f>J16</f>
        <v>100</v>
      </c>
      <c r="X16" s="1815"/>
      <c r="Y16" s="3340"/>
      <c r="Z16" s="1816" t="str">
        <f>Q16</f>
        <v>公共配套设施</v>
      </c>
      <c r="AA16" s="1813">
        <f t="shared" si="3"/>
        <v>1</v>
      </c>
      <c r="AB16" s="1813">
        <f t="shared" si="4"/>
        <v>1</v>
      </c>
      <c r="AC16" s="1813">
        <f t="shared" si="5"/>
        <v>1</v>
      </c>
    </row>
    <row r="17" spans="1:29" ht="15">
      <c r="A17" s="403"/>
      <c r="B17" s="631"/>
      <c r="C17" s="2609"/>
      <c r="D17" s="447"/>
      <c r="E17" s="446"/>
      <c r="F17" s="448"/>
      <c r="G17" s="446"/>
      <c r="H17" s="447"/>
      <c r="I17" s="446"/>
      <c r="J17" s="447"/>
      <c r="K17" s="614"/>
      <c r="L17" s="1142"/>
      <c r="M17" s="1133"/>
      <c r="N17" s="1133"/>
      <c r="O17" s="1133"/>
      <c r="P17" s="3340"/>
      <c r="Q17" s="1812"/>
      <c r="R17" s="773"/>
      <c r="S17" s="774"/>
      <c r="T17" s="773"/>
      <c r="U17" s="774"/>
      <c r="V17" s="773"/>
      <c r="W17" s="774"/>
      <c r="X17" s="1815"/>
      <c r="Y17" s="3340"/>
      <c r="Z17" s="1816"/>
      <c r="AA17" s="1813">
        <v>1</v>
      </c>
      <c r="AB17" s="1813">
        <v>1</v>
      </c>
      <c r="AC17" s="1813">
        <v>1</v>
      </c>
    </row>
    <row r="18" spans="1:29" ht="15">
      <c r="A18" s="403"/>
      <c r="B18" s="632" t="s">
        <v>2674</v>
      </c>
      <c r="C18" s="2608">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340"/>
      <c r="Q18" s="1812" t="str">
        <f>B18</f>
        <v>基础设施水平</v>
      </c>
      <c r="R18" s="773" t="s">
        <v>17</v>
      </c>
      <c r="S18" s="774">
        <f>F18</f>
        <v>100</v>
      </c>
      <c r="T18" s="773" t="s">
        <v>17</v>
      </c>
      <c r="U18" s="774">
        <f>H18</f>
        <v>100</v>
      </c>
      <c r="V18" s="773" t="s">
        <v>17</v>
      </c>
      <c r="W18" s="774">
        <f>J18</f>
        <v>100</v>
      </c>
      <c r="X18" s="1815"/>
      <c r="Y18" s="3340"/>
      <c r="Z18" s="1816" t="str">
        <f>Q18</f>
        <v>基础设施水平</v>
      </c>
      <c r="AA18" s="1813">
        <f t="shared" ref="AA18" si="8">D18/F18</f>
        <v>1</v>
      </c>
      <c r="AB18" s="1813">
        <f t="shared" ref="AB18" si="9">D18/H18</f>
        <v>1</v>
      </c>
      <c r="AC18" s="1813">
        <f t="shared" ref="AC18" si="10">D18/J18</f>
        <v>1</v>
      </c>
    </row>
    <row r="19" spans="1:29" ht="15">
      <c r="A19" s="403"/>
      <c r="B19" s="632"/>
      <c r="C19" s="2609"/>
      <c r="D19" s="449"/>
      <c r="E19" s="2609"/>
      <c r="F19" s="452"/>
      <c r="G19" s="2609"/>
      <c r="H19" s="447"/>
      <c r="I19" s="446"/>
      <c r="J19" s="447"/>
      <c r="K19" s="1385"/>
      <c r="L19" s="1142"/>
      <c r="M19" s="1133"/>
      <c r="N19" s="1133"/>
      <c r="O19" s="1133"/>
      <c r="P19" s="3340"/>
      <c r="Q19" s="1812"/>
      <c r="R19" s="773"/>
      <c r="S19" s="774"/>
      <c r="T19" s="773"/>
      <c r="U19" s="774"/>
      <c r="V19" s="773"/>
      <c r="W19" s="774"/>
      <c r="X19" s="1815"/>
      <c r="Y19" s="3340"/>
      <c r="Z19" s="1816"/>
      <c r="AA19" s="1813">
        <v>1</v>
      </c>
      <c r="AB19" s="1813">
        <v>1</v>
      </c>
      <c r="AC19" s="1813">
        <v>1</v>
      </c>
    </row>
    <row r="20" spans="1:29" ht="15">
      <c r="A20" s="403"/>
      <c r="B20" s="630" t="s">
        <v>2695</v>
      </c>
      <c r="C20" s="2608">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340"/>
      <c r="Q20" s="1812" t="str">
        <f>B20</f>
        <v>自然及人文环境</v>
      </c>
      <c r="R20" s="773" t="s">
        <v>17</v>
      </c>
      <c r="S20" s="774">
        <f>F20</f>
        <v>100</v>
      </c>
      <c r="T20" s="773" t="s">
        <v>17</v>
      </c>
      <c r="U20" s="774">
        <f>H20</f>
        <v>100</v>
      </c>
      <c r="V20" s="773" t="s">
        <v>17</v>
      </c>
      <c r="W20" s="774">
        <f>J20</f>
        <v>100</v>
      </c>
      <c r="X20" s="1815"/>
      <c r="Y20" s="3340"/>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340"/>
      <c r="Q21" s="1812"/>
      <c r="R21" s="773"/>
      <c r="S21" s="774"/>
      <c r="T21" s="773"/>
      <c r="U21" s="774"/>
      <c r="V21" s="773"/>
      <c r="W21" s="774"/>
      <c r="X21" s="1815"/>
      <c r="Y21" s="3340"/>
      <c r="Z21" s="1816"/>
      <c r="AA21" s="1813">
        <v>1</v>
      </c>
      <c r="AB21" s="1813">
        <v>1</v>
      </c>
      <c r="AC21" s="1813">
        <v>1</v>
      </c>
    </row>
    <row r="22" spans="1:29" ht="15">
      <c r="A22" s="403"/>
      <c r="B22" s="630" t="s">
        <v>2696</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340"/>
      <c r="Q22" s="1812" t="str">
        <f>B22</f>
        <v>楼层</v>
      </c>
      <c r="R22" s="773" t="s">
        <v>17</v>
      </c>
      <c r="S22" s="774">
        <f>F22</f>
        <v>100</v>
      </c>
      <c r="T22" s="773" t="s">
        <v>17</v>
      </c>
      <c r="U22" s="774">
        <f>H22</f>
        <v>100</v>
      </c>
      <c r="V22" s="773" t="s">
        <v>17</v>
      </c>
      <c r="W22" s="774">
        <f>J22</f>
        <v>100</v>
      </c>
      <c r="X22" s="1815"/>
      <c r="Y22" s="3340"/>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340"/>
      <c r="Q23" s="1812">
        <f>B23</f>
        <v>111</v>
      </c>
      <c r="R23" s="773" t="s">
        <v>17</v>
      </c>
      <c r="S23" s="774">
        <f>F23</f>
        <v>100</v>
      </c>
      <c r="T23" s="773" t="s">
        <v>17</v>
      </c>
      <c r="U23" s="774">
        <f>H23</f>
        <v>100</v>
      </c>
      <c r="V23" s="773" t="s">
        <v>17</v>
      </c>
      <c r="W23" s="774">
        <f>J23</f>
        <v>100</v>
      </c>
      <c r="X23" s="1815"/>
      <c r="Y23" s="3340"/>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340"/>
      <c r="Q24" s="1812">
        <f t="shared" ref="Q24:Q36" si="11">B24</f>
        <v>111</v>
      </c>
      <c r="R24" s="773" t="s">
        <v>17</v>
      </c>
      <c r="S24" s="774">
        <f>F24</f>
        <v>100</v>
      </c>
      <c r="T24" s="773" t="s">
        <v>17</v>
      </c>
      <c r="U24" s="774">
        <f>H24</f>
        <v>100</v>
      </c>
      <c r="V24" s="773" t="s">
        <v>17</v>
      </c>
      <c r="W24" s="774">
        <f>J24</f>
        <v>100</v>
      </c>
      <c r="X24" s="1815"/>
      <c r="Y24" s="3340"/>
      <c r="Z24" s="1816">
        <f>Q24</f>
        <v>111</v>
      </c>
      <c r="AA24" s="1813">
        <f t="shared" si="3"/>
        <v>1</v>
      </c>
      <c r="AB24" s="1813">
        <f t="shared" si="4"/>
        <v>1</v>
      </c>
      <c r="AC24" s="181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340"/>
      <c r="Q25" s="1797">
        <f t="shared" si="11"/>
        <v>111</v>
      </c>
      <c r="R25" s="769" t="s">
        <v>17</v>
      </c>
      <c r="S25" s="770">
        <f>F25</f>
        <v>100</v>
      </c>
      <c r="T25" s="769" t="s">
        <v>17</v>
      </c>
      <c r="U25" s="770">
        <f>H25</f>
        <v>100</v>
      </c>
      <c r="V25" s="769" t="s">
        <v>17</v>
      </c>
      <c r="W25" s="770">
        <f>J25</f>
        <v>100</v>
      </c>
      <c r="X25" s="771"/>
      <c r="Y25" s="3340"/>
      <c r="Z25" s="55">
        <f>Q25</f>
        <v>111</v>
      </c>
      <c r="AA25" s="1813">
        <f>D25/F25</f>
        <v>1</v>
      </c>
      <c r="AB25" s="1813">
        <f>D25/H25</f>
        <v>1</v>
      </c>
      <c r="AC25" s="1813">
        <f>D25/J25</f>
        <v>1</v>
      </c>
    </row>
    <row r="26" spans="1:29" ht="15">
      <c r="A26" s="651" t="s">
        <v>2548</v>
      </c>
      <c r="B26" s="70" t="s">
        <v>2697</v>
      </c>
      <c r="C26" s="2695">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363" t="s">
        <v>2550</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344" t="s">
        <v>2550</v>
      </c>
      <c r="Z26" s="1816" t="str">
        <f t="shared" ref="Z26:Z36" si="15">Q26</f>
        <v>配套类型</v>
      </c>
      <c r="AA26" s="1813">
        <f t="shared" si="3"/>
        <v>1</v>
      </c>
      <c r="AB26" s="1813">
        <f t="shared" si="4"/>
        <v>1</v>
      </c>
      <c r="AC26" s="1813">
        <f t="shared" si="5"/>
        <v>1</v>
      </c>
    </row>
    <row r="27" spans="1:29" s="470" customFormat="1" ht="15">
      <c r="A27" s="652"/>
      <c r="B27" s="653" t="s">
        <v>2698</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344"/>
      <c r="Q27" s="775" t="str">
        <f t="shared" si="11"/>
        <v>项目停车位配比</v>
      </c>
      <c r="R27" s="776" t="s">
        <v>17</v>
      </c>
      <c r="S27" s="777">
        <f t="shared" si="12"/>
        <v>100</v>
      </c>
      <c r="T27" s="776" t="s">
        <v>17</v>
      </c>
      <c r="U27" s="777">
        <f t="shared" si="13"/>
        <v>100</v>
      </c>
      <c r="V27" s="776" t="s">
        <v>17</v>
      </c>
      <c r="W27" s="777">
        <f t="shared" si="14"/>
        <v>100</v>
      </c>
      <c r="X27" s="778"/>
      <c r="Y27" s="3344"/>
      <c r="Z27" s="779" t="str">
        <f t="shared" si="15"/>
        <v>项目停车位配比</v>
      </c>
      <c r="AA27" s="1813">
        <f t="shared" si="3"/>
        <v>1</v>
      </c>
      <c r="AB27" s="1813">
        <f t="shared" si="4"/>
        <v>1</v>
      </c>
      <c r="AC27" s="1813">
        <f t="shared" si="5"/>
        <v>1</v>
      </c>
    </row>
    <row r="28" spans="1:29" ht="15">
      <c r="A28" s="655"/>
      <c r="B28" s="653" t="s">
        <v>2699</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344"/>
      <c r="Q28" s="1812" t="str">
        <f t="shared" si="11"/>
        <v>公共部分装修</v>
      </c>
      <c r="R28" s="773" t="s">
        <v>17</v>
      </c>
      <c r="S28" s="774">
        <f t="shared" si="12"/>
        <v>100</v>
      </c>
      <c r="T28" s="773" t="s">
        <v>17</v>
      </c>
      <c r="U28" s="774">
        <f t="shared" si="13"/>
        <v>100</v>
      </c>
      <c r="V28" s="773" t="s">
        <v>17</v>
      </c>
      <c r="W28" s="774">
        <f t="shared" si="14"/>
        <v>100</v>
      </c>
      <c r="X28" s="1815"/>
      <c r="Y28" s="3344"/>
      <c r="Z28" s="1816" t="str">
        <f t="shared" si="15"/>
        <v>公共部分装修</v>
      </c>
      <c r="AA28" s="1813">
        <f t="shared" si="3"/>
        <v>1</v>
      </c>
      <c r="AB28" s="1813">
        <f t="shared" si="4"/>
        <v>1</v>
      </c>
      <c r="AC28" s="1813">
        <f t="shared" si="5"/>
        <v>1</v>
      </c>
    </row>
    <row r="29" spans="1:29" ht="15">
      <c r="A29" s="655"/>
      <c r="B29" s="653" t="s">
        <v>2700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344"/>
      <c r="Q29" s="1812" t="str">
        <f t="shared" si="11"/>
        <v>成新率</v>
      </c>
      <c r="R29" s="773" t="s">
        <v>17</v>
      </c>
      <c r="S29" s="774" t="e">
        <f t="shared" si="12"/>
        <v>#N/A</v>
      </c>
      <c r="T29" s="773" t="s">
        <v>17</v>
      </c>
      <c r="U29" s="774" t="e">
        <f t="shared" si="13"/>
        <v>#N/A</v>
      </c>
      <c r="V29" s="773" t="s">
        <v>17</v>
      </c>
      <c r="W29" s="774" t="e">
        <f t="shared" si="14"/>
        <v>#N/A</v>
      </c>
      <c r="X29" s="1815"/>
      <c r="Y29" s="3344"/>
      <c r="Z29" s="1816" t="str">
        <f t="shared" si="15"/>
        <v>成新率</v>
      </c>
      <c r="AA29" s="1813" t="e">
        <f t="shared" si="3"/>
        <v>#N/A</v>
      </c>
      <c r="AB29" s="1813" t="e">
        <f t="shared" si="4"/>
        <v>#N/A</v>
      </c>
      <c r="AC29" s="1813" t="e">
        <f t="shared" si="5"/>
        <v>#N/A</v>
      </c>
    </row>
    <row r="30" spans="1:29" ht="15">
      <c r="A30" s="655"/>
      <c r="B30" s="653" t="s">
        <v>2701</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344"/>
      <c r="Q30" s="1812" t="str">
        <f t="shared" si="11"/>
        <v>物业等级</v>
      </c>
      <c r="R30" s="773" t="s">
        <v>17</v>
      </c>
      <c r="S30" s="774">
        <f t="shared" si="12"/>
        <v>100</v>
      </c>
      <c r="T30" s="773" t="s">
        <v>17</v>
      </c>
      <c r="U30" s="774">
        <f t="shared" si="13"/>
        <v>100</v>
      </c>
      <c r="V30" s="773" t="s">
        <v>17</v>
      </c>
      <c r="W30" s="774">
        <f t="shared" si="14"/>
        <v>100</v>
      </c>
      <c r="X30" s="1815"/>
      <c r="Y30" s="3344"/>
      <c r="Z30" s="1816" t="str">
        <f t="shared" si="15"/>
        <v>物业等级</v>
      </c>
      <c r="AA30" s="1813">
        <f t="shared" si="3"/>
        <v>1</v>
      </c>
      <c r="AB30" s="1813">
        <f t="shared" si="4"/>
        <v>1</v>
      </c>
      <c r="AC30" s="1813">
        <f t="shared" si="5"/>
        <v>1</v>
      </c>
    </row>
    <row r="31" spans="1:29" s="117" customFormat="1" ht="15">
      <c r="A31" s="657"/>
      <c r="B31" s="653" t="s">
        <v>2702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344"/>
      <c r="Q31" s="1797" t="str">
        <f t="shared" si="11"/>
        <v>停车位面积</v>
      </c>
      <c r="R31" s="769" t="s">
        <v>17</v>
      </c>
      <c r="S31" s="770" t="e">
        <f t="shared" si="12"/>
        <v>#N/A</v>
      </c>
      <c r="T31" s="769" t="s">
        <v>17</v>
      </c>
      <c r="U31" s="770" t="e">
        <f t="shared" si="13"/>
        <v>#N/A</v>
      </c>
      <c r="V31" s="769" t="s">
        <v>17</v>
      </c>
      <c r="W31" s="770" t="e">
        <f t="shared" si="14"/>
        <v>#N/A</v>
      </c>
      <c r="X31" s="771"/>
      <c r="Y31" s="3344"/>
      <c r="Z31" s="55" t="str">
        <f t="shared" si="15"/>
        <v>停车位面积</v>
      </c>
      <c r="AA31" s="772" t="e">
        <f t="shared" si="3"/>
        <v>#N/A</v>
      </c>
      <c r="AB31" s="772" t="e">
        <f t="shared" si="4"/>
        <v>#N/A</v>
      </c>
      <c r="AC31" s="772" t="e">
        <f t="shared" si="5"/>
        <v>#N/A</v>
      </c>
    </row>
    <row r="32" spans="1:29" ht="15">
      <c r="A32" s="655"/>
      <c r="B32" s="653" t="s">
        <v>2703</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344" t="s">
        <v>2550</v>
      </c>
      <c r="Q32" s="1812" t="str">
        <f t="shared" si="11"/>
        <v>车位类型</v>
      </c>
      <c r="R32" s="773" t="s">
        <v>17</v>
      </c>
      <c r="S32" s="774">
        <f t="shared" si="12"/>
        <v>100</v>
      </c>
      <c r="T32" s="773" t="s">
        <v>17</v>
      </c>
      <c r="U32" s="774">
        <f t="shared" si="13"/>
        <v>100</v>
      </c>
      <c r="V32" s="773" t="s">
        <v>17</v>
      </c>
      <c r="W32" s="774">
        <f t="shared" si="14"/>
        <v>100</v>
      </c>
      <c r="X32" s="1815"/>
      <c r="Y32" s="3344" t="s">
        <v>2550</v>
      </c>
      <c r="Z32" s="1816" t="str">
        <f t="shared" si="15"/>
        <v>车位类型</v>
      </c>
      <c r="AA32" s="1813">
        <f t="shared" si="3"/>
        <v>1</v>
      </c>
      <c r="AB32" s="1813">
        <f t="shared" si="4"/>
        <v>1</v>
      </c>
      <c r="AC32" s="1813">
        <f t="shared" si="5"/>
        <v>1</v>
      </c>
    </row>
    <row r="33" spans="1:29" ht="15">
      <c r="A33" s="655"/>
      <c r="B33" s="653" t="s">
        <v>2704</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344"/>
      <c r="Q33" s="1812" t="str">
        <f t="shared" si="11"/>
        <v>是否直接入户</v>
      </c>
      <c r="R33" s="773" t="s">
        <v>17</v>
      </c>
      <c r="S33" s="774">
        <f t="shared" si="12"/>
        <v>100</v>
      </c>
      <c r="T33" s="773" t="s">
        <v>17</v>
      </c>
      <c r="U33" s="774">
        <f t="shared" si="13"/>
        <v>100</v>
      </c>
      <c r="V33" s="773" t="s">
        <v>17</v>
      </c>
      <c r="W33" s="774">
        <f t="shared" si="14"/>
        <v>100</v>
      </c>
      <c r="X33" s="1815"/>
      <c r="Y33" s="3344"/>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344"/>
      <c r="Q34" s="1812">
        <f t="shared" si="11"/>
        <v>111</v>
      </c>
      <c r="R34" s="773" t="s">
        <v>17</v>
      </c>
      <c r="S34" s="774">
        <f t="shared" si="12"/>
        <v>100</v>
      </c>
      <c r="T34" s="773" t="s">
        <v>17</v>
      </c>
      <c r="U34" s="774">
        <f t="shared" si="13"/>
        <v>100</v>
      </c>
      <c r="V34" s="773" t="s">
        <v>17</v>
      </c>
      <c r="W34" s="774">
        <f t="shared" si="14"/>
        <v>100</v>
      </c>
      <c r="X34" s="1815"/>
      <c r="Y34" s="3344"/>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344"/>
      <c r="Q35" s="775">
        <f t="shared" si="11"/>
        <v>111</v>
      </c>
      <c r="R35" s="776" t="s">
        <v>17</v>
      </c>
      <c r="S35" s="777">
        <f t="shared" si="12"/>
        <v>100</v>
      </c>
      <c r="T35" s="776" t="s">
        <v>17</v>
      </c>
      <c r="U35" s="777">
        <f t="shared" si="13"/>
        <v>100</v>
      </c>
      <c r="V35" s="776" t="s">
        <v>17</v>
      </c>
      <c r="W35" s="777">
        <f t="shared" si="14"/>
        <v>100</v>
      </c>
      <c r="X35" s="778"/>
      <c r="Y35" s="3344"/>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344"/>
      <c r="Q36" s="1812">
        <f t="shared" si="11"/>
        <v>111</v>
      </c>
      <c r="R36" s="773" t="s">
        <v>17</v>
      </c>
      <c r="S36" s="774">
        <f t="shared" si="12"/>
        <v>100</v>
      </c>
      <c r="T36" s="773" t="s">
        <v>17</v>
      </c>
      <c r="U36" s="774">
        <f t="shared" si="13"/>
        <v>100</v>
      </c>
      <c r="V36" s="773" t="s">
        <v>17</v>
      </c>
      <c r="W36" s="774">
        <f t="shared" si="14"/>
        <v>100</v>
      </c>
      <c r="X36" s="1815"/>
      <c r="Y36" s="3344"/>
      <c r="Z36" s="1816">
        <f t="shared" si="15"/>
        <v>111</v>
      </c>
      <c r="AA36" s="1813">
        <f t="shared" si="3"/>
        <v>1</v>
      </c>
      <c r="AB36" s="1813">
        <f t="shared" si="4"/>
        <v>1</v>
      </c>
      <c r="AC36" s="1813">
        <f t="shared" si="5"/>
        <v>1</v>
      </c>
    </row>
    <row r="37" spans="1:29" ht="15">
      <c r="A37" s="478" t="s">
        <v>2705</v>
      </c>
      <c r="B37" s="2696" t="s">
        <v>2706</v>
      </c>
      <c r="C37" s="1409" t="s">
        <v>1</v>
      </c>
      <c r="D37" s="1410"/>
      <c r="E37" s="1411"/>
      <c r="F37" s="1412"/>
      <c r="G37" s="1413"/>
      <c r="H37" s="1414"/>
      <c r="I37" s="1411"/>
      <c r="J37" s="1414"/>
      <c r="K37" s="618"/>
      <c r="L37" s="1145"/>
      <c r="M37" s="1146"/>
      <c r="N37" s="1133"/>
      <c r="O37" s="1146"/>
      <c r="P37" s="3337" t="str">
        <f>A37</f>
        <v>成交单价</v>
      </c>
      <c r="Q37" s="3337"/>
      <c r="R37" s="3338">
        <f>E37</f>
        <v>0</v>
      </c>
      <c r="S37" s="3338"/>
      <c r="T37" s="3338">
        <f>G37</f>
        <v>0</v>
      </c>
      <c r="U37" s="3338"/>
      <c r="V37" s="3338">
        <f>I37</f>
        <v>0</v>
      </c>
      <c r="W37" s="3338"/>
      <c r="X37" s="758"/>
      <c r="Y37" s="780"/>
      <c r="Z37" s="758"/>
      <c r="AA37" s="758"/>
      <c r="AB37" s="758"/>
      <c r="AC37" s="758"/>
    </row>
    <row r="38" spans="1:29" ht="15.75" thickBot="1">
      <c r="A38" s="485" t="s">
        <v>2707</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337" t="str">
        <f>A38</f>
        <v>比较价值（元/平方米）</v>
      </c>
      <c r="Q38" s="3337"/>
      <c r="R38" s="3338" t="e">
        <f>IF(F1="售价",ROUND(PRODUCT(R37,AA7:AA36),0),ROUND(PRODUCT(R37,AA7:AA36),1))</f>
        <v>#DIV/0!</v>
      </c>
      <c r="S38" s="3338"/>
      <c r="T38" s="3338" t="e">
        <f>IF(F1="售价",ROUND(PRODUCT(T37,AB7:AB36),0),ROUND(PRODUCT(T37,AB7:AB36),1))</f>
        <v>#DIV/0!</v>
      </c>
      <c r="U38" s="3338"/>
      <c r="V38" s="3338" t="e">
        <f>IF(F1="售价",ROUND(PRODUCT(V37,AC7:AC36),0),ROUND(PRODUCT(V37,AC7:AC36),1))</f>
        <v>#DIV/0!</v>
      </c>
      <c r="W38" s="3338"/>
      <c r="X38" s="758"/>
      <c r="Y38" s="758"/>
      <c r="Z38" s="758"/>
      <c r="AA38" s="758"/>
      <c r="AB38" s="758"/>
      <c r="AC38" s="758"/>
    </row>
    <row r="39" spans="1:29" ht="15.75" thickBot="1">
      <c r="A39" s="491" t="s">
        <v>2708</v>
      </c>
      <c r="B39" s="492"/>
      <c r="C39" s="1419" t="e">
        <f>R39</f>
        <v>#DIV/0!</v>
      </c>
      <c r="D39" s="1419"/>
      <c r="E39" s="1419"/>
      <c r="F39" s="1419"/>
      <c r="G39" s="1419"/>
      <c r="H39" s="1419"/>
      <c r="I39" s="1419"/>
      <c r="J39" s="1419"/>
      <c r="K39" s="620"/>
      <c r="L39" s="1145"/>
      <c r="M39" s="1146"/>
      <c r="N39" s="1146"/>
      <c r="O39" s="1146"/>
      <c r="P39" s="3334" t="str">
        <f>A39</f>
        <v>估价对象XX用房的比较价值（楼面单价，元/平方米）</v>
      </c>
      <c r="Q39" s="3335"/>
      <c r="R39" s="3336" t="e">
        <f>IF(F1="售价",ROUND(AVERAGE(R38:V38),0),ROUND(AVERAGE(R38:V38),1))</f>
        <v>#DIV/0!</v>
      </c>
      <c r="S39" s="3336"/>
      <c r="T39" s="3336"/>
      <c r="U39" s="3336"/>
      <c r="V39" s="3336"/>
      <c r="W39" s="3336"/>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2709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2710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2711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2712</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2713</v>
      </c>
      <c r="B48" s="505"/>
      <c r="C48" s="1576" t="str">
        <f>YEAR(C7)&amp;"-"&amp;MONTH(C7)</f>
        <v>2018-1</v>
      </c>
      <c r="D48" s="1577">
        <f>EDATE(C48,-1)</f>
        <v>43070</v>
      </c>
      <c r="E48" s="1577">
        <f t="shared" ref="E48:O48" si="16">EDATE(D48,-1)</f>
        <v>43040</v>
      </c>
      <c r="F48" s="1577">
        <f t="shared" si="16"/>
        <v>43009</v>
      </c>
      <c r="G48" s="1577">
        <f t="shared" si="16"/>
        <v>42979</v>
      </c>
      <c r="H48" s="1577">
        <f t="shared" si="16"/>
        <v>42948</v>
      </c>
      <c r="I48" s="1577">
        <f t="shared" si="16"/>
        <v>42917</v>
      </c>
      <c r="J48" s="1577">
        <f t="shared" si="16"/>
        <v>42887</v>
      </c>
      <c r="K48" s="1577">
        <f t="shared" si="16"/>
        <v>42856</v>
      </c>
      <c r="L48" s="1577">
        <f t="shared" si="16"/>
        <v>42826</v>
      </c>
      <c r="M48" s="1577">
        <f t="shared" si="16"/>
        <v>42795</v>
      </c>
      <c r="N48" s="1577">
        <f t="shared" si="16"/>
        <v>42767</v>
      </c>
      <c r="O48" s="1577">
        <f t="shared" si="16"/>
        <v>42736</v>
      </c>
      <c r="P48" s="1440"/>
      <c r="Q48" s="1441"/>
      <c r="R48" s="1441"/>
      <c r="S48" s="1441"/>
      <c r="T48" s="1441"/>
      <c r="U48" s="1441"/>
      <c r="V48" s="1441"/>
      <c r="W48" s="1441"/>
      <c r="X48" s="1441"/>
      <c r="Y48" s="1441"/>
      <c r="Z48" s="1441"/>
      <c r="AA48" s="1441"/>
      <c r="AB48" s="1441"/>
      <c r="AC48" s="1441"/>
    </row>
    <row r="49" spans="1:29" s="117"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7" customFormat="1" ht="15.75" thickBot="1">
      <c r="A50" s="514" t="s">
        <v>2570</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7" customFormat="1" ht="15">
      <c r="A51" s="520" t="s">
        <v>2535</v>
      </c>
      <c r="B51" s="509"/>
      <c r="C51" s="521" t="s">
        <v>2637</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7"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2573</v>
      </c>
      <c r="B53" s="527" t="s">
        <v>2539</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2542</v>
      </c>
      <c r="C55" s="538" t="s">
        <v>2574</v>
      </c>
      <c r="D55" s="538" t="s">
        <v>2575</v>
      </c>
      <c r="E55" s="538" t="s">
        <v>2576</v>
      </c>
      <c r="F55" s="538" t="s">
        <v>2577</v>
      </c>
      <c r="G55" s="538" t="s">
        <v>2578</v>
      </c>
      <c r="H55" s="538" t="s">
        <v>2579</v>
      </c>
      <c r="I55" s="538" t="s">
        <v>2580</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2544</v>
      </c>
      <c r="B63" s="527" t="s">
        <v>2587</v>
      </c>
      <c r="C63" s="572" t="s">
        <v>2582</v>
      </c>
      <c r="D63" s="572" t="s">
        <v>2583</v>
      </c>
      <c r="E63" s="572" t="s">
        <v>2584</v>
      </c>
      <c r="F63" s="572" t="s">
        <v>2585</v>
      </c>
      <c r="G63" s="572" t="s">
        <v>2586</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2588</v>
      </c>
      <c r="C65" s="577" t="s">
        <v>2582</v>
      </c>
      <c r="D65" s="577" t="s">
        <v>2583</v>
      </c>
      <c r="E65" s="577" t="s">
        <v>2584</v>
      </c>
      <c r="F65" s="577" t="s">
        <v>2585</v>
      </c>
      <c r="G65" s="577" t="s">
        <v>2586</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2674</v>
      </c>
      <c r="C67" s="659" t="s">
        <v>2660</v>
      </c>
      <c r="D67" s="659" t="s">
        <v>2661</v>
      </c>
      <c r="E67" s="659" t="s">
        <v>2662</v>
      </c>
      <c r="F67" s="659" t="s">
        <v>2663</v>
      </c>
      <c r="G67" s="659" t="s">
        <v>2664</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2594</v>
      </c>
      <c r="C69" s="577" t="s">
        <v>2582</v>
      </c>
      <c r="D69" s="577" t="s">
        <v>2583</v>
      </c>
      <c r="E69" s="577" t="s">
        <v>2584</v>
      </c>
      <c r="F69" s="577" t="s">
        <v>2585</v>
      </c>
      <c r="G69" s="577" t="s">
        <v>2586</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2714</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7"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7"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7"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2548</v>
      </c>
      <c r="B79" s="527" t="s">
        <v>2715</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2716</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2601</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2717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2718</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2719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2720</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2721</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2692</v>
      </c>
      <c r="B1" s="1621"/>
      <c r="C1" s="1622" t="s">
        <v>2515</v>
      </c>
      <c r="D1" s="1623"/>
      <c r="E1" s="1632"/>
      <c r="F1" s="2585"/>
      <c r="G1" s="1633" t="s">
        <v>2628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2312</v>
      </c>
      <c r="B2" s="1420" t="e">
        <f ca="1">IF(C2="——",ROUND(C37*D3/10000,0),ROUND(C37*D3/10000,0)-D2)</f>
        <v>#DIV/0!</v>
      </c>
      <c r="C2" s="2587"/>
      <c r="D2" s="1126" t="e">
        <f ca="1">SUMIF(INDIRECT("'"&amp;F2&amp;"'"&amp;"!A:A"),"承租人权益价值",INDIRECT("'"&amp;F2&amp;"'"&amp;"!c:c"))</f>
        <v>#REF!</v>
      </c>
      <c r="E2" s="2588" t="s">
        <v>2313</v>
      </c>
      <c r="F2" s="2589"/>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t="e">
        <f ca="1">IF(C2="——",C37,ROUND(B2*10000/D3,0))</f>
        <v>#DIV/0!</v>
      </c>
      <c r="C3" s="399" t="s">
        <v>2629</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07" t="s">
        <v>2632</v>
      </c>
      <c r="S4" s="3308"/>
      <c r="T4" s="3307" t="s">
        <v>2633</v>
      </c>
      <c r="U4" s="3308"/>
      <c r="V4" s="3332" t="s">
        <v>2634</v>
      </c>
      <c r="W4" s="3332"/>
      <c r="X4" s="1815"/>
      <c r="Y4" s="3307" t="s">
        <v>2636</v>
      </c>
      <c r="Z4" s="3308"/>
      <c r="AA4" s="3302" t="s">
        <v>2632</v>
      </c>
      <c r="AB4" s="3303" t="s">
        <v>2633</v>
      </c>
      <c r="AC4" s="3302" t="s">
        <v>2634</v>
      </c>
    </row>
    <row r="5" spans="1:29" ht="15">
      <c r="A5" s="403"/>
      <c r="B5" s="404"/>
      <c r="C5" s="3313" t="s">
        <v>2527</v>
      </c>
      <c r="D5" s="3314"/>
      <c r="E5" s="3311" t="s">
        <v>2528</v>
      </c>
      <c r="F5" s="3312"/>
      <c r="G5" s="3313" t="s">
        <v>2529</v>
      </c>
      <c r="H5" s="3314"/>
      <c r="I5" s="3313" t="s">
        <v>2530</v>
      </c>
      <c r="J5" s="3314"/>
      <c r="K5" s="609"/>
      <c r="L5" s="1132"/>
      <c r="M5" s="1133"/>
      <c r="N5" s="1133"/>
      <c r="O5" s="1133"/>
      <c r="P5" s="3326"/>
      <c r="Q5" s="3327"/>
      <c r="R5" s="3309"/>
      <c r="S5" s="3310"/>
      <c r="T5" s="3309"/>
      <c r="U5" s="3310"/>
      <c r="V5" s="3332"/>
      <c r="W5" s="3332"/>
      <c r="X5" s="1815"/>
      <c r="Y5" s="3309"/>
      <c r="Z5" s="3310"/>
      <c r="AA5" s="3303"/>
      <c r="AB5" s="3303"/>
      <c r="AC5" s="3303"/>
    </row>
    <row r="6" spans="1:29" ht="15.75" thickBot="1">
      <c r="A6" s="405"/>
      <c r="B6" s="406"/>
      <c r="C6" s="3315" t="s">
        <v>2531</v>
      </c>
      <c r="D6" s="3316"/>
      <c r="E6" s="3317" t="s">
        <v>2531</v>
      </c>
      <c r="F6" s="3318"/>
      <c r="G6" s="3315" t="s">
        <v>2531</v>
      </c>
      <c r="H6" s="3316"/>
      <c r="I6" s="3315" t="s">
        <v>2531</v>
      </c>
      <c r="J6" s="3316"/>
      <c r="K6" s="609" t="s">
        <v>2532</v>
      </c>
      <c r="L6" s="1132"/>
      <c r="M6" s="1133"/>
      <c r="N6" s="1133"/>
      <c r="O6" s="1133"/>
      <c r="P6" s="3328"/>
      <c r="Q6" s="3329"/>
      <c r="R6" s="3309"/>
      <c r="S6" s="3310"/>
      <c r="T6" s="3330"/>
      <c r="U6" s="3331"/>
      <c r="V6" s="3332"/>
      <c r="W6" s="3332"/>
      <c r="X6" s="1815"/>
      <c r="Y6" s="3330"/>
      <c r="Z6" s="3331"/>
      <c r="AA6" s="3304"/>
      <c r="AB6" s="3304"/>
      <c r="AC6" s="3304"/>
    </row>
    <row r="7" spans="1:29" s="117" customFormat="1" ht="15.75" thickBot="1">
      <c r="A7" s="407" t="s">
        <v>2533</v>
      </c>
      <c r="B7" s="408"/>
      <c r="C7" s="409">
        <f>'数据-取费表'!B2</f>
        <v>43116</v>
      </c>
      <c r="D7" s="410">
        <v>100</v>
      </c>
      <c r="E7" s="411"/>
      <c r="F7" s="412">
        <f>SUMIF(46:46,YEAR(E7)&amp;"-"&amp;MONTH(E7),47:47)</f>
        <v>0</v>
      </c>
      <c r="G7" s="2697"/>
      <c r="H7" s="410">
        <f>SUMIF(46:46,YEAR(G7)&amp;"-"&amp;MONTH(G7),47:47)</f>
        <v>0</v>
      </c>
      <c r="I7" s="411"/>
      <c r="J7" s="410">
        <f>SUMIF(46:46,YEAR(I7)&amp;"-"&amp;MONTH(I7),47:47)</f>
        <v>0</v>
      </c>
      <c r="K7" s="610"/>
      <c r="L7" s="1134"/>
      <c r="M7" s="1135"/>
      <c r="N7" s="1135"/>
      <c r="O7" s="1135"/>
      <c r="P7" s="3305" t="s">
        <v>2534</v>
      </c>
      <c r="Q7" s="3333"/>
      <c r="R7" s="769" t="s">
        <v>17</v>
      </c>
      <c r="S7" s="770">
        <f t="shared" ref="S7:S14" si="0">F7</f>
        <v>0</v>
      </c>
      <c r="T7" s="769" t="s">
        <v>17</v>
      </c>
      <c r="U7" s="770">
        <f t="shared" ref="U7:U14" si="1">H7</f>
        <v>0</v>
      </c>
      <c r="V7" s="769" t="s">
        <v>17</v>
      </c>
      <c r="W7" s="770">
        <f t="shared" ref="W7:W14" si="2">J7</f>
        <v>0</v>
      </c>
      <c r="X7" s="771"/>
      <c r="Y7" s="3305" t="s">
        <v>2534</v>
      </c>
      <c r="Z7" s="3306"/>
      <c r="AA7" s="772" t="e">
        <f>D7/F7</f>
        <v>#DIV/0!</v>
      </c>
      <c r="AB7" s="772" t="e">
        <f>D7/H7</f>
        <v>#DIV/0!</v>
      </c>
      <c r="AC7" s="772" t="e">
        <f>D7/J7</f>
        <v>#DIV/0!</v>
      </c>
    </row>
    <row r="8" spans="1:29" s="117" customFormat="1" ht="15.75" thickBot="1">
      <c r="A8" s="407" t="s">
        <v>2535</v>
      </c>
      <c r="B8" s="408"/>
      <c r="C8" s="413" t="s">
        <v>2637</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305" t="s">
        <v>2537</v>
      </c>
      <c r="Q8" s="3306"/>
      <c r="R8" s="769" t="s">
        <v>17</v>
      </c>
      <c r="S8" s="770">
        <f t="shared" si="0"/>
        <v>0</v>
      </c>
      <c r="T8" s="769" t="s">
        <v>17</v>
      </c>
      <c r="U8" s="770">
        <f t="shared" si="1"/>
        <v>0</v>
      </c>
      <c r="V8" s="769" t="s">
        <v>17</v>
      </c>
      <c r="W8" s="770">
        <f t="shared" si="2"/>
        <v>0</v>
      </c>
      <c r="X8" s="771"/>
      <c r="Y8" s="3305" t="s">
        <v>2537</v>
      </c>
      <c r="Z8" s="3306"/>
      <c r="AA8" s="772" t="e">
        <f t="shared" ref="AA8:AA34" si="3">D8/F8</f>
        <v>#DIV/0!</v>
      </c>
      <c r="AB8" s="772" t="e">
        <f t="shared" ref="AB8:AB34" si="4">D8/H8</f>
        <v>#DIV/0!</v>
      </c>
      <c r="AC8" s="772" t="e">
        <f t="shared" ref="AC8:AC34" si="5">D8/J8</f>
        <v>#DIV/0!</v>
      </c>
    </row>
    <row r="9" spans="1:29" s="117" customFormat="1">
      <c r="A9" s="414" t="s">
        <v>2538</v>
      </c>
      <c r="B9" s="71" t="s">
        <v>2539</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337" t="s">
        <v>2540</v>
      </c>
      <c r="Q9" s="1797" t="str">
        <f t="shared" ref="Q9:Q14" si="6">B9</f>
        <v>用途</v>
      </c>
      <c r="R9" s="769" t="s">
        <v>17</v>
      </c>
      <c r="S9" s="770">
        <f t="shared" si="0"/>
        <v>100</v>
      </c>
      <c r="T9" s="769" t="s">
        <v>17</v>
      </c>
      <c r="U9" s="770">
        <f t="shared" si="1"/>
        <v>100</v>
      </c>
      <c r="V9" s="769" t="s">
        <v>17</v>
      </c>
      <c r="W9" s="770">
        <f t="shared" si="2"/>
        <v>100</v>
      </c>
      <c r="X9" s="771"/>
      <c r="Y9" s="3132" t="s">
        <v>2541</v>
      </c>
      <c r="Z9" s="55" t="str">
        <f t="shared" ref="Z9:Z14" si="7">Q9</f>
        <v>用途</v>
      </c>
      <c r="AA9" s="772">
        <f t="shared" si="3"/>
        <v>1</v>
      </c>
      <c r="AB9" s="772">
        <f t="shared" si="4"/>
        <v>1</v>
      </c>
      <c r="AC9" s="772">
        <f t="shared" si="5"/>
        <v>1</v>
      </c>
    </row>
    <row r="10" spans="1:29" s="426" customFormat="1" ht="27">
      <c r="A10" s="420"/>
      <c r="B10" s="421" t="s">
        <v>2542</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337"/>
      <c r="Q10" s="1797" t="str">
        <f t="shared" si="6"/>
        <v>土地使用年限（年）</v>
      </c>
      <c r="R10" s="769" t="s">
        <v>17</v>
      </c>
      <c r="S10" s="770">
        <f t="shared" si="0"/>
        <v>100</v>
      </c>
      <c r="T10" s="769" t="s">
        <v>17</v>
      </c>
      <c r="U10" s="770">
        <f t="shared" si="1"/>
        <v>100</v>
      </c>
      <c r="V10" s="769" t="s">
        <v>17</v>
      </c>
      <c r="W10" s="770">
        <f t="shared" si="2"/>
        <v>100</v>
      </c>
      <c r="X10" s="771"/>
      <c r="Y10" s="3132"/>
      <c r="Z10" s="55" t="str">
        <f t="shared" si="7"/>
        <v>土地使用年限（年）</v>
      </c>
      <c r="AA10" s="772">
        <f t="shared" si="3"/>
        <v>1</v>
      </c>
      <c r="AB10" s="772">
        <f t="shared" si="4"/>
        <v>1</v>
      </c>
      <c r="AC10" s="772">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337"/>
      <c r="Q11" s="1797">
        <f t="shared" si="6"/>
        <v>111</v>
      </c>
      <c r="R11" s="769" t="s">
        <v>17</v>
      </c>
      <c r="S11" s="770">
        <f t="shared" si="0"/>
        <v>100</v>
      </c>
      <c r="T11" s="769" t="s">
        <v>17</v>
      </c>
      <c r="U11" s="770">
        <f t="shared" si="1"/>
        <v>100</v>
      </c>
      <c r="V11" s="769" t="s">
        <v>17</v>
      </c>
      <c r="W11" s="770">
        <f t="shared" si="2"/>
        <v>100</v>
      </c>
      <c r="X11" s="771"/>
      <c r="Y11" s="3132"/>
      <c r="Z11" s="55">
        <f t="shared" si="7"/>
        <v>111</v>
      </c>
      <c r="AA11" s="772">
        <f t="shared" si="3"/>
        <v>1</v>
      </c>
      <c r="AB11" s="772">
        <f t="shared" si="4"/>
        <v>1</v>
      </c>
      <c r="AC11" s="772">
        <f t="shared" si="5"/>
        <v>1</v>
      </c>
    </row>
    <row r="12" spans="1:29" s="117"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337"/>
      <c r="Q12" s="1797">
        <f t="shared" si="6"/>
        <v>111</v>
      </c>
      <c r="R12" s="769" t="s">
        <v>17</v>
      </c>
      <c r="S12" s="770">
        <f t="shared" si="0"/>
        <v>100</v>
      </c>
      <c r="T12" s="769" t="s">
        <v>17</v>
      </c>
      <c r="U12" s="770">
        <f t="shared" si="1"/>
        <v>100</v>
      </c>
      <c r="V12" s="769" t="s">
        <v>17</v>
      </c>
      <c r="W12" s="770">
        <f t="shared" si="2"/>
        <v>100</v>
      </c>
      <c r="X12" s="771"/>
      <c r="Y12" s="3132"/>
      <c r="Z12" s="55">
        <f t="shared" si="7"/>
        <v>111</v>
      </c>
      <c r="AA12" s="772">
        <f>D12/F12</f>
        <v>1</v>
      </c>
      <c r="AB12" s="772">
        <f>D12/H12</f>
        <v>1</v>
      </c>
      <c r="AC12" s="772">
        <f>D12/J12</f>
        <v>1</v>
      </c>
    </row>
    <row r="13" spans="1:29" ht="15.75" thickBot="1">
      <c r="A13" s="427"/>
      <c r="B13" s="2601">
        <v>111</v>
      </c>
      <c r="C13" s="433"/>
      <c r="D13" s="434">
        <v>100</v>
      </c>
      <c r="E13" s="468"/>
      <c r="F13" s="424">
        <f>SUMIF(59:59,E13,60:60)-SUMIF(59:59,C13,60:60)+100</f>
        <v>100</v>
      </c>
      <c r="G13" s="2698"/>
      <c r="H13" s="437">
        <f>SUMIF(59:59,G13,60:60)-SUMIF(59:59,C13,60:60)+100</f>
        <v>100</v>
      </c>
      <c r="I13" s="468"/>
      <c r="J13" s="434">
        <f>SUMIF(59:59,I13,60:60)-SUMIF(59:59,C13,60:60)+100</f>
        <v>100</v>
      </c>
      <c r="K13" s="612"/>
      <c r="L13" s="1142"/>
      <c r="M13" s="1133"/>
      <c r="N13" s="1133"/>
      <c r="O13" s="1141"/>
      <c r="P13" s="3337"/>
      <c r="Q13" s="1797">
        <f t="shared" si="6"/>
        <v>111</v>
      </c>
      <c r="R13" s="769" t="s">
        <v>17</v>
      </c>
      <c r="S13" s="770">
        <f t="shared" si="0"/>
        <v>100</v>
      </c>
      <c r="T13" s="769" t="s">
        <v>17</v>
      </c>
      <c r="U13" s="770">
        <f t="shared" si="1"/>
        <v>100</v>
      </c>
      <c r="V13" s="769" t="s">
        <v>17</v>
      </c>
      <c r="W13" s="770">
        <f t="shared" si="2"/>
        <v>100</v>
      </c>
      <c r="X13" s="771"/>
      <c r="Y13" s="3132"/>
      <c r="Z13" s="55">
        <f t="shared" si="7"/>
        <v>111</v>
      </c>
      <c r="AA13" s="772">
        <f t="shared" si="3"/>
        <v>1</v>
      </c>
      <c r="AB13" s="772">
        <f t="shared" si="4"/>
        <v>1</v>
      </c>
      <c r="AC13" s="772">
        <f t="shared" si="5"/>
        <v>1</v>
      </c>
    </row>
    <row r="14" spans="1:29" ht="15">
      <c r="A14" s="439" t="s">
        <v>2544</v>
      </c>
      <c r="B14" s="69" t="s">
        <v>2694</v>
      </c>
      <c r="C14" s="2694">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339" t="s">
        <v>2545</v>
      </c>
      <c r="Q14" s="1812" t="str">
        <f t="shared" si="6"/>
        <v>交通便捷度</v>
      </c>
      <c r="R14" s="773" t="s">
        <v>17</v>
      </c>
      <c r="S14" s="774">
        <f t="shared" si="0"/>
        <v>100</v>
      </c>
      <c r="T14" s="773" t="s">
        <v>17</v>
      </c>
      <c r="U14" s="774">
        <f t="shared" si="1"/>
        <v>100</v>
      </c>
      <c r="V14" s="773" t="s">
        <v>17</v>
      </c>
      <c r="W14" s="774">
        <f t="shared" si="2"/>
        <v>100</v>
      </c>
      <c r="X14" s="1815"/>
      <c r="Y14" s="3339" t="s">
        <v>2545</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340"/>
      <c r="Q15" s="1812"/>
      <c r="R15" s="773"/>
      <c r="S15" s="774"/>
      <c r="T15" s="773"/>
      <c r="U15" s="774"/>
      <c r="V15" s="773"/>
      <c r="W15" s="774"/>
      <c r="X15" s="1815"/>
      <c r="Y15" s="3340"/>
      <c r="Z15" s="1816"/>
      <c r="AA15" s="1813">
        <v>1</v>
      </c>
      <c r="AB15" s="1813">
        <v>1</v>
      </c>
      <c r="AC15" s="1813">
        <v>1</v>
      </c>
    </row>
    <row r="16" spans="1:29" ht="15">
      <c r="A16" s="427"/>
      <c r="B16" s="450" t="s">
        <v>2673</v>
      </c>
      <c r="C16" s="2608">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340"/>
      <c r="Q16" s="1812" t="str">
        <f>B16</f>
        <v>公共配套设施</v>
      </c>
      <c r="R16" s="773" t="s">
        <v>17</v>
      </c>
      <c r="S16" s="774">
        <f>F16</f>
        <v>100</v>
      </c>
      <c r="T16" s="773" t="s">
        <v>17</v>
      </c>
      <c r="U16" s="774">
        <f>H16</f>
        <v>100</v>
      </c>
      <c r="V16" s="773" t="s">
        <v>17</v>
      </c>
      <c r="W16" s="774">
        <f>J16</f>
        <v>100</v>
      </c>
      <c r="X16" s="1815"/>
      <c r="Y16" s="3340"/>
      <c r="Z16" s="1816" t="str">
        <f>Q16</f>
        <v>公共配套设施</v>
      </c>
      <c r="AA16" s="1813">
        <f t="shared" si="3"/>
        <v>1</v>
      </c>
      <c r="AB16" s="1813">
        <f t="shared" si="4"/>
        <v>1</v>
      </c>
      <c r="AC16" s="1813">
        <f t="shared" si="5"/>
        <v>1</v>
      </c>
    </row>
    <row r="17" spans="1:29" ht="15">
      <c r="A17" s="427"/>
      <c r="B17" s="455"/>
      <c r="C17" s="2609"/>
      <c r="D17" s="447"/>
      <c r="E17" s="446"/>
      <c r="F17" s="448"/>
      <c r="G17" s="446"/>
      <c r="H17" s="447"/>
      <c r="I17" s="446"/>
      <c r="J17" s="447"/>
      <c r="K17" s="614"/>
      <c r="L17" s="1142"/>
      <c r="M17" s="1133"/>
      <c r="N17" s="1133"/>
      <c r="O17" s="1141"/>
      <c r="P17" s="3340"/>
      <c r="Q17" s="1812"/>
      <c r="R17" s="773"/>
      <c r="S17" s="774"/>
      <c r="T17" s="773"/>
      <c r="U17" s="774"/>
      <c r="V17" s="773"/>
      <c r="W17" s="774"/>
      <c r="X17" s="1815"/>
      <c r="Y17" s="3340"/>
      <c r="Z17" s="1816"/>
      <c r="AA17" s="1813">
        <v>1</v>
      </c>
      <c r="AB17" s="1813">
        <v>1</v>
      </c>
      <c r="AC17" s="1813">
        <v>1</v>
      </c>
    </row>
    <row r="18" spans="1:29" ht="15">
      <c r="A18" s="427"/>
      <c r="B18" s="1386" t="s">
        <v>2674</v>
      </c>
      <c r="C18" s="2608">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340"/>
      <c r="Q18" s="1812" t="str">
        <f>B18</f>
        <v>基础设施水平</v>
      </c>
      <c r="R18" s="773" t="s">
        <v>17</v>
      </c>
      <c r="S18" s="774">
        <f>F18</f>
        <v>100</v>
      </c>
      <c r="T18" s="773" t="s">
        <v>17</v>
      </c>
      <c r="U18" s="774">
        <f>H18</f>
        <v>100</v>
      </c>
      <c r="V18" s="773" t="s">
        <v>17</v>
      </c>
      <c r="W18" s="774">
        <f>J18</f>
        <v>100</v>
      </c>
      <c r="X18" s="1815"/>
      <c r="Y18" s="3340"/>
      <c r="Z18" s="1816" t="str">
        <f>Q18</f>
        <v>基础设施水平</v>
      </c>
      <c r="AA18" s="1813">
        <f t="shared" ref="AA18" si="8">D18/F18</f>
        <v>1</v>
      </c>
      <c r="AB18" s="1813">
        <f t="shared" ref="AB18" si="9">D18/H18</f>
        <v>1</v>
      </c>
      <c r="AC18" s="1813">
        <f t="shared" ref="AC18" si="10">D18/J18</f>
        <v>1</v>
      </c>
    </row>
    <row r="19" spans="1:29" ht="15">
      <c r="A19" s="427"/>
      <c r="B19" s="1386"/>
      <c r="C19" s="2609"/>
      <c r="D19" s="449"/>
      <c r="E19" s="2609"/>
      <c r="F19" s="452"/>
      <c r="G19" s="2609"/>
      <c r="H19" s="447"/>
      <c r="I19" s="446"/>
      <c r="J19" s="447"/>
      <c r="K19" s="1385"/>
      <c r="L19" s="1142"/>
      <c r="M19" s="1133"/>
      <c r="N19" s="1133"/>
      <c r="O19" s="1141"/>
      <c r="P19" s="3340"/>
      <c r="Q19" s="1812"/>
      <c r="R19" s="773"/>
      <c r="S19" s="774"/>
      <c r="T19" s="773"/>
      <c r="U19" s="774"/>
      <c r="V19" s="773"/>
      <c r="W19" s="774"/>
      <c r="X19" s="1815"/>
      <c r="Y19" s="3340"/>
      <c r="Z19" s="1816"/>
      <c r="AA19" s="1813">
        <v>1</v>
      </c>
      <c r="AB19" s="1813">
        <v>1</v>
      </c>
      <c r="AC19" s="1813">
        <v>1</v>
      </c>
    </row>
    <row r="20" spans="1:29" ht="15">
      <c r="A20" s="427"/>
      <c r="B20" s="450" t="s">
        <v>2695</v>
      </c>
      <c r="C20" s="2608">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340"/>
      <c r="Q20" s="1812" t="str">
        <f>B20</f>
        <v>自然及人文环境</v>
      </c>
      <c r="R20" s="773" t="s">
        <v>17</v>
      </c>
      <c r="S20" s="774">
        <f>F20</f>
        <v>100</v>
      </c>
      <c r="T20" s="773" t="s">
        <v>17</v>
      </c>
      <c r="U20" s="774">
        <f>H20</f>
        <v>100</v>
      </c>
      <c r="V20" s="773" t="s">
        <v>17</v>
      </c>
      <c r="W20" s="774">
        <f>J20</f>
        <v>100</v>
      </c>
      <c r="X20" s="1815"/>
      <c r="Y20" s="3340"/>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340"/>
      <c r="Q21" s="1812"/>
      <c r="R21" s="773"/>
      <c r="S21" s="774"/>
      <c r="T21" s="773"/>
      <c r="U21" s="774"/>
      <c r="V21" s="773"/>
      <c r="W21" s="774"/>
      <c r="X21" s="1815"/>
      <c r="Y21" s="3340"/>
      <c r="Z21" s="1816"/>
      <c r="AA21" s="1813">
        <v>1</v>
      </c>
      <c r="AB21" s="1813">
        <v>1</v>
      </c>
      <c r="AC21" s="1813">
        <v>1</v>
      </c>
    </row>
    <row r="22" spans="1:29" ht="15">
      <c r="A22" s="427"/>
      <c r="B22" s="450" t="s">
        <v>2696</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340"/>
      <c r="Q22" s="1812" t="str">
        <f>B22</f>
        <v>楼层</v>
      </c>
      <c r="R22" s="773" t="s">
        <v>17</v>
      </c>
      <c r="S22" s="774">
        <f>F22</f>
        <v>100</v>
      </c>
      <c r="T22" s="773" t="s">
        <v>17</v>
      </c>
      <c r="U22" s="774">
        <f>H22</f>
        <v>100</v>
      </c>
      <c r="V22" s="773" t="s">
        <v>17</v>
      </c>
      <c r="W22" s="774">
        <f>J22</f>
        <v>100</v>
      </c>
      <c r="X22" s="1815"/>
      <c r="Y22" s="3340"/>
      <c r="Z22" s="1816" t="str">
        <f>Q22</f>
        <v>楼层</v>
      </c>
      <c r="AA22" s="1813">
        <f t="shared" si="3"/>
        <v>1</v>
      </c>
      <c r="AB22" s="1813">
        <f t="shared" si="4"/>
        <v>1</v>
      </c>
      <c r="AC22" s="1813">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340"/>
      <c r="Q23" s="1812">
        <f>B23</f>
        <v>111</v>
      </c>
      <c r="R23" s="773" t="s">
        <v>17</v>
      </c>
      <c r="S23" s="774">
        <f>F23</f>
        <v>100</v>
      </c>
      <c r="T23" s="773" t="s">
        <v>17</v>
      </c>
      <c r="U23" s="774">
        <f>H23</f>
        <v>100</v>
      </c>
      <c r="V23" s="773" t="s">
        <v>17</v>
      </c>
      <c r="W23" s="774">
        <f>J23</f>
        <v>100</v>
      </c>
      <c r="X23" s="1815"/>
      <c r="Y23" s="3340"/>
      <c r="Z23" s="1816">
        <f>Q23</f>
        <v>111</v>
      </c>
      <c r="AA23" s="1813">
        <f t="shared" si="3"/>
        <v>1</v>
      </c>
      <c r="AB23" s="1813">
        <f t="shared" si="4"/>
        <v>1</v>
      </c>
      <c r="AC23" s="1813">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340"/>
      <c r="Q24" s="1812">
        <f t="shared" ref="Q24:Q34" si="11">B24</f>
        <v>111</v>
      </c>
      <c r="R24" s="773" t="s">
        <v>17</v>
      </c>
      <c r="S24" s="774">
        <f>F24</f>
        <v>100</v>
      </c>
      <c r="T24" s="773" t="s">
        <v>17</v>
      </c>
      <c r="U24" s="774">
        <f>H24</f>
        <v>100</v>
      </c>
      <c r="V24" s="773" t="s">
        <v>17</v>
      </c>
      <c r="W24" s="774">
        <f>J24</f>
        <v>100</v>
      </c>
      <c r="X24" s="1815"/>
      <c r="Y24" s="3340"/>
      <c r="Z24" s="1816">
        <f>Q24</f>
        <v>111</v>
      </c>
      <c r="AA24" s="1813">
        <f t="shared" si="3"/>
        <v>1</v>
      </c>
      <c r="AB24" s="1813">
        <f t="shared" si="4"/>
        <v>1</v>
      </c>
      <c r="AC24" s="1813">
        <f t="shared" si="5"/>
        <v>1</v>
      </c>
    </row>
    <row r="25" spans="1:29" s="117" customFormat="1" ht="15.75" thickBot="1">
      <c r="A25" s="430"/>
      <c r="B25" s="2601">
        <v>111</v>
      </c>
      <c r="C25" s="2699"/>
      <c r="D25" s="664">
        <v>100</v>
      </c>
      <c r="E25" s="2699"/>
      <c r="F25" s="665">
        <f>SUMIF(75:75,E25,76:76)-SUMIF(75:75,C25,76:76)+100</f>
        <v>100</v>
      </c>
      <c r="G25" s="2699"/>
      <c r="H25" s="664">
        <f>SUMIF(75:75,G25,76:76)-SUMIF(75:75,C25,76:76)+100</f>
        <v>100</v>
      </c>
      <c r="I25" s="2699"/>
      <c r="J25" s="664">
        <f>SUMIF(75:75,I25,76:76)-SUMIF(75:75,C25,76:76)+100</f>
        <v>100</v>
      </c>
      <c r="K25" s="612"/>
      <c r="L25" s="1134"/>
      <c r="M25" s="1135"/>
      <c r="N25" s="1135"/>
      <c r="O25" s="1136"/>
      <c r="P25" s="3340"/>
      <c r="Q25" s="1797">
        <f t="shared" si="11"/>
        <v>111</v>
      </c>
      <c r="R25" s="769" t="s">
        <v>17</v>
      </c>
      <c r="S25" s="770">
        <f>F25</f>
        <v>100</v>
      </c>
      <c r="T25" s="769" t="s">
        <v>17</v>
      </c>
      <c r="U25" s="770">
        <f>H25</f>
        <v>100</v>
      </c>
      <c r="V25" s="769" t="s">
        <v>17</v>
      </c>
      <c r="W25" s="770">
        <f>J25</f>
        <v>100</v>
      </c>
      <c r="X25" s="771"/>
      <c r="Y25" s="3340"/>
      <c r="Z25" s="55">
        <f>Q25</f>
        <v>111</v>
      </c>
      <c r="AA25" s="1813">
        <f>D25/F25</f>
        <v>1</v>
      </c>
      <c r="AB25" s="1813">
        <f>D25/H25</f>
        <v>1</v>
      </c>
      <c r="AC25" s="1813">
        <f>D25/J25</f>
        <v>1</v>
      </c>
    </row>
    <row r="26" spans="1:29" ht="15">
      <c r="A26" s="465" t="s">
        <v>2548</v>
      </c>
      <c r="B26" s="71" t="s">
        <v>2699</v>
      </c>
      <c r="C26" s="2680"/>
      <c r="D26" s="466">
        <v>100</v>
      </c>
      <c r="E26" s="2680"/>
      <c r="F26" s="666">
        <f>SUMIF(77:77,E26,78:78)-SUMIF(77:77,C26,78:78)+100</f>
        <v>100</v>
      </c>
      <c r="G26" s="2680"/>
      <c r="H26" s="466">
        <f>SUMIF(77:77,G26,78:78)-SUMIF(77:77,C26,78:78)+100</f>
        <v>100</v>
      </c>
      <c r="I26" s="2680"/>
      <c r="J26" s="466">
        <f>SUMIF(77:77,I26,78:78)-SUMIF(77:77,C26,78:78)+100</f>
        <v>100</v>
      </c>
      <c r="K26" s="611"/>
      <c r="L26" s="1142"/>
      <c r="M26" s="1133"/>
      <c r="N26" s="1133"/>
      <c r="O26" s="1141"/>
      <c r="P26" s="3363" t="s">
        <v>2550</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344" t="s">
        <v>2550</v>
      </c>
      <c r="Z26" s="1816" t="str">
        <f t="shared" ref="Z26:Z34" si="15">Q26</f>
        <v>公共部分装修</v>
      </c>
      <c r="AA26" s="1813">
        <f t="shared" si="3"/>
        <v>1</v>
      </c>
      <c r="AB26" s="1813">
        <f t="shared" si="4"/>
        <v>1</v>
      </c>
      <c r="AC26" s="1813">
        <f t="shared" si="5"/>
        <v>1</v>
      </c>
    </row>
    <row r="27" spans="1:29" s="470" customFormat="1" ht="15">
      <c r="A27" s="467"/>
      <c r="B27" s="421" t="s">
        <v>2700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344"/>
      <c r="Q27" s="775" t="str">
        <f t="shared" si="11"/>
        <v>成新率</v>
      </c>
      <c r="R27" s="776" t="s">
        <v>17</v>
      </c>
      <c r="S27" s="777" t="e">
        <f t="shared" si="12"/>
        <v>#N/A</v>
      </c>
      <c r="T27" s="776" t="s">
        <v>17</v>
      </c>
      <c r="U27" s="777" t="e">
        <f t="shared" si="13"/>
        <v>#N/A</v>
      </c>
      <c r="V27" s="776" t="s">
        <v>17</v>
      </c>
      <c r="W27" s="777" t="e">
        <f t="shared" si="14"/>
        <v>#N/A</v>
      </c>
      <c r="X27" s="778"/>
      <c r="Y27" s="3344"/>
      <c r="Z27" s="779" t="str">
        <f t="shared" si="15"/>
        <v>成新率</v>
      </c>
      <c r="AA27" s="1813" t="e">
        <f t="shared" si="3"/>
        <v>#N/A</v>
      </c>
      <c r="AB27" s="1813" t="e">
        <f t="shared" si="4"/>
        <v>#N/A</v>
      </c>
      <c r="AC27" s="1813" t="e">
        <f t="shared" si="5"/>
        <v>#N/A</v>
      </c>
    </row>
    <row r="28" spans="1:29" ht="15">
      <c r="A28" s="471"/>
      <c r="B28" s="421" t="s">
        <v>2701</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344"/>
      <c r="Q28" s="1812" t="str">
        <f t="shared" si="11"/>
        <v>物业等级</v>
      </c>
      <c r="R28" s="773" t="s">
        <v>17</v>
      </c>
      <c r="S28" s="774">
        <f t="shared" si="12"/>
        <v>100</v>
      </c>
      <c r="T28" s="773" t="s">
        <v>17</v>
      </c>
      <c r="U28" s="774">
        <f t="shared" si="13"/>
        <v>100</v>
      </c>
      <c r="V28" s="773" t="s">
        <v>17</v>
      </c>
      <c r="W28" s="774">
        <f t="shared" si="14"/>
        <v>100</v>
      </c>
      <c r="X28" s="1815"/>
      <c r="Y28" s="3344"/>
      <c r="Z28" s="1816" t="str">
        <f t="shared" si="15"/>
        <v>物业等级</v>
      </c>
      <c r="AA28" s="1813">
        <f t="shared" si="3"/>
        <v>1</v>
      </c>
      <c r="AB28" s="1813">
        <f t="shared" si="4"/>
        <v>1</v>
      </c>
      <c r="AC28" s="1813">
        <f t="shared" si="5"/>
        <v>1</v>
      </c>
    </row>
    <row r="29" spans="1:29" ht="15">
      <c r="A29" s="471"/>
      <c r="B29" s="421" t="s">
        <v>2722</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344"/>
      <c r="Q29" s="1812" t="str">
        <f t="shared" si="11"/>
        <v>有无电梯</v>
      </c>
      <c r="R29" s="773" t="s">
        <v>17</v>
      </c>
      <c r="S29" s="774">
        <f t="shared" si="12"/>
        <v>100</v>
      </c>
      <c r="T29" s="773" t="s">
        <v>17</v>
      </c>
      <c r="U29" s="774">
        <f t="shared" si="13"/>
        <v>100</v>
      </c>
      <c r="V29" s="773" t="s">
        <v>17</v>
      </c>
      <c r="W29" s="774">
        <f t="shared" si="14"/>
        <v>100</v>
      </c>
      <c r="X29" s="1815"/>
      <c r="Y29" s="3344"/>
      <c r="Z29" s="1816" t="str">
        <f t="shared" si="15"/>
        <v>有无电梯</v>
      </c>
      <c r="AA29" s="1813">
        <f t="shared" si="3"/>
        <v>1</v>
      </c>
      <c r="AB29" s="1813">
        <f t="shared" si="4"/>
        <v>1</v>
      </c>
      <c r="AC29" s="1813">
        <f t="shared" si="5"/>
        <v>1</v>
      </c>
    </row>
    <row r="30" spans="1:29" ht="15">
      <c r="A30" s="471"/>
      <c r="B30" s="421" t="s">
        <v>2723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344"/>
      <c r="Q30" s="1812" t="str">
        <f t="shared" si="11"/>
        <v>建筑面积</v>
      </c>
      <c r="R30" s="773" t="s">
        <v>17</v>
      </c>
      <c r="S30" s="774" t="e">
        <f t="shared" si="12"/>
        <v>#N/A</v>
      </c>
      <c r="T30" s="773" t="s">
        <v>17</v>
      </c>
      <c r="U30" s="774" t="e">
        <f t="shared" si="13"/>
        <v>#N/A</v>
      </c>
      <c r="V30" s="773" t="s">
        <v>17</v>
      </c>
      <c r="W30" s="774" t="e">
        <f t="shared" si="14"/>
        <v>#N/A</v>
      </c>
      <c r="X30" s="1815"/>
      <c r="Y30" s="3344"/>
      <c r="Z30" s="1816" t="str">
        <f t="shared" si="15"/>
        <v>建筑面积</v>
      </c>
      <c r="AA30" s="1813" t="e">
        <f t="shared" si="3"/>
        <v>#N/A</v>
      </c>
      <c r="AB30" s="1813" t="e">
        <f t="shared" si="4"/>
        <v>#N/A</v>
      </c>
      <c r="AC30" s="1813" t="e">
        <f t="shared" si="5"/>
        <v>#N/A</v>
      </c>
    </row>
    <row r="31" spans="1:29" s="117" customFormat="1" ht="15">
      <c r="A31" s="472"/>
      <c r="B31" s="421" t="s">
        <v>2724</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344"/>
      <c r="Q31" s="1797" t="str">
        <f t="shared" si="11"/>
        <v>是否封闭</v>
      </c>
      <c r="R31" s="769" t="s">
        <v>17</v>
      </c>
      <c r="S31" s="770">
        <f t="shared" si="12"/>
        <v>100</v>
      </c>
      <c r="T31" s="769" t="s">
        <v>17</v>
      </c>
      <c r="U31" s="770">
        <f t="shared" si="13"/>
        <v>100</v>
      </c>
      <c r="V31" s="769" t="s">
        <v>17</v>
      </c>
      <c r="W31" s="770">
        <f t="shared" si="14"/>
        <v>100</v>
      </c>
      <c r="X31" s="771"/>
      <c r="Y31" s="3344"/>
      <c r="Z31" s="55" t="str">
        <f t="shared" si="15"/>
        <v>是否封闭</v>
      </c>
      <c r="AA31" s="772">
        <f t="shared" si="3"/>
        <v>1</v>
      </c>
      <c r="AB31" s="772">
        <f t="shared" si="4"/>
        <v>1</v>
      </c>
      <c r="AC31" s="772">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344" t="s">
        <v>2550</v>
      </c>
      <c r="Q32" s="1812">
        <f t="shared" si="11"/>
        <v>111</v>
      </c>
      <c r="R32" s="773" t="s">
        <v>17</v>
      </c>
      <c r="S32" s="774">
        <f t="shared" si="12"/>
        <v>100</v>
      </c>
      <c r="T32" s="773" t="s">
        <v>17</v>
      </c>
      <c r="U32" s="774">
        <f t="shared" si="13"/>
        <v>100</v>
      </c>
      <c r="V32" s="773" t="s">
        <v>17</v>
      </c>
      <c r="W32" s="774">
        <f t="shared" si="14"/>
        <v>100</v>
      </c>
      <c r="X32" s="1815"/>
      <c r="Y32" s="3344" t="s">
        <v>2550</v>
      </c>
      <c r="Z32" s="1816">
        <f t="shared" si="15"/>
        <v>111</v>
      </c>
      <c r="AA32" s="1813">
        <f t="shared" si="3"/>
        <v>1</v>
      </c>
      <c r="AB32" s="1813">
        <f t="shared" si="4"/>
        <v>1</v>
      </c>
      <c r="AC32" s="1813">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344"/>
      <c r="Q33" s="1812">
        <f t="shared" si="11"/>
        <v>111</v>
      </c>
      <c r="R33" s="773" t="s">
        <v>17</v>
      </c>
      <c r="S33" s="774">
        <f t="shared" si="12"/>
        <v>100</v>
      </c>
      <c r="T33" s="773" t="s">
        <v>17</v>
      </c>
      <c r="U33" s="774">
        <f t="shared" si="13"/>
        <v>100</v>
      </c>
      <c r="V33" s="773" t="s">
        <v>17</v>
      </c>
      <c r="W33" s="774">
        <f t="shared" si="14"/>
        <v>100</v>
      </c>
      <c r="X33" s="1815"/>
      <c r="Y33" s="3344"/>
      <c r="Z33" s="1816">
        <f t="shared" si="15"/>
        <v>111</v>
      </c>
      <c r="AA33" s="1813">
        <f t="shared" si="3"/>
        <v>1</v>
      </c>
      <c r="AB33" s="1813">
        <f t="shared" si="4"/>
        <v>1</v>
      </c>
      <c r="AC33" s="1813">
        <f t="shared" si="5"/>
        <v>1</v>
      </c>
    </row>
    <row r="34" spans="1:29" ht="15.75" thickBot="1">
      <c r="A34" s="477"/>
      <c r="B34" s="2603">
        <v>111</v>
      </c>
      <c r="C34" s="436"/>
      <c r="D34" s="437">
        <v>100</v>
      </c>
      <c r="E34" s="2698"/>
      <c r="F34" s="438">
        <f>SUMIF(95:95,E34,96:96)-SUMIF(95:95,C34,96:96)+100</f>
        <v>100</v>
      </c>
      <c r="G34" s="2698"/>
      <c r="H34" s="437">
        <f>SUMIF(95:95,G34,96:96)-SUMIF(95:95,C34,96:96)+100</f>
        <v>100</v>
      </c>
      <c r="I34" s="2698"/>
      <c r="J34" s="437">
        <f>SUMIF(95:95,I34,96:96)-SUMIF(95:95,C34,96:96)+100</f>
        <v>100</v>
      </c>
      <c r="K34" s="612"/>
      <c r="L34" s="1142"/>
      <c r="M34" s="1133"/>
      <c r="N34" s="1133"/>
      <c r="O34" s="1141"/>
      <c r="P34" s="3344"/>
      <c r="Q34" s="1812">
        <f t="shared" si="11"/>
        <v>111</v>
      </c>
      <c r="R34" s="773" t="s">
        <v>17</v>
      </c>
      <c r="S34" s="774">
        <f t="shared" si="12"/>
        <v>100</v>
      </c>
      <c r="T34" s="773" t="s">
        <v>17</v>
      </c>
      <c r="U34" s="774">
        <f t="shared" si="13"/>
        <v>100</v>
      </c>
      <c r="V34" s="773" t="s">
        <v>17</v>
      </c>
      <c r="W34" s="774">
        <f t="shared" si="14"/>
        <v>100</v>
      </c>
      <c r="X34" s="1815"/>
      <c r="Y34" s="3344"/>
      <c r="Z34" s="1816">
        <f t="shared" si="15"/>
        <v>111</v>
      </c>
      <c r="AA34" s="1813">
        <f t="shared" si="3"/>
        <v>1</v>
      </c>
      <c r="AB34" s="1813">
        <f t="shared" si="4"/>
        <v>1</v>
      </c>
      <c r="AC34" s="1813">
        <f t="shared" si="5"/>
        <v>1</v>
      </c>
    </row>
    <row r="35" spans="1:29" ht="15">
      <c r="A35" s="478" t="s">
        <v>2562</v>
      </c>
      <c r="B35" s="479"/>
      <c r="C35" s="1409" t="s">
        <v>1</v>
      </c>
      <c r="D35" s="1410"/>
      <c r="E35" s="1411"/>
      <c r="F35" s="1412"/>
      <c r="G35" s="1413"/>
      <c r="H35" s="1414"/>
      <c r="I35" s="1411"/>
      <c r="J35" s="1414"/>
      <c r="K35" s="782"/>
      <c r="L35" s="1145"/>
      <c r="M35" s="1146"/>
      <c r="N35" s="1133"/>
      <c r="O35" s="1146"/>
      <c r="P35" s="3337" t="str">
        <f>A35</f>
        <v>成交单价（元/平方米）</v>
      </c>
      <c r="Q35" s="3337"/>
      <c r="R35" s="3338">
        <f>E35</f>
        <v>0</v>
      </c>
      <c r="S35" s="3338"/>
      <c r="T35" s="3338">
        <f>G35</f>
        <v>0</v>
      </c>
      <c r="U35" s="3338"/>
      <c r="V35" s="3338">
        <f>I35</f>
        <v>0</v>
      </c>
      <c r="W35" s="3338"/>
      <c r="X35" s="758"/>
      <c r="Y35" s="780"/>
      <c r="Z35" s="758"/>
      <c r="AA35" s="758"/>
      <c r="AB35" s="758"/>
      <c r="AC35" s="758"/>
    </row>
    <row r="36" spans="1:29" ht="15.75" thickBot="1">
      <c r="A36" s="485" t="s">
        <v>2654</v>
      </c>
      <c r="B36" s="486"/>
      <c r="C36" s="1415" t="e">
        <f>R37</f>
        <v>#DIV/0!</v>
      </c>
      <c r="D36" s="1416"/>
      <c r="E36" s="1417" t="e">
        <f>R36</f>
        <v>#DIV/0!</v>
      </c>
      <c r="F36" s="1417"/>
      <c r="G36" s="1415" t="e">
        <f>T36</f>
        <v>#DIV/0!</v>
      </c>
      <c r="H36" s="1416"/>
      <c r="I36" s="1417" t="e">
        <f>V36</f>
        <v>#DIV/0!</v>
      </c>
      <c r="J36" s="1416"/>
      <c r="K36" s="783"/>
      <c r="L36" s="1145"/>
      <c r="M36" s="1146"/>
      <c r="N36" s="1133"/>
      <c r="O36" s="1146"/>
      <c r="P36" s="3337" t="str">
        <f>A36</f>
        <v>比较价值（元/平方米）</v>
      </c>
      <c r="Q36" s="3337"/>
      <c r="R36" s="3338" t="e">
        <f>IF(F1="售价",ROUND(PRODUCT(R35,AA7:AA34),0),ROUND(PRODUCT(R35,AA7:AA34),1))</f>
        <v>#DIV/0!</v>
      </c>
      <c r="S36" s="3338"/>
      <c r="T36" s="3338" t="e">
        <f>IF(F1="售价",ROUND(PRODUCT(T35,AB7:AB34),0),ROUND(PRODUCT(T35,AB7:AB34),1))</f>
        <v>#DIV/0!</v>
      </c>
      <c r="U36" s="3338"/>
      <c r="V36" s="3338" t="e">
        <f>IF(F1="售价",ROUND(PRODUCT(V35,AC7:AC34),0),ROUND(PRODUCT(V35,AC7:AC34),1))</f>
        <v>#DIV/0!</v>
      </c>
      <c r="W36" s="3338"/>
      <c r="X36" s="758"/>
      <c r="Y36" s="758"/>
      <c r="Z36" s="758"/>
      <c r="AA36" s="758"/>
      <c r="AB36" s="758"/>
      <c r="AC36" s="758"/>
    </row>
    <row r="37" spans="1:29" ht="15.75" thickBot="1">
      <c r="A37" s="491" t="s">
        <v>2655</v>
      </c>
      <c r="B37" s="492"/>
      <c r="C37" s="1419" t="e">
        <f>R37</f>
        <v>#DIV/0!</v>
      </c>
      <c r="D37" s="1419"/>
      <c r="E37" s="1419"/>
      <c r="F37" s="1419"/>
      <c r="G37" s="1419"/>
      <c r="H37" s="1419"/>
      <c r="I37" s="1419"/>
      <c r="J37" s="1419"/>
      <c r="K37" s="784"/>
      <c r="L37" s="1145"/>
      <c r="M37" s="1146"/>
      <c r="N37" s="1146"/>
      <c r="O37" s="1146"/>
      <c r="P37" s="3334" t="str">
        <f>A37</f>
        <v>估价对象XX用房的比较价值（楼面单价，元/平方米）</v>
      </c>
      <c r="Q37" s="3335"/>
      <c r="R37" s="3336" t="e">
        <f>IF(F1="售价",ROUND(AVERAGE(R36:V36),0),ROUND(AVERAGE(R36:V36),1))</f>
        <v>#DIV/0!</v>
      </c>
      <c r="S37" s="3336"/>
      <c r="T37" s="3336"/>
      <c r="U37" s="3336"/>
      <c r="V37" s="3336"/>
      <c r="W37" s="3336"/>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2656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2657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2658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2659</v>
      </c>
      <c r="B45" s="758"/>
      <c r="C45" s="763"/>
      <c r="D45" s="763"/>
      <c r="E45" s="763"/>
      <c r="F45" s="764"/>
      <c r="G45" s="764"/>
      <c r="H45" s="763"/>
      <c r="I45" s="763"/>
      <c r="J45" s="763"/>
      <c r="K45" s="765"/>
      <c r="L45" s="766"/>
      <c r="M45" s="763"/>
      <c r="N45" s="763"/>
      <c r="O45" s="763"/>
      <c r="P45" s="502"/>
      <c r="Q45" s="503"/>
    </row>
    <row r="46" spans="1:29" s="507" customFormat="1" ht="15">
      <c r="A46" s="504" t="s">
        <v>2533</v>
      </c>
      <c r="B46" s="505"/>
      <c r="C46" s="1576" t="str">
        <f>YEAR(C7)&amp;"-"&amp;MONTH(C7)</f>
        <v>2018-1</v>
      </c>
      <c r="D46" s="1577">
        <f>EDATE(C46,-1)</f>
        <v>43070</v>
      </c>
      <c r="E46" s="1577">
        <f t="shared" ref="E46:O46" si="16">EDATE(D46,-1)</f>
        <v>43040</v>
      </c>
      <c r="F46" s="1577">
        <f t="shared" si="16"/>
        <v>43009</v>
      </c>
      <c r="G46" s="1577">
        <f t="shared" si="16"/>
        <v>42979</v>
      </c>
      <c r="H46" s="1577">
        <f t="shared" si="16"/>
        <v>42948</v>
      </c>
      <c r="I46" s="1577">
        <f t="shared" si="16"/>
        <v>42917</v>
      </c>
      <c r="J46" s="1577">
        <f t="shared" si="16"/>
        <v>42887</v>
      </c>
      <c r="K46" s="1577">
        <f t="shared" si="16"/>
        <v>42856</v>
      </c>
      <c r="L46" s="1577">
        <f t="shared" si="16"/>
        <v>42826</v>
      </c>
      <c r="M46" s="1577">
        <f t="shared" si="16"/>
        <v>42795</v>
      </c>
      <c r="N46" s="1577">
        <f t="shared" si="16"/>
        <v>42767</v>
      </c>
      <c r="O46" s="1577">
        <f t="shared" si="16"/>
        <v>42736</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2570</v>
      </c>
      <c r="B48" s="515"/>
      <c r="C48" s="516"/>
      <c r="D48" s="517"/>
      <c r="E48" s="517"/>
      <c r="F48" s="517"/>
      <c r="G48" s="517"/>
      <c r="H48" s="517"/>
      <c r="I48" s="517"/>
      <c r="J48" s="517"/>
      <c r="K48" s="517"/>
      <c r="L48" s="517"/>
      <c r="M48" s="518"/>
      <c r="N48" s="517"/>
      <c r="O48" s="519"/>
      <c r="P48" s="503"/>
      <c r="Q48" s="503"/>
    </row>
    <row r="49" spans="1:17" s="117" customFormat="1" ht="15">
      <c r="A49" s="520" t="s">
        <v>2535</v>
      </c>
      <c r="B49" s="509"/>
      <c r="C49" s="521" t="s">
        <v>2637</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2573</v>
      </c>
      <c r="B51" s="527" t="s">
        <v>2539</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2542</v>
      </c>
      <c r="C53" s="538" t="s">
        <v>2574</v>
      </c>
      <c r="D53" s="538" t="s">
        <v>2575</v>
      </c>
      <c r="E53" s="538" t="s">
        <v>2576</v>
      </c>
      <c r="F53" s="538" t="s">
        <v>2577</v>
      </c>
      <c r="G53" s="538" t="s">
        <v>2578</v>
      </c>
      <c r="H53" s="538" t="s">
        <v>2579</v>
      </c>
      <c r="I53" s="538" t="s">
        <v>2580</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2544</v>
      </c>
      <c r="B61" s="527" t="s">
        <v>2587</v>
      </c>
      <c r="C61" s="572" t="s">
        <v>2582</v>
      </c>
      <c r="D61" s="572" t="s">
        <v>2583</v>
      </c>
      <c r="E61" s="572" t="s">
        <v>2584</v>
      </c>
      <c r="F61" s="572" t="s">
        <v>2585</v>
      </c>
      <c r="G61" s="572" t="s">
        <v>2586</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2725</v>
      </c>
      <c r="C63" s="577" t="s">
        <v>2582</v>
      </c>
      <c r="D63" s="577" t="s">
        <v>2583</v>
      </c>
      <c r="E63" s="577" t="s">
        <v>2584</v>
      </c>
      <c r="F63" s="577" t="s">
        <v>2585</v>
      </c>
      <c r="G63" s="577" t="s">
        <v>2586</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2674</v>
      </c>
      <c r="C65" s="659" t="s">
        <v>2660</v>
      </c>
      <c r="D65" s="659" t="s">
        <v>2661</v>
      </c>
      <c r="E65" s="659" t="s">
        <v>2662</v>
      </c>
      <c r="F65" s="659" t="s">
        <v>2663</v>
      </c>
      <c r="G65" s="659" t="s">
        <v>2664</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2594</v>
      </c>
      <c r="C67" s="577" t="s">
        <v>2582</v>
      </c>
      <c r="D67" s="577" t="s">
        <v>2583</v>
      </c>
      <c r="E67" s="577" t="s">
        <v>2584</v>
      </c>
      <c r="F67" s="577" t="s">
        <v>2585</v>
      </c>
      <c r="G67" s="577" t="s">
        <v>2586</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2714</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2548</v>
      </c>
      <c r="B77" s="527" t="s">
        <v>2601</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2717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2718</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2726</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2727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2728</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2729</v>
      </c>
      <c r="B1" s="394"/>
      <c r="C1" s="395" t="s">
        <v>2730</v>
      </c>
      <c r="D1" s="754"/>
      <c r="E1" s="754"/>
      <c r="F1" s="753" t="s">
        <v>2628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2312</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2314</v>
      </c>
      <c r="B3" s="608" t="e">
        <f>ROUND(IF(D3="",B2*10000/'数据-汇总表'!E3,B2*10000/D3),0)</f>
        <v>#DIV/0!</v>
      </c>
      <c r="C3" s="246" t="s">
        <v>2731</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07" t="s">
        <v>2632</v>
      </c>
      <c r="S4" s="3308"/>
      <c r="T4" s="3307" t="s">
        <v>2633</v>
      </c>
      <c r="U4" s="3308"/>
      <c r="V4" s="3332" t="s">
        <v>2634</v>
      </c>
      <c r="W4" s="3332"/>
      <c r="X4" s="1815"/>
      <c r="Y4" s="3307" t="s">
        <v>2636</v>
      </c>
      <c r="Z4" s="3308"/>
      <c r="AA4" s="3302" t="s">
        <v>2632</v>
      </c>
      <c r="AB4" s="3303" t="s">
        <v>2633</v>
      </c>
      <c r="AC4" s="3302" t="s">
        <v>2634</v>
      </c>
    </row>
    <row r="5" spans="1:30" ht="15">
      <c r="A5" s="403"/>
      <c r="B5" s="404"/>
      <c r="C5" s="3313" t="s">
        <v>2527</v>
      </c>
      <c r="D5" s="3314"/>
      <c r="E5" s="3311" t="s">
        <v>2528</v>
      </c>
      <c r="F5" s="3312"/>
      <c r="G5" s="3313" t="s">
        <v>2529</v>
      </c>
      <c r="H5" s="3314"/>
      <c r="I5" s="3313" t="s">
        <v>2530</v>
      </c>
      <c r="J5" s="3314"/>
      <c r="K5" s="609"/>
      <c r="L5" s="1132"/>
      <c r="M5" s="1133"/>
      <c r="N5" s="1133"/>
      <c r="O5" s="1133"/>
      <c r="P5" s="3326"/>
      <c r="Q5" s="3327"/>
      <c r="R5" s="3309"/>
      <c r="S5" s="3310"/>
      <c r="T5" s="3309"/>
      <c r="U5" s="3310"/>
      <c r="V5" s="3332"/>
      <c r="W5" s="3332"/>
      <c r="X5" s="1815"/>
      <c r="Y5" s="3309"/>
      <c r="Z5" s="3310"/>
      <c r="AA5" s="3303"/>
      <c r="AB5" s="3303"/>
      <c r="AC5" s="3303"/>
    </row>
    <row r="6" spans="1:30" ht="15.75" thickBot="1">
      <c r="A6" s="405"/>
      <c r="B6" s="406"/>
      <c r="C6" s="3315" t="s">
        <v>2531</v>
      </c>
      <c r="D6" s="3316"/>
      <c r="E6" s="3317" t="s">
        <v>2531</v>
      </c>
      <c r="F6" s="3318"/>
      <c r="G6" s="3315" t="s">
        <v>2531</v>
      </c>
      <c r="H6" s="3316"/>
      <c r="I6" s="3315" t="s">
        <v>2531</v>
      </c>
      <c r="J6" s="3316"/>
      <c r="K6" s="609" t="s">
        <v>2532</v>
      </c>
      <c r="L6" s="1132"/>
      <c r="M6" s="1133"/>
      <c r="N6" s="1133"/>
      <c r="O6" s="1133"/>
      <c r="P6" s="3328"/>
      <c r="Q6" s="3329"/>
      <c r="R6" s="3309"/>
      <c r="S6" s="3310"/>
      <c r="T6" s="3330"/>
      <c r="U6" s="3331"/>
      <c r="V6" s="3332"/>
      <c r="W6" s="3332"/>
      <c r="X6" s="1815"/>
      <c r="Y6" s="3330"/>
      <c r="Z6" s="3331"/>
      <c r="AA6" s="3304"/>
      <c r="AB6" s="3304"/>
      <c r="AC6" s="3304"/>
    </row>
    <row r="7" spans="1:30" s="117" customFormat="1" ht="15.75" thickBot="1">
      <c r="A7" s="407" t="s">
        <v>2533</v>
      </c>
      <c r="B7" s="408"/>
      <c r="C7" s="409">
        <f>'数据-取费表'!B2</f>
        <v>43116</v>
      </c>
      <c r="D7" s="410">
        <v>100</v>
      </c>
      <c r="E7" s="411">
        <v>42309</v>
      </c>
      <c r="F7" s="412">
        <f>SUMIF(70:70,YEAR(E7)&amp;"-"&amp;INT((MONTH(E7)+2)/3),71:71)</f>
        <v>0</v>
      </c>
      <c r="G7" s="2697">
        <v>42309</v>
      </c>
      <c r="H7" s="410">
        <f>SUMIF(70:70,YEAR(G7)&amp;"-"&amp;INT((MONTH(G7)+2)/3),71:71)</f>
        <v>0</v>
      </c>
      <c r="I7" s="2697">
        <v>42036</v>
      </c>
      <c r="J7" s="410">
        <f>SUMIF(70:70,YEAR(I7)&amp;"-"&amp;INT((MONTH(I7)+2)/3),71:71)</f>
        <v>0</v>
      </c>
      <c r="K7" s="610"/>
      <c r="L7" s="1134"/>
      <c r="M7" s="1135"/>
      <c r="N7" s="1135"/>
      <c r="O7" s="1135"/>
      <c r="P7" s="3305" t="s">
        <v>2534</v>
      </c>
      <c r="Q7" s="3333"/>
      <c r="R7" s="769" t="s">
        <v>17</v>
      </c>
      <c r="S7" s="770">
        <f t="shared" ref="S7:S15" si="0">F7</f>
        <v>0</v>
      </c>
      <c r="T7" s="769" t="s">
        <v>17</v>
      </c>
      <c r="U7" s="770">
        <f t="shared" ref="U7:U15" si="1">H7</f>
        <v>0</v>
      </c>
      <c r="V7" s="769" t="s">
        <v>17</v>
      </c>
      <c r="W7" s="770">
        <f t="shared" ref="W7:W15" si="2">J7</f>
        <v>0</v>
      </c>
      <c r="X7" s="771"/>
      <c r="Y7" s="3305" t="s">
        <v>2534</v>
      </c>
      <c r="Z7" s="3306"/>
      <c r="AA7" s="772" t="e">
        <f>D7/F7</f>
        <v>#DIV/0!</v>
      </c>
      <c r="AB7" s="772" t="e">
        <f>D7/H7</f>
        <v>#DIV/0!</v>
      </c>
      <c r="AC7" s="772" t="e">
        <f>D7/J7</f>
        <v>#DIV/0!</v>
      </c>
    </row>
    <row r="8" spans="1:30" s="117" customFormat="1" ht="15.75" thickBot="1">
      <c r="A8" s="407" t="s">
        <v>2535</v>
      </c>
      <c r="B8" s="408"/>
      <c r="C8" s="413" t="s">
        <v>2536</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305" t="s">
        <v>2537</v>
      </c>
      <c r="Q8" s="3306"/>
      <c r="R8" s="769" t="s">
        <v>17</v>
      </c>
      <c r="S8" s="770">
        <f t="shared" si="0"/>
        <v>0</v>
      </c>
      <c r="T8" s="769" t="s">
        <v>17</v>
      </c>
      <c r="U8" s="770">
        <f t="shared" si="1"/>
        <v>0</v>
      </c>
      <c r="V8" s="769" t="s">
        <v>17</v>
      </c>
      <c r="W8" s="770">
        <f t="shared" si="2"/>
        <v>0</v>
      </c>
      <c r="X8" s="771"/>
      <c r="Y8" s="3305" t="s">
        <v>2537</v>
      </c>
      <c r="Z8" s="3306"/>
      <c r="AA8" s="772" t="e">
        <f t="shared" ref="AA8:AA45" si="3">D8/F8</f>
        <v>#DIV/0!</v>
      </c>
      <c r="AB8" s="772" t="e">
        <f t="shared" ref="AB8:AB45" si="4">D8/H8</f>
        <v>#DIV/0!</v>
      </c>
      <c r="AC8" s="772" t="e">
        <f t="shared" ref="AC8:AC45" si="5">D8/J8</f>
        <v>#DIV/0!</v>
      </c>
    </row>
    <row r="9" spans="1:30" s="117" customFormat="1">
      <c r="A9" s="414" t="s">
        <v>2538</v>
      </c>
      <c r="B9" s="71" t="s">
        <v>2539</v>
      </c>
      <c r="C9" s="2700"/>
      <c r="D9" s="134">
        <v>100</v>
      </c>
      <c r="E9" s="2700"/>
      <c r="F9" s="134">
        <f>SUMIF(75:75,E9,76:76)-SUMIF(75:75,C9,76:76)+100</f>
        <v>100</v>
      </c>
      <c r="G9" s="2700"/>
      <c r="H9" s="134">
        <f>SUMIF(75:75,G9,76:76)-SUMIF(75:75,C9,76:76)+100</f>
        <v>100</v>
      </c>
      <c r="I9" s="2700"/>
      <c r="J9" s="134">
        <f>SUMIF(75:75,I9,76:76)-SUMIF(75:75,C9,76:76)+100</f>
        <v>100</v>
      </c>
      <c r="K9" s="610"/>
      <c r="L9" s="1134"/>
      <c r="M9" s="1135"/>
      <c r="N9" s="1135"/>
      <c r="O9" s="1136"/>
      <c r="P9" s="3337" t="s">
        <v>2540</v>
      </c>
      <c r="Q9" s="1797" t="str">
        <f t="shared" ref="Q9:Q15" si="6">B9</f>
        <v>用途</v>
      </c>
      <c r="R9" s="769" t="s">
        <v>17</v>
      </c>
      <c r="S9" s="770">
        <f t="shared" si="0"/>
        <v>100</v>
      </c>
      <c r="T9" s="769" t="s">
        <v>17</v>
      </c>
      <c r="U9" s="770">
        <f t="shared" si="1"/>
        <v>100</v>
      </c>
      <c r="V9" s="769" t="s">
        <v>17</v>
      </c>
      <c r="W9" s="770">
        <f t="shared" si="2"/>
        <v>100</v>
      </c>
      <c r="X9" s="771"/>
      <c r="Y9" s="3132" t="s">
        <v>2541</v>
      </c>
      <c r="Z9" s="55" t="str">
        <f t="shared" ref="Z9:Z15" si="7">Q9</f>
        <v>用途</v>
      </c>
      <c r="AA9" s="772">
        <f t="shared" si="3"/>
        <v>1</v>
      </c>
      <c r="AB9" s="772">
        <f t="shared" si="4"/>
        <v>1</v>
      </c>
      <c r="AC9" s="772">
        <f t="shared" si="5"/>
        <v>1</v>
      </c>
    </row>
    <row r="10" spans="1:30" s="426" customFormat="1" ht="27">
      <c r="A10" s="420"/>
      <c r="B10" s="421" t="s">
        <v>2542</v>
      </c>
      <c r="C10" s="431"/>
      <c r="D10" s="135">
        <v>100</v>
      </c>
      <c r="E10" s="464"/>
      <c r="F10" s="135">
        <f>ROUND(100/'数据-取费表'!G16,0)</f>
        <v>111</v>
      </c>
      <c r="G10" s="462"/>
      <c r="H10" s="135">
        <f>ROUND(100/'数据-取费表'!G16,0)</f>
        <v>111</v>
      </c>
      <c r="I10" s="462"/>
      <c r="J10" s="135">
        <f>ROUND(100/'数据-取费表'!G16,0)</f>
        <v>111</v>
      </c>
      <c r="K10" s="671"/>
      <c r="L10" s="1137"/>
      <c r="M10" s="1138"/>
      <c r="N10" s="1138"/>
      <c r="O10" s="1139"/>
      <c r="P10" s="3337"/>
      <c r="Q10" s="1797" t="str">
        <f t="shared" si="6"/>
        <v>土地使用年限（年）</v>
      </c>
      <c r="R10" s="769" t="s">
        <v>17</v>
      </c>
      <c r="S10" s="770">
        <f t="shared" si="0"/>
        <v>111</v>
      </c>
      <c r="T10" s="769" t="s">
        <v>17</v>
      </c>
      <c r="U10" s="770">
        <f t="shared" si="1"/>
        <v>111</v>
      </c>
      <c r="V10" s="769" t="s">
        <v>17</v>
      </c>
      <c r="W10" s="770">
        <f t="shared" si="2"/>
        <v>111</v>
      </c>
      <c r="X10" s="771"/>
      <c r="Y10" s="3132"/>
      <c r="Z10" s="55" t="str">
        <f t="shared" si="7"/>
        <v>土地使用年限（年）</v>
      </c>
      <c r="AA10" s="772">
        <f t="shared" si="3"/>
        <v>0.90090090090090091</v>
      </c>
      <c r="AB10" s="772">
        <f t="shared" si="4"/>
        <v>0.90090090090090091</v>
      </c>
      <c r="AC10" s="772">
        <f t="shared" si="5"/>
        <v>0.90090090090090091</v>
      </c>
    </row>
    <row r="11" spans="1:30" ht="15">
      <c r="A11" s="427"/>
      <c r="B11" s="421" t="s">
        <v>2543</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337"/>
      <c r="Q11" s="1797" t="str">
        <f t="shared" si="6"/>
        <v>容积率</v>
      </c>
      <c r="R11" s="769" t="s">
        <v>17</v>
      </c>
      <c r="S11" s="770" t="e">
        <f t="shared" si="0"/>
        <v>#N/A</v>
      </c>
      <c r="T11" s="769" t="s">
        <v>17</v>
      </c>
      <c r="U11" s="770" t="e">
        <f t="shared" si="1"/>
        <v>#N/A</v>
      </c>
      <c r="V11" s="769" t="s">
        <v>17</v>
      </c>
      <c r="W11" s="770" t="e">
        <f t="shared" si="2"/>
        <v>#N/A</v>
      </c>
      <c r="X11" s="771"/>
      <c r="Y11" s="3132"/>
      <c r="Z11" s="55" t="str">
        <f t="shared" si="7"/>
        <v>容积率</v>
      </c>
      <c r="AA11" s="772" t="e">
        <f t="shared" si="3"/>
        <v>#N/A</v>
      </c>
      <c r="AB11" s="772" t="e">
        <f t="shared" si="4"/>
        <v>#N/A</v>
      </c>
      <c r="AC11" s="772" t="e">
        <f t="shared" si="5"/>
        <v>#N/A</v>
      </c>
    </row>
    <row r="12" spans="1:30" s="117" customFormat="1" ht="15">
      <c r="A12" s="430"/>
      <c r="B12" s="2601" t="s">
        <v>2732</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337"/>
      <c r="Q12" s="1797" t="str">
        <f t="shared" si="6"/>
        <v>配建</v>
      </c>
      <c r="R12" s="769" t="s">
        <v>17</v>
      </c>
      <c r="S12" s="770">
        <f t="shared" si="0"/>
        <v>100</v>
      </c>
      <c r="T12" s="769" t="s">
        <v>17</v>
      </c>
      <c r="U12" s="770">
        <f t="shared" si="1"/>
        <v>100</v>
      </c>
      <c r="V12" s="769" t="s">
        <v>17</v>
      </c>
      <c r="W12" s="770">
        <f t="shared" si="2"/>
        <v>100</v>
      </c>
      <c r="X12" s="771"/>
      <c r="Y12" s="3132"/>
      <c r="Z12" s="55" t="str">
        <f t="shared" si="7"/>
        <v>配建</v>
      </c>
      <c r="AA12" s="772">
        <f>D12/F12</f>
        <v>1</v>
      </c>
      <c r="AB12" s="772">
        <f>D12/H12</f>
        <v>1</v>
      </c>
      <c r="AC12" s="772">
        <f>D12/J12</f>
        <v>1</v>
      </c>
    </row>
    <row r="13" spans="1:30" ht="15">
      <c r="A13" s="427"/>
      <c r="B13" s="2601">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337"/>
      <c r="Q13" s="1797">
        <f t="shared" si="6"/>
        <v>111</v>
      </c>
      <c r="R13" s="769" t="s">
        <v>17</v>
      </c>
      <c r="S13" s="770">
        <f t="shared" si="0"/>
        <v>100</v>
      </c>
      <c r="T13" s="769" t="s">
        <v>17</v>
      </c>
      <c r="U13" s="770">
        <f t="shared" si="1"/>
        <v>100</v>
      </c>
      <c r="V13" s="769" t="s">
        <v>17</v>
      </c>
      <c r="W13" s="770">
        <f t="shared" si="2"/>
        <v>100</v>
      </c>
      <c r="X13" s="771"/>
      <c r="Y13" s="3132"/>
      <c r="Z13" s="55">
        <f t="shared" si="7"/>
        <v>111</v>
      </c>
      <c r="AA13" s="772">
        <f>D13/F13</f>
        <v>1</v>
      </c>
      <c r="AB13" s="772">
        <f>D13/H13</f>
        <v>1</v>
      </c>
      <c r="AC13" s="772">
        <f>D13/J13</f>
        <v>1</v>
      </c>
    </row>
    <row r="14" spans="1:30" ht="15.75" thickBot="1">
      <c r="A14" s="435"/>
      <c r="B14" s="2603">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337"/>
      <c r="Q14" s="1797">
        <f t="shared" si="6"/>
        <v>111</v>
      </c>
      <c r="R14" s="769" t="s">
        <v>17</v>
      </c>
      <c r="S14" s="770">
        <f t="shared" si="0"/>
        <v>100</v>
      </c>
      <c r="T14" s="769" t="s">
        <v>17</v>
      </c>
      <c r="U14" s="770">
        <f t="shared" si="1"/>
        <v>100</v>
      </c>
      <c r="V14" s="769" t="s">
        <v>17</v>
      </c>
      <c r="W14" s="770">
        <f t="shared" si="2"/>
        <v>100</v>
      </c>
      <c r="X14" s="771"/>
      <c r="Y14" s="3132"/>
      <c r="Z14" s="55">
        <f t="shared" si="7"/>
        <v>111</v>
      </c>
      <c r="AA14" s="772">
        <f>D14/F14</f>
        <v>1</v>
      </c>
      <c r="AB14" s="772">
        <f>D14/H14</f>
        <v>1</v>
      </c>
      <c r="AC14" s="772">
        <f>D14/J14</f>
        <v>1</v>
      </c>
    </row>
    <row r="15" spans="1:30" ht="15">
      <c r="A15" s="439" t="s">
        <v>2544</v>
      </c>
      <c r="B15" s="69" t="s">
        <v>2082</v>
      </c>
      <c r="C15" s="2604">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339" t="s">
        <v>2545</v>
      </c>
      <c r="Q15" s="1812" t="str">
        <f t="shared" si="6"/>
        <v>居住社区成熟度</v>
      </c>
      <c r="R15" s="773" t="s">
        <v>17</v>
      </c>
      <c r="S15" s="774">
        <f t="shared" si="0"/>
        <v>100</v>
      </c>
      <c r="T15" s="773" t="s">
        <v>17</v>
      </c>
      <c r="U15" s="774">
        <f t="shared" si="1"/>
        <v>100</v>
      </c>
      <c r="V15" s="773" t="s">
        <v>17</v>
      </c>
      <c r="W15" s="774">
        <f t="shared" si="2"/>
        <v>100</v>
      </c>
      <c r="X15" s="1815"/>
      <c r="Y15" s="3339" t="s">
        <v>2545</v>
      </c>
      <c r="Z15" s="1816" t="str">
        <f t="shared" si="7"/>
        <v>居住社区成熟度</v>
      </c>
      <c r="AA15" s="1813">
        <f t="shared" si="3"/>
        <v>1</v>
      </c>
      <c r="AB15" s="1813">
        <f t="shared" si="4"/>
        <v>1</v>
      </c>
      <c r="AC15" s="1813">
        <f t="shared" si="5"/>
        <v>1</v>
      </c>
    </row>
    <row r="16" spans="1:30" ht="15">
      <c r="A16" s="427"/>
      <c r="B16" s="445"/>
      <c r="C16" s="446"/>
      <c r="D16" s="447"/>
      <c r="E16" s="2606"/>
      <c r="F16" s="447"/>
      <c r="G16" s="2606"/>
      <c r="H16" s="449"/>
      <c r="I16" s="2605"/>
      <c r="J16" s="447"/>
      <c r="K16" s="671"/>
      <c r="L16" s="1142"/>
      <c r="M16" s="1133"/>
      <c r="N16" s="1133"/>
      <c r="O16" s="1141"/>
      <c r="P16" s="3340"/>
      <c r="Q16" s="1812"/>
      <c r="R16" s="773"/>
      <c r="S16" s="774"/>
      <c r="T16" s="773"/>
      <c r="U16" s="774"/>
      <c r="V16" s="773"/>
      <c r="W16" s="774"/>
      <c r="X16" s="1815"/>
      <c r="Y16" s="3340"/>
      <c r="Z16" s="1816"/>
      <c r="AA16" s="1813">
        <v>1</v>
      </c>
      <c r="AB16" s="1813">
        <v>1</v>
      </c>
      <c r="AC16" s="1813">
        <v>1</v>
      </c>
    </row>
    <row r="17" spans="1:29" ht="15">
      <c r="A17" s="427"/>
      <c r="B17" s="450" t="s">
        <v>2638</v>
      </c>
      <c r="C17" s="2665">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340"/>
      <c r="Q17" s="1812" t="str">
        <f>B17</f>
        <v>商业繁华度</v>
      </c>
      <c r="R17" s="773" t="s">
        <v>17</v>
      </c>
      <c r="S17" s="774">
        <f>F17</f>
        <v>100</v>
      </c>
      <c r="T17" s="773" t="s">
        <v>17</v>
      </c>
      <c r="U17" s="774">
        <f>H17</f>
        <v>100</v>
      </c>
      <c r="V17" s="773" t="s">
        <v>17</v>
      </c>
      <c r="W17" s="774">
        <f>J17</f>
        <v>100</v>
      </c>
      <c r="X17" s="1815"/>
      <c r="Y17" s="3340"/>
      <c r="Z17" s="1816" t="str">
        <f>Q17</f>
        <v>商业繁华度</v>
      </c>
      <c r="AA17" s="1813">
        <f t="shared" si="3"/>
        <v>1</v>
      </c>
      <c r="AB17" s="1813">
        <f t="shared" si="4"/>
        <v>1</v>
      </c>
      <c r="AC17" s="1813">
        <f t="shared" si="5"/>
        <v>1</v>
      </c>
    </row>
    <row r="18" spans="1:29" ht="15">
      <c r="A18" s="427"/>
      <c r="B18" s="455"/>
      <c r="C18" s="2609"/>
      <c r="D18" s="449"/>
      <c r="E18" s="2611"/>
      <c r="F18" s="449"/>
      <c r="G18" s="2611"/>
      <c r="H18" s="447"/>
      <c r="I18" s="2610"/>
      <c r="J18" s="447"/>
      <c r="K18" s="671"/>
      <c r="L18" s="1142"/>
      <c r="M18" s="1133"/>
      <c r="N18" s="1133"/>
      <c r="O18" s="1141"/>
      <c r="P18" s="3340"/>
      <c r="Q18" s="1812"/>
      <c r="R18" s="773"/>
      <c r="S18" s="774"/>
      <c r="T18" s="773"/>
      <c r="U18" s="774"/>
      <c r="V18" s="773"/>
      <c r="W18" s="774"/>
      <c r="X18" s="1815"/>
      <c r="Y18" s="3340"/>
      <c r="Z18" s="1816"/>
      <c r="AA18" s="1813">
        <v>1</v>
      </c>
      <c r="AB18" s="1813">
        <v>1</v>
      </c>
      <c r="AC18" s="1813">
        <v>1</v>
      </c>
    </row>
    <row r="19" spans="1:29" ht="15">
      <c r="A19" s="427"/>
      <c r="B19" s="450" t="s">
        <v>2672</v>
      </c>
      <c r="C19" s="2665">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340"/>
      <c r="Q19" s="1812" t="str">
        <f>B19</f>
        <v>办公集聚程度</v>
      </c>
      <c r="R19" s="773" t="s">
        <v>17</v>
      </c>
      <c r="S19" s="774">
        <f>F19</f>
        <v>100</v>
      </c>
      <c r="T19" s="773" t="s">
        <v>17</v>
      </c>
      <c r="U19" s="774">
        <f>H19</f>
        <v>100</v>
      </c>
      <c r="V19" s="773" t="s">
        <v>17</v>
      </c>
      <c r="W19" s="774">
        <f>J19</f>
        <v>100</v>
      </c>
      <c r="X19" s="1815"/>
      <c r="Y19" s="3340"/>
      <c r="Z19" s="1816" t="str">
        <f>Q19</f>
        <v>办公集聚程度</v>
      </c>
      <c r="AA19" s="1813">
        <f t="shared" si="3"/>
        <v>1</v>
      </c>
      <c r="AB19" s="1813">
        <f t="shared" si="4"/>
        <v>1</v>
      </c>
      <c r="AC19" s="1813">
        <f t="shared" si="5"/>
        <v>1</v>
      </c>
    </row>
    <row r="20" spans="1:29" ht="15">
      <c r="A20" s="427"/>
      <c r="B20" s="455"/>
      <c r="C20" s="446"/>
      <c r="D20" s="447"/>
      <c r="E20" s="2606"/>
      <c r="F20" s="447"/>
      <c r="G20" s="2606"/>
      <c r="H20" s="447"/>
      <c r="I20" s="2605"/>
      <c r="J20" s="447"/>
      <c r="K20" s="671"/>
      <c r="L20" s="1142"/>
      <c r="M20" s="1133"/>
      <c r="N20" s="1133"/>
      <c r="O20" s="1141"/>
      <c r="P20" s="3340"/>
      <c r="Q20" s="1812"/>
      <c r="R20" s="773"/>
      <c r="S20" s="774"/>
      <c r="T20" s="773"/>
      <c r="U20" s="774"/>
      <c r="V20" s="773"/>
      <c r="W20" s="774"/>
      <c r="X20" s="1815"/>
      <c r="Y20" s="3340"/>
      <c r="Z20" s="1816"/>
      <c r="AA20" s="1813">
        <v>1</v>
      </c>
      <c r="AB20" s="1813">
        <v>1</v>
      </c>
      <c r="AC20" s="1813">
        <v>1</v>
      </c>
    </row>
    <row r="21" spans="1:29" ht="15">
      <c r="A21" s="427"/>
      <c r="B21" s="450" t="s">
        <v>2694</v>
      </c>
      <c r="C21" s="2608">
        <f>估价对象房地状况!C18</f>
        <v>0</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340"/>
      <c r="Q21" s="1812" t="str">
        <f>B21</f>
        <v>交通便捷度</v>
      </c>
      <c r="R21" s="773" t="s">
        <v>17</v>
      </c>
      <c r="S21" s="774">
        <f>F21</f>
        <v>100</v>
      </c>
      <c r="T21" s="773" t="s">
        <v>17</v>
      </c>
      <c r="U21" s="774">
        <f>H21</f>
        <v>100</v>
      </c>
      <c r="V21" s="773" t="s">
        <v>17</v>
      </c>
      <c r="W21" s="774">
        <f>J21</f>
        <v>100</v>
      </c>
      <c r="X21" s="1815"/>
      <c r="Y21" s="3340"/>
      <c r="Z21" s="1816" t="str">
        <f>Q21</f>
        <v>交通便捷度</v>
      </c>
      <c r="AA21" s="1813">
        <f t="shared" si="3"/>
        <v>1</v>
      </c>
      <c r="AB21" s="1813">
        <f t="shared" si="4"/>
        <v>1</v>
      </c>
      <c r="AC21" s="1813">
        <f t="shared" si="5"/>
        <v>1</v>
      </c>
    </row>
    <row r="22" spans="1:29" ht="15">
      <c r="A22" s="427"/>
      <c r="B22" s="1386"/>
      <c r="C22" s="446"/>
      <c r="D22" s="449"/>
      <c r="E22" s="2606"/>
      <c r="F22" s="447"/>
      <c r="G22" s="2606"/>
      <c r="H22" s="447"/>
      <c r="I22" s="2605"/>
      <c r="J22" s="447"/>
      <c r="K22" s="671"/>
      <c r="L22" s="1142"/>
      <c r="M22" s="1133"/>
      <c r="N22" s="1133"/>
      <c r="O22" s="1141"/>
      <c r="P22" s="3340"/>
      <c r="Q22" s="1812"/>
      <c r="R22" s="773"/>
      <c r="S22" s="774"/>
      <c r="T22" s="773"/>
      <c r="U22" s="774"/>
      <c r="V22" s="773"/>
      <c r="W22" s="774"/>
      <c r="X22" s="1815"/>
      <c r="Y22" s="3340"/>
      <c r="Z22" s="1816"/>
      <c r="AA22" s="1813">
        <v>1</v>
      </c>
      <c r="AB22" s="1813">
        <v>1</v>
      </c>
      <c r="AC22" s="1813">
        <v>1</v>
      </c>
    </row>
    <row r="23" spans="1:29" ht="15">
      <c r="A23" s="403"/>
      <c r="B23" s="450" t="s">
        <v>2733</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340"/>
      <c r="Q23" s="1812" t="str">
        <f t="shared" ref="Q23:Q37" si="8">B23</f>
        <v>区域土地利用方向</v>
      </c>
      <c r="R23" s="773" t="s">
        <v>17</v>
      </c>
      <c r="S23" s="774">
        <f>F23</f>
        <v>100</v>
      </c>
      <c r="T23" s="773" t="s">
        <v>17</v>
      </c>
      <c r="U23" s="774">
        <f>H23</f>
        <v>100</v>
      </c>
      <c r="V23" s="773" t="s">
        <v>17</v>
      </c>
      <c r="W23" s="774">
        <f>J23</f>
        <v>100</v>
      </c>
      <c r="X23" s="1815"/>
      <c r="Y23" s="3340"/>
      <c r="Z23" s="1816" t="str">
        <f>Q23</f>
        <v>区域土地利用方向</v>
      </c>
      <c r="AA23" s="1813">
        <f t="shared" si="3"/>
        <v>1</v>
      </c>
      <c r="AB23" s="1813">
        <f t="shared" si="4"/>
        <v>1</v>
      </c>
      <c r="AC23" s="1813">
        <f t="shared" si="5"/>
        <v>1</v>
      </c>
    </row>
    <row r="24" spans="1:29" ht="15">
      <c r="A24" s="403"/>
      <c r="B24" s="455"/>
      <c r="C24" s="615"/>
      <c r="D24" s="447"/>
      <c r="E24" s="2606"/>
      <c r="F24" s="447"/>
      <c r="G24" s="2605"/>
      <c r="H24" s="447"/>
      <c r="I24" s="2605"/>
      <c r="J24" s="447"/>
      <c r="K24" s="811"/>
      <c r="L24" s="1142"/>
      <c r="M24" s="1133"/>
      <c r="N24" s="1133"/>
      <c r="O24" s="1141"/>
      <c r="P24" s="3340"/>
      <c r="Q24" s="1812"/>
      <c r="R24" s="773"/>
      <c r="S24" s="774"/>
      <c r="T24" s="773"/>
      <c r="U24" s="774"/>
      <c r="V24" s="773"/>
      <c r="W24" s="774"/>
      <c r="X24" s="1815"/>
      <c r="Y24" s="3340"/>
      <c r="Z24" s="1816"/>
      <c r="AA24" s="1813"/>
      <c r="AB24" s="1813"/>
      <c r="AC24" s="1813"/>
    </row>
    <row r="25" spans="1:29" ht="27">
      <c r="A25" s="403"/>
      <c r="B25" s="1386" t="s">
        <v>2734</v>
      </c>
      <c r="C25" s="2665">
        <f>估价对象房地状况!C20</f>
        <v>0</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340"/>
      <c r="Q25" s="1812" t="str">
        <f t="shared" si="8"/>
        <v>自然及人文环境状况</v>
      </c>
      <c r="R25" s="773" t="s">
        <v>17</v>
      </c>
      <c r="S25" s="774">
        <f>F25</f>
        <v>100</v>
      </c>
      <c r="T25" s="773" t="s">
        <v>17</v>
      </c>
      <c r="U25" s="774">
        <f>H25</f>
        <v>100</v>
      </c>
      <c r="V25" s="773" t="s">
        <v>17</v>
      </c>
      <c r="W25" s="774">
        <f>J25</f>
        <v>100</v>
      </c>
      <c r="X25" s="1815"/>
      <c r="Y25" s="3340"/>
      <c r="Z25" s="1816" t="str">
        <f>Q25</f>
        <v>自然及人文环境状况</v>
      </c>
      <c r="AA25" s="1813">
        <f t="shared" si="3"/>
        <v>1</v>
      </c>
      <c r="AB25" s="1813">
        <f t="shared" si="4"/>
        <v>1</v>
      </c>
      <c r="AC25" s="1813">
        <f t="shared" si="5"/>
        <v>1</v>
      </c>
    </row>
    <row r="26" spans="1:29" ht="15">
      <c r="A26" s="403"/>
      <c r="B26" s="455"/>
      <c r="C26" s="446"/>
      <c r="D26" s="447"/>
      <c r="E26" s="2612"/>
      <c r="F26" s="447"/>
      <c r="G26" s="2612"/>
      <c r="H26" s="447"/>
      <c r="I26" s="446"/>
      <c r="J26" s="447"/>
      <c r="K26" s="671"/>
      <c r="L26" s="1142"/>
      <c r="M26" s="1133"/>
      <c r="N26" s="1133"/>
      <c r="O26" s="1141"/>
      <c r="P26" s="3340"/>
      <c r="Q26" s="1812"/>
      <c r="R26" s="773"/>
      <c r="S26" s="774"/>
      <c r="T26" s="773"/>
      <c r="U26" s="774"/>
      <c r="V26" s="773"/>
      <c r="W26" s="774"/>
      <c r="X26" s="1815"/>
      <c r="Y26" s="3340"/>
      <c r="Z26" s="1816"/>
      <c r="AA26" s="1813">
        <v>1</v>
      </c>
      <c r="AB26" s="1813">
        <v>1</v>
      </c>
      <c r="AC26" s="1813">
        <v>1</v>
      </c>
    </row>
    <row r="27" spans="1:29" s="117" customFormat="1" ht="15">
      <c r="A27" s="648"/>
      <c r="B27" s="1386" t="s">
        <v>2639</v>
      </c>
      <c r="C27" s="2608">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340"/>
      <c r="Q27" s="1797" t="str">
        <f t="shared" si="8"/>
        <v>公共配套设施</v>
      </c>
      <c r="R27" s="769" t="s">
        <v>17</v>
      </c>
      <c r="S27" s="770">
        <f>F27</f>
        <v>100</v>
      </c>
      <c r="T27" s="769" t="s">
        <v>17</v>
      </c>
      <c r="U27" s="770">
        <f>H27</f>
        <v>100</v>
      </c>
      <c r="V27" s="769" t="s">
        <v>17</v>
      </c>
      <c r="W27" s="770">
        <f>J27</f>
        <v>100</v>
      </c>
      <c r="X27" s="771"/>
      <c r="Y27" s="3340"/>
      <c r="Z27" s="55" t="str">
        <f>Q27</f>
        <v>公共配套设施</v>
      </c>
      <c r="AA27" s="1813">
        <f>D27/F27</f>
        <v>1</v>
      </c>
      <c r="AB27" s="1813">
        <f>D27/H27</f>
        <v>1</v>
      </c>
      <c r="AC27" s="1813">
        <f>D27/J27</f>
        <v>1</v>
      </c>
    </row>
    <row r="28" spans="1:29" s="117" customFormat="1" ht="15">
      <c r="A28" s="648"/>
      <c r="B28" s="455"/>
      <c r="C28" s="2701"/>
      <c r="D28" s="447"/>
      <c r="E28" s="2612"/>
      <c r="F28" s="447"/>
      <c r="G28" s="2612"/>
      <c r="H28" s="447"/>
      <c r="I28" s="446"/>
      <c r="J28" s="447"/>
      <c r="K28" s="671"/>
      <c r="L28" s="1134"/>
      <c r="M28" s="1135"/>
      <c r="N28" s="1135"/>
      <c r="O28" s="1136"/>
      <c r="P28" s="3340"/>
      <c r="Q28" s="1797"/>
      <c r="R28" s="769"/>
      <c r="S28" s="770"/>
      <c r="T28" s="769"/>
      <c r="U28" s="770"/>
      <c r="V28" s="769"/>
      <c r="W28" s="770"/>
      <c r="X28" s="771"/>
      <c r="Y28" s="3340"/>
      <c r="Z28" s="55"/>
      <c r="AA28" s="1813">
        <v>1</v>
      </c>
      <c r="AB28" s="1813">
        <v>1</v>
      </c>
      <c r="AC28" s="1813">
        <v>1</v>
      </c>
    </row>
    <row r="29" spans="1:29" s="117" customFormat="1" ht="15">
      <c r="A29" s="648"/>
      <c r="B29" s="1386" t="s">
        <v>2640</v>
      </c>
      <c r="C29" s="2608">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340"/>
      <c r="Q29" s="1797" t="str">
        <f t="shared" ref="Q29" si="9">B29</f>
        <v>基础设施水平</v>
      </c>
      <c r="R29" s="769" t="s">
        <v>17</v>
      </c>
      <c r="S29" s="770">
        <f>F29</f>
        <v>100</v>
      </c>
      <c r="T29" s="769" t="s">
        <v>17</v>
      </c>
      <c r="U29" s="770">
        <f>H29</f>
        <v>100</v>
      </c>
      <c r="V29" s="769" t="s">
        <v>17</v>
      </c>
      <c r="W29" s="770">
        <f>J29</f>
        <v>100</v>
      </c>
      <c r="X29" s="771"/>
      <c r="Y29" s="3340"/>
      <c r="Z29" s="55" t="str">
        <f>Q29</f>
        <v>基础设施水平</v>
      </c>
      <c r="AA29" s="1813">
        <f>D29/F29</f>
        <v>1</v>
      </c>
      <c r="AB29" s="1813">
        <f>D29/H29</f>
        <v>1</v>
      </c>
      <c r="AC29" s="1813">
        <f>D29/J29</f>
        <v>1</v>
      </c>
    </row>
    <row r="30" spans="1:29" s="117" customFormat="1" ht="15">
      <c r="A30" s="648"/>
      <c r="B30" s="455"/>
      <c r="C30" s="2701"/>
      <c r="D30" s="447"/>
      <c r="E30" s="2702"/>
      <c r="F30" s="447"/>
      <c r="G30" s="2702"/>
      <c r="H30" s="447"/>
      <c r="I30" s="2702"/>
      <c r="J30" s="447"/>
      <c r="K30" s="671"/>
      <c r="L30" s="1134"/>
      <c r="M30" s="1135"/>
      <c r="N30" s="1135"/>
      <c r="O30" s="1136"/>
      <c r="P30" s="3340"/>
      <c r="Q30" s="1797"/>
      <c r="R30" s="769"/>
      <c r="S30" s="770"/>
      <c r="T30" s="769"/>
      <c r="U30" s="770"/>
      <c r="V30" s="769"/>
      <c r="W30" s="770"/>
      <c r="X30" s="771"/>
      <c r="Y30" s="3340"/>
      <c r="Z30" s="55"/>
      <c r="AA30" s="1813">
        <v>1</v>
      </c>
      <c r="AB30" s="1813">
        <v>1</v>
      </c>
      <c r="AC30" s="1813">
        <v>1</v>
      </c>
    </row>
    <row r="31" spans="1:29" ht="15">
      <c r="A31" s="427"/>
      <c r="B31" s="455" t="s">
        <v>2641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340"/>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340"/>
      <c r="Z31" s="1816" t="str">
        <f t="shared" ref="Z31:Z45" si="13">Q31</f>
        <v>临街状况</v>
      </c>
      <c r="AA31" s="1813">
        <f t="shared" si="3"/>
        <v>1</v>
      </c>
      <c r="AB31" s="1813">
        <f t="shared" si="4"/>
        <v>1</v>
      </c>
      <c r="AC31" s="1813">
        <f t="shared" si="5"/>
        <v>1</v>
      </c>
    </row>
    <row r="32" spans="1:29" ht="27">
      <c r="A32" s="427"/>
      <c r="B32" s="1386" t="s">
        <v>2676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340"/>
      <c r="Q32" s="1812" t="str">
        <f t="shared" si="8"/>
        <v>毗邻道路的类型与等级</v>
      </c>
      <c r="R32" s="773" t="s">
        <v>17</v>
      </c>
      <c r="S32" s="774">
        <f t="shared" si="10"/>
        <v>100</v>
      </c>
      <c r="T32" s="773" t="s">
        <v>17</v>
      </c>
      <c r="U32" s="774">
        <f t="shared" si="11"/>
        <v>100</v>
      </c>
      <c r="V32" s="773" t="s">
        <v>17</v>
      </c>
      <c r="W32" s="774">
        <f t="shared" si="12"/>
        <v>100</v>
      </c>
      <c r="X32" s="1815"/>
      <c r="Y32" s="3340"/>
      <c r="Z32" s="1816" t="str">
        <f t="shared" si="13"/>
        <v>毗邻道路的类型与等级</v>
      </c>
      <c r="AA32" s="1813">
        <f t="shared" si="3"/>
        <v>1</v>
      </c>
      <c r="AB32" s="1813">
        <f t="shared" si="4"/>
        <v>1</v>
      </c>
      <c r="AC32" s="1813">
        <f t="shared" si="5"/>
        <v>1</v>
      </c>
    </row>
    <row r="33" spans="1:29" ht="15">
      <c r="A33" s="427"/>
      <c r="B33" s="455"/>
      <c r="C33" s="446"/>
      <c r="D33" s="447"/>
      <c r="E33" s="2612"/>
      <c r="F33" s="447"/>
      <c r="G33" s="2612"/>
      <c r="H33" s="447"/>
      <c r="I33" s="446"/>
      <c r="J33" s="447"/>
      <c r="K33" s="612"/>
      <c r="L33" s="1142"/>
      <c r="M33" s="1133"/>
      <c r="N33" s="1133"/>
      <c r="O33" s="1141"/>
      <c r="P33" s="3340"/>
      <c r="Q33" s="1812"/>
      <c r="R33" s="773"/>
      <c r="S33" s="774"/>
      <c r="T33" s="773"/>
      <c r="U33" s="774"/>
      <c r="V33" s="773"/>
      <c r="W33" s="774"/>
      <c r="X33" s="1815"/>
      <c r="Y33" s="3340"/>
      <c r="Z33" s="1816"/>
      <c r="AA33" s="1813">
        <v>1</v>
      </c>
      <c r="AB33" s="1813">
        <v>1</v>
      </c>
      <c r="AC33" s="1813">
        <v>1</v>
      </c>
    </row>
    <row r="34" spans="1:29" ht="15">
      <c r="A34" s="427"/>
      <c r="B34" s="421" t="s">
        <v>2735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340"/>
      <c r="Q34" s="1812" t="str">
        <f t="shared" si="8"/>
        <v>土地级别</v>
      </c>
      <c r="R34" s="773" t="s">
        <v>17</v>
      </c>
      <c r="S34" s="774">
        <f t="shared" si="10"/>
        <v>100</v>
      </c>
      <c r="T34" s="773" t="s">
        <v>17</v>
      </c>
      <c r="U34" s="774">
        <f t="shared" si="11"/>
        <v>100</v>
      </c>
      <c r="V34" s="773" t="s">
        <v>17</v>
      </c>
      <c r="W34" s="774">
        <f t="shared" si="12"/>
        <v>100</v>
      </c>
      <c r="X34" s="1815"/>
      <c r="Y34" s="3340"/>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340"/>
      <c r="Q35" s="1812">
        <f t="shared" si="8"/>
        <v>111</v>
      </c>
      <c r="R35" s="773" t="s">
        <v>17</v>
      </c>
      <c r="S35" s="774">
        <f t="shared" si="10"/>
        <v>100</v>
      </c>
      <c r="T35" s="773" t="s">
        <v>17</v>
      </c>
      <c r="U35" s="774">
        <f t="shared" si="11"/>
        <v>100</v>
      </c>
      <c r="V35" s="773" t="s">
        <v>17</v>
      </c>
      <c r="W35" s="774">
        <f t="shared" si="12"/>
        <v>100</v>
      </c>
      <c r="X35" s="1815"/>
      <c r="Y35" s="3340"/>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363" t="s">
        <v>2550</v>
      </c>
      <c r="Q36" s="1812">
        <f t="shared" si="8"/>
        <v>111</v>
      </c>
      <c r="R36" s="773" t="s">
        <v>17</v>
      </c>
      <c r="S36" s="774">
        <f t="shared" si="10"/>
        <v>100</v>
      </c>
      <c r="T36" s="773" t="s">
        <v>17</v>
      </c>
      <c r="U36" s="774">
        <f t="shared" si="11"/>
        <v>100</v>
      </c>
      <c r="V36" s="773" t="s">
        <v>17</v>
      </c>
      <c r="W36" s="774">
        <f t="shared" si="12"/>
        <v>100</v>
      </c>
      <c r="X36" s="1815"/>
      <c r="Y36" s="3344" t="s">
        <v>2550</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344"/>
      <c r="Q37" s="1812">
        <f t="shared" si="8"/>
        <v>111</v>
      </c>
      <c r="R37" s="776" t="s">
        <v>17</v>
      </c>
      <c r="S37" s="777">
        <f t="shared" si="10"/>
        <v>100</v>
      </c>
      <c r="T37" s="776" t="s">
        <v>17</v>
      </c>
      <c r="U37" s="777">
        <f t="shared" si="11"/>
        <v>100</v>
      </c>
      <c r="V37" s="776" t="s">
        <v>17</v>
      </c>
      <c r="W37" s="777">
        <f t="shared" si="12"/>
        <v>100</v>
      </c>
      <c r="X37" s="778"/>
      <c r="Y37" s="3344"/>
      <c r="Z37" s="779">
        <f t="shared" si="13"/>
        <v>111</v>
      </c>
      <c r="AA37" s="1813">
        <f t="shared" si="3"/>
        <v>1</v>
      </c>
      <c r="AB37" s="1813">
        <f t="shared" si="4"/>
        <v>1</v>
      </c>
      <c r="AC37" s="1813">
        <f t="shared" si="5"/>
        <v>1</v>
      </c>
    </row>
    <row r="38" spans="1:29" ht="15">
      <c r="A38" s="471" t="s">
        <v>2548</v>
      </c>
      <c r="B38" s="455" t="s">
        <v>2736</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344"/>
      <c r="Q38" s="1812" t="str">
        <f>B38</f>
        <v>宗地面积</v>
      </c>
      <c r="R38" s="773" t="s">
        <v>17</v>
      </c>
      <c r="S38" s="774" t="e">
        <f t="shared" si="10"/>
        <v>#N/A</v>
      </c>
      <c r="T38" s="773" t="s">
        <v>17</v>
      </c>
      <c r="U38" s="774" t="e">
        <f t="shared" si="11"/>
        <v>#N/A</v>
      </c>
      <c r="V38" s="773" t="s">
        <v>17</v>
      </c>
      <c r="W38" s="774" t="e">
        <f t="shared" si="12"/>
        <v>#N/A</v>
      </c>
      <c r="X38" s="1815"/>
      <c r="Y38" s="3344"/>
      <c r="Z38" s="1816" t="str">
        <f t="shared" si="13"/>
        <v>宗地面积</v>
      </c>
      <c r="AA38" s="1813" t="e">
        <f t="shared" si="3"/>
        <v>#N/A</v>
      </c>
      <c r="AB38" s="1813" t="e">
        <f t="shared" si="4"/>
        <v>#N/A</v>
      </c>
      <c r="AC38" s="1813" t="e">
        <f t="shared" si="5"/>
        <v>#N/A</v>
      </c>
    </row>
    <row r="39" spans="1:29" ht="15">
      <c r="A39" s="471"/>
      <c r="B39" s="421" t="s">
        <v>2737</v>
      </c>
      <c r="C39" s="2614"/>
      <c r="D39" s="434">
        <v>100</v>
      </c>
      <c r="E39" s="2614"/>
      <c r="F39" s="434">
        <f>SUMIF(119:119,E39,120:120)-SUMIF(119:119,C39,120:120)+100</f>
        <v>100</v>
      </c>
      <c r="G39" s="2614"/>
      <c r="H39" s="434">
        <f>SUMIF(119:119,G39,120:120)-SUMIF(119:119,C39,120:120)+100</f>
        <v>100</v>
      </c>
      <c r="I39" s="2614"/>
      <c r="J39" s="434">
        <f>SUMIF(119:119,I39,120:120)-SUMIF(119:119,C39,120:120)+100</f>
        <v>100</v>
      </c>
      <c r="K39" s="611"/>
      <c r="L39" s="1142"/>
      <c r="M39" s="1133"/>
      <c r="N39" s="1133"/>
      <c r="O39" s="1141"/>
      <c r="P39" s="3344"/>
      <c r="Q39" s="1812" t="str">
        <f t="shared" ref="Q39:Q45" si="14">B39</f>
        <v>宗地形状</v>
      </c>
      <c r="R39" s="773" t="s">
        <v>17</v>
      </c>
      <c r="S39" s="774">
        <f t="shared" si="10"/>
        <v>100</v>
      </c>
      <c r="T39" s="773" t="s">
        <v>17</v>
      </c>
      <c r="U39" s="774">
        <f t="shared" si="11"/>
        <v>100</v>
      </c>
      <c r="V39" s="773" t="s">
        <v>17</v>
      </c>
      <c r="W39" s="774">
        <f t="shared" si="12"/>
        <v>100</v>
      </c>
      <c r="X39" s="1815"/>
      <c r="Y39" s="3344"/>
      <c r="Z39" s="1816" t="str">
        <f t="shared" si="13"/>
        <v>宗地形状</v>
      </c>
      <c r="AA39" s="1813">
        <f t="shared" si="3"/>
        <v>1</v>
      </c>
      <c r="AB39" s="1813">
        <f t="shared" si="4"/>
        <v>1</v>
      </c>
      <c r="AC39" s="1813">
        <f t="shared" si="5"/>
        <v>1</v>
      </c>
    </row>
    <row r="40" spans="1:29" ht="15">
      <c r="A40" s="471"/>
      <c r="B40" s="421" t="s">
        <v>2738</v>
      </c>
      <c r="C40" s="2614"/>
      <c r="D40" s="434">
        <v>100</v>
      </c>
      <c r="E40" s="2614"/>
      <c r="F40" s="434">
        <f>SUMIF(121:121,E40,122:122)-SUMIF(121:121,C40,122:122)+100</f>
        <v>100</v>
      </c>
      <c r="G40" s="2614"/>
      <c r="H40" s="434">
        <f>SUMIF(121:121,G40,122:122)-SUMIF(121:121,C40,122:122)+100</f>
        <v>100</v>
      </c>
      <c r="I40" s="2614"/>
      <c r="J40" s="434">
        <f>SUMIF(121:121,I40,122:122)-SUMIF(121:121,C40,122:122)+100</f>
        <v>100</v>
      </c>
      <c r="K40" s="611"/>
      <c r="L40" s="1142"/>
      <c r="M40" s="1133"/>
      <c r="N40" s="1133"/>
      <c r="O40" s="1141"/>
      <c r="P40" s="3344"/>
      <c r="Q40" s="1812" t="str">
        <f t="shared" si="14"/>
        <v>临街宽度及深度</v>
      </c>
      <c r="R40" s="773" t="s">
        <v>17</v>
      </c>
      <c r="S40" s="774">
        <f t="shared" si="10"/>
        <v>100</v>
      </c>
      <c r="T40" s="773" t="s">
        <v>17</v>
      </c>
      <c r="U40" s="774">
        <f t="shared" si="11"/>
        <v>100</v>
      </c>
      <c r="V40" s="773" t="s">
        <v>17</v>
      </c>
      <c r="W40" s="774">
        <f t="shared" si="12"/>
        <v>100</v>
      </c>
      <c r="X40" s="1815"/>
      <c r="Y40" s="3344"/>
      <c r="Z40" s="1816" t="str">
        <f t="shared" si="13"/>
        <v>临街宽度及深度</v>
      </c>
      <c r="AA40" s="1813">
        <f t="shared" si="3"/>
        <v>1</v>
      </c>
      <c r="AB40" s="1813">
        <f t="shared" si="4"/>
        <v>1</v>
      </c>
      <c r="AC40" s="1813">
        <f t="shared" si="5"/>
        <v>1</v>
      </c>
    </row>
    <row r="41" spans="1:29" s="117" customFormat="1" ht="15">
      <c r="A41" s="472"/>
      <c r="B41" s="421" t="s">
        <v>2739</v>
      </c>
      <c r="C41" s="2703"/>
      <c r="D41" s="135">
        <v>100</v>
      </c>
      <c r="E41" s="2703"/>
      <c r="F41" s="434">
        <f>SUMIF(123:123,E41,124:124)-SUMIF(123:123,C41,124:124)+100</f>
        <v>100</v>
      </c>
      <c r="G41" s="2703"/>
      <c r="H41" s="434">
        <f>SUMIF(123:123,G41,124:124)-SUMIF(123:123,C41,124:124)+100</f>
        <v>100</v>
      </c>
      <c r="I41" s="2703"/>
      <c r="J41" s="434">
        <f>SUMIF(123:123,I41,124:124)-SUMIF(123:123,C41,124:124)+100</f>
        <v>100</v>
      </c>
      <c r="K41" s="611"/>
      <c r="L41" s="1134"/>
      <c r="M41" s="1135"/>
      <c r="N41" s="1135"/>
      <c r="O41" s="1136"/>
      <c r="P41" s="3344"/>
      <c r="Q41" s="1812" t="str">
        <f t="shared" si="14"/>
        <v>宗地开发程度</v>
      </c>
      <c r="R41" s="769" t="s">
        <v>17</v>
      </c>
      <c r="S41" s="770">
        <f t="shared" si="10"/>
        <v>100</v>
      </c>
      <c r="T41" s="769" t="s">
        <v>17</v>
      </c>
      <c r="U41" s="770">
        <f t="shared" si="11"/>
        <v>100</v>
      </c>
      <c r="V41" s="769" t="s">
        <v>17</v>
      </c>
      <c r="W41" s="770">
        <f t="shared" si="12"/>
        <v>100</v>
      </c>
      <c r="X41" s="771"/>
      <c r="Y41" s="3344"/>
      <c r="Z41" s="55" t="str">
        <f t="shared" si="13"/>
        <v>宗地开发程度</v>
      </c>
      <c r="AA41" s="772">
        <f t="shared" si="3"/>
        <v>1</v>
      </c>
      <c r="AB41" s="772">
        <f t="shared" si="4"/>
        <v>1</v>
      </c>
      <c r="AC41" s="772">
        <f t="shared" si="5"/>
        <v>1</v>
      </c>
    </row>
    <row r="42" spans="1:29" ht="15">
      <c r="A42" s="471"/>
      <c r="B42" s="421" t="s">
        <v>2740</v>
      </c>
      <c r="C42" s="2614"/>
      <c r="D42" s="434">
        <v>100</v>
      </c>
      <c r="E42" s="2614"/>
      <c r="F42" s="434">
        <f>SUMIF(125:125,E42,126:126)-SUMIF(125:125,C42,126:126)+100</f>
        <v>100</v>
      </c>
      <c r="G42" s="2614"/>
      <c r="H42" s="434">
        <f>SUMIF(125:125,G42,126:126)-SUMIF(125:125,C42,126:126)+100</f>
        <v>100</v>
      </c>
      <c r="I42" s="2614"/>
      <c r="J42" s="434">
        <f>SUMIF(125:125,I42,126:126)-SUMIF(125:125,C42,126:126)+100</f>
        <v>100</v>
      </c>
      <c r="K42" s="611"/>
      <c r="L42" s="1142"/>
      <c r="M42" s="1133"/>
      <c r="N42" s="1133"/>
      <c r="O42" s="1141"/>
      <c r="P42" s="3344" t="s">
        <v>2550</v>
      </c>
      <c r="Q42" s="1812" t="str">
        <f t="shared" si="14"/>
        <v>工程地质条件</v>
      </c>
      <c r="R42" s="773" t="s">
        <v>17</v>
      </c>
      <c r="S42" s="774">
        <f t="shared" si="10"/>
        <v>100</v>
      </c>
      <c r="T42" s="773" t="s">
        <v>17</v>
      </c>
      <c r="U42" s="774">
        <f t="shared" si="11"/>
        <v>100</v>
      </c>
      <c r="V42" s="773" t="s">
        <v>17</v>
      </c>
      <c r="W42" s="774">
        <f t="shared" si="12"/>
        <v>100</v>
      </c>
      <c r="X42" s="1815"/>
      <c r="Y42" s="3344" t="s">
        <v>2550</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344"/>
      <c r="Q43" s="1812">
        <f t="shared" si="14"/>
        <v>111</v>
      </c>
      <c r="R43" s="773" t="s">
        <v>17</v>
      </c>
      <c r="S43" s="774">
        <f t="shared" si="10"/>
        <v>100</v>
      </c>
      <c r="T43" s="773" t="s">
        <v>17</v>
      </c>
      <c r="U43" s="774">
        <f t="shared" si="11"/>
        <v>100</v>
      </c>
      <c r="V43" s="773" t="s">
        <v>17</v>
      </c>
      <c r="W43" s="774">
        <f t="shared" si="12"/>
        <v>100</v>
      </c>
      <c r="X43" s="1815"/>
      <c r="Y43" s="3344"/>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344"/>
      <c r="Q44" s="1812">
        <f t="shared" si="14"/>
        <v>111</v>
      </c>
      <c r="R44" s="773" t="s">
        <v>17</v>
      </c>
      <c r="S44" s="774">
        <f t="shared" si="10"/>
        <v>100</v>
      </c>
      <c r="T44" s="773" t="s">
        <v>17</v>
      </c>
      <c r="U44" s="774">
        <f t="shared" si="11"/>
        <v>100</v>
      </c>
      <c r="V44" s="773" t="s">
        <v>17</v>
      </c>
      <c r="W44" s="774">
        <f t="shared" si="12"/>
        <v>100</v>
      </c>
      <c r="X44" s="1815"/>
      <c r="Y44" s="3344"/>
      <c r="Z44" s="1816">
        <f t="shared" si="13"/>
        <v>111</v>
      </c>
      <c r="AA44" s="1813">
        <f t="shared" si="3"/>
        <v>1</v>
      </c>
      <c r="AB44" s="1813">
        <f t="shared" si="4"/>
        <v>1</v>
      </c>
      <c r="AC44" s="1813">
        <f t="shared" si="5"/>
        <v>1</v>
      </c>
    </row>
    <row r="45" spans="1:29" s="470" customFormat="1" ht="15.75" thickBot="1">
      <c r="A45" s="467"/>
      <c r="B45" s="1389">
        <v>111</v>
      </c>
      <c r="C45" s="2704"/>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344"/>
      <c r="Q45" s="1812">
        <f t="shared" si="14"/>
        <v>111</v>
      </c>
      <c r="R45" s="776" t="s">
        <v>17</v>
      </c>
      <c r="S45" s="777">
        <f t="shared" si="10"/>
        <v>100</v>
      </c>
      <c r="T45" s="776" t="s">
        <v>17</v>
      </c>
      <c r="U45" s="777">
        <f t="shared" si="11"/>
        <v>100</v>
      </c>
      <c r="V45" s="776" t="s">
        <v>17</v>
      </c>
      <c r="W45" s="777">
        <f t="shared" si="12"/>
        <v>100</v>
      </c>
      <c r="X45" s="778"/>
      <c r="Y45" s="3344"/>
      <c r="Z45" s="779">
        <f t="shared" si="13"/>
        <v>111</v>
      </c>
      <c r="AA45" s="1813">
        <f t="shared" si="3"/>
        <v>1</v>
      </c>
      <c r="AB45" s="1813">
        <f t="shared" si="4"/>
        <v>1</v>
      </c>
      <c r="AC45" s="1813">
        <f t="shared" si="5"/>
        <v>1</v>
      </c>
    </row>
    <row r="46" spans="1:29" ht="15">
      <c r="A46" s="478" t="s">
        <v>2705</v>
      </c>
      <c r="B46" s="2705" t="s">
        <v>2741</v>
      </c>
      <c r="C46" s="681" t="s">
        <v>1</v>
      </c>
      <c r="D46" s="480"/>
      <c r="E46" s="481"/>
      <c r="F46" s="482"/>
      <c r="G46" s="483"/>
      <c r="H46" s="484"/>
      <c r="I46" s="481"/>
      <c r="J46" s="484"/>
      <c r="K46" s="782"/>
      <c r="L46" s="1145"/>
      <c r="M46" s="1146"/>
      <c r="N46" s="1133"/>
      <c r="O46" s="1146"/>
      <c r="P46" s="3337" t="str">
        <f>A46</f>
        <v>成交单价</v>
      </c>
      <c r="Q46" s="3337"/>
      <c r="R46" s="3332">
        <f>E46</f>
        <v>0</v>
      </c>
      <c r="S46" s="3332"/>
      <c r="T46" s="3332">
        <f>G46</f>
        <v>0</v>
      </c>
      <c r="U46" s="3332"/>
      <c r="V46" s="3332">
        <f>I46</f>
        <v>0</v>
      </c>
      <c r="W46" s="3332"/>
      <c r="X46" s="758"/>
      <c r="Y46" s="780"/>
      <c r="Z46" s="758"/>
      <c r="AA46" s="758"/>
      <c r="AB46" s="758"/>
      <c r="AC46" s="758"/>
    </row>
    <row r="47" spans="1:29" ht="15.75" thickBot="1">
      <c r="A47" s="485" t="s">
        <v>2654</v>
      </c>
      <c r="B47" s="682"/>
      <c r="C47" s="489" t="e">
        <f>R48</f>
        <v>#DIV/0!</v>
      </c>
      <c r="D47" s="488"/>
      <c r="E47" s="489" t="e">
        <f>R47</f>
        <v>#DIV/0!</v>
      </c>
      <c r="F47" s="490"/>
      <c r="G47" s="487" t="e">
        <f>T47</f>
        <v>#DIV/0!</v>
      </c>
      <c r="H47" s="488"/>
      <c r="I47" s="489" t="e">
        <f>V47</f>
        <v>#DIV/0!</v>
      </c>
      <c r="J47" s="488"/>
      <c r="K47" s="783"/>
      <c r="L47" s="1145"/>
      <c r="M47" s="1146"/>
      <c r="N47" s="1146"/>
      <c r="O47" s="1146"/>
      <c r="P47" s="3337" t="str">
        <f>A47</f>
        <v>比较价值（元/平方米）</v>
      </c>
      <c r="Q47" s="3337"/>
      <c r="R47" s="3364" t="e">
        <f>ROUND(PRODUCT(R46,AA7:AA45),0)</f>
        <v>#DIV/0!</v>
      </c>
      <c r="S47" s="3364"/>
      <c r="T47" s="3364" t="e">
        <f>ROUND(PRODUCT(T46,AB7:AB45),0)</f>
        <v>#DIV/0!</v>
      </c>
      <c r="U47" s="3364"/>
      <c r="V47" s="3364" t="e">
        <f>ROUND(PRODUCT(V46,AC7:AC45),0)</f>
        <v>#DIV/0!</v>
      </c>
      <c r="W47" s="3364"/>
      <c r="X47" s="758"/>
      <c r="Y47" s="758"/>
      <c r="Z47" s="758"/>
      <c r="AA47" s="758"/>
      <c r="AB47" s="758"/>
      <c r="AC47" s="758"/>
    </row>
    <row r="48" spans="1:29" ht="15.75" thickBot="1">
      <c r="A48" s="491" t="s">
        <v>2742</v>
      </c>
      <c r="B48" s="492"/>
      <c r="C48" s="493" t="e">
        <f>R48</f>
        <v>#DIV/0!</v>
      </c>
      <c r="D48" s="493"/>
      <c r="E48" s="493"/>
      <c r="F48" s="493"/>
      <c r="G48" s="493"/>
      <c r="H48" s="493"/>
      <c r="I48" s="493"/>
      <c r="J48" s="493"/>
      <c r="K48" s="784"/>
      <c r="L48" s="1145"/>
      <c r="M48" s="1146"/>
      <c r="N48" s="1146"/>
      <c r="O48" s="1146"/>
      <c r="P48" s="3334" t="str">
        <f>A48</f>
        <v>估价对象XX用房的比较价值（楼面单价，元/平方米）</v>
      </c>
      <c r="Q48" s="3335"/>
      <c r="R48" s="3365" t="e">
        <f>ROUND(AVERAGE(R47:V47),0)</f>
        <v>#DIV/0!</v>
      </c>
      <c r="S48" s="3365"/>
      <c r="T48" s="3365"/>
      <c r="U48" s="3365"/>
      <c r="V48" s="3365"/>
      <c r="W48" s="3365"/>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2656</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2657</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2658</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2743</v>
      </c>
      <c r="B55" s="684" t="s">
        <v>2744</v>
      </c>
      <c r="C55" s="2706" t="s">
        <v>2745</v>
      </c>
      <c r="D55" s="2707" t="s">
        <v>2746</v>
      </c>
      <c r="E55" s="685" t="s">
        <v>2747</v>
      </c>
      <c r="F55" s="1109" t="s">
        <v>2748</v>
      </c>
      <c r="G55" s="3320" t="s">
        <v>2749</v>
      </c>
      <c r="H55" s="3366"/>
      <c r="I55" s="143" t="s">
        <v>2750</v>
      </c>
      <c r="J55" s="2708">
        <f>项目基本情况!F35</f>
        <v>0</v>
      </c>
      <c r="K55" s="2709" t="s">
        <v>2751</v>
      </c>
      <c r="L55" s="1108"/>
      <c r="M55" s="1146"/>
      <c r="N55" s="1146"/>
      <c r="O55" s="1146"/>
    </row>
    <row r="56" spans="1:15" s="691" customFormat="1">
      <c r="A56" s="687" t="s">
        <v>2752</v>
      </c>
      <c r="B56" s="688" t="e">
        <f>C48</f>
        <v>#DIV/0!</v>
      </c>
      <c r="C56" s="689">
        <v>1</v>
      </c>
      <c r="D56" s="1165">
        <v>1</v>
      </c>
      <c r="E56" s="689">
        <f>'数据-汇总表'!E8+'数据-汇总表'!E9</f>
        <v>47005.780000000006</v>
      </c>
      <c r="F56" s="1105" t="e">
        <f t="shared" ref="F56:F65" si="15">ROUND(B56*E56/10000,0)</f>
        <v>#DIV/0!</v>
      </c>
      <c r="G56" s="3319"/>
      <c r="H56" s="3337"/>
      <c r="I56" s="1110">
        <v>1</v>
      </c>
      <c r="J56" s="1113">
        <v>1</v>
      </c>
      <c r="K56" s="1147"/>
      <c r="L56" s="943"/>
      <c r="M56" s="943"/>
      <c r="N56" s="943"/>
      <c r="O56" s="943"/>
    </row>
    <row r="57" spans="1:15" s="691" customFormat="1">
      <c r="A57" s="692" t="s">
        <v>2753</v>
      </c>
      <c r="B57" s="261" t="e">
        <f>ROUND($C$48*C57*D57,0)</f>
        <v>#DIV/0!</v>
      </c>
      <c r="C57" s="199">
        <f t="shared" ref="C57:C65" si="16">IF($C$55="北京市系数",I57,J57)</f>
        <v>0</v>
      </c>
      <c r="D57" s="1166">
        <v>0.25</v>
      </c>
      <c r="E57" s="693"/>
      <c r="F57" s="1105" t="e">
        <f t="shared" si="15"/>
        <v>#DIV/0!</v>
      </c>
      <c r="G57" s="3367" t="s">
        <v>2754</v>
      </c>
      <c r="H57" s="1106">
        <f>项目基本情况!B37</f>
        <v>0</v>
      </c>
      <c r="I57" s="1110">
        <f>SUMIF(修正!A45:A56,H57,修正!B45:B56)</f>
        <v>0</v>
      </c>
      <c r="J57" s="1114"/>
      <c r="K57" s="1146"/>
      <c r="L57" s="943"/>
      <c r="M57" s="943"/>
      <c r="N57" s="943"/>
      <c r="O57" s="943"/>
    </row>
    <row r="58" spans="1:15" s="691" customFormat="1">
      <c r="A58" s="692" t="s">
        <v>2755</v>
      </c>
      <c r="B58" s="261" t="e">
        <f t="shared" ref="B58:B65" si="17">ROUND($C$48*C58*D58,0)</f>
        <v>#DIV/0!</v>
      </c>
      <c r="C58" s="199">
        <f t="shared" si="16"/>
        <v>0</v>
      </c>
      <c r="D58" s="1166">
        <v>0.25</v>
      </c>
      <c r="E58" s="693"/>
      <c r="F58" s="1105" t="e">
        <f t="shared" si="15"/>
        <v>#DIV/0!</v>
      </c>
      <c r="G58" s="3367"/>
      <c r="H58" s="1106">
        <f>项目基本情况!B37</f>
        <v>0</v>
      </c>
      <c r="I58" s="1110">
        <f>SUMIF(修正!A45:A56,H58,修正!C45:C56)</f>
        <v>0</v>
      </c>
      <c r="J58" s="1114"/>
      <c r="K58" s="1147"/>
      <c r="L58" s="943"/>
      <c r="M58" s="943"/>
      <c r="N58" s="943"/>
      <c r="O58" s="943"/>
    </row>
    <row r="59" spans="1:15" s="691" customFormat="1">
      <c r="A59" s="692" t="s">
        <v>2756</v>
      </c>
      <c r="B59" s="261" t="e">
        <f t="shared" si="17"/>
        <v>#DIV/0!</v>
      </c>
      <c r="C59" s="199">
        <f t="shared" si="16"/>
        <v>0</v>
      </c>
      <c r="D59" s="1166">
        <v>0.25</v>
      </c>
      <c r="E59" s="693"/>
      <c r="F59" s="1105" t="e">
        <f t="shared" si="15"/>
        <v>#DIV/0!</v>
      </c>
      <c r="G59" s="3367"/>
      <c r="H59" s="1106">
        <f>项目基本情况!B37</f>
        <v>0</v>
      </c>
      <c r="I59" s="1110">
        <f>SUMIF(修正!A45:A56,H59,修正!D45:D56)</f>
        <v>0</v>
      </c>
      <c r="J59" s="1114"/>
      <c r="K59" s="1146"/>
      <c r="L59" s="943"/>
      <c r="M59" s="943"/>
      <c r="N59" s="943"/>
      <c r="O59" s="943"/>
    </row>
    <row r="60" spans="1:15" s="691" customFormat="1">
      <c r="A60" s="692" t="s">
        <v>2757</v>
      </c>
      <c r="B60" s="261" t="e">
        <f t="shared" si="17"/>
        <v>#DIV/0!</v>
      </c>
      <c r="C60" s="199">
        <f t="shared" si="16"/>
        <v>0</v>
      </c>
      <c r="D60" s="1166">
        <v>0.25</v>
      </c>
      <c r="E60" s="693"/>
      <c r="F60" s="1105" t="e">
        <f t="shared" si="15"/>
        <v>#DIV/0!</v>
      </c>
      <c r="G60" s="3367"/>
      <c r="H60" s="1106">
        <f>项目基本情况!B37</f>
        <v>0</v>
      </c>
      <c r="I60" s="1110">
        <f>SUMIF(修正!A45:A56,H60,修正!E45:E56)</f>
        <v>0</v>
      </c>
      <c r="J60" s="1114"/>
      <c r="K60" s="1147"/>
      <c r="L60" s="943"/>
      <c r="M60" s="943"/>
      <c r="N60" s="943"/>
      <c r="O60" s="943"/>
    </row>
    <row r="61" spans="1:15" s="691" customFormat="1">
      <c r="A61" s="692" t="s">
        <v>2758</v>
      </c>
      <c r="B61" s="261" t="e">
        <f t="shared" si="17"/>
        <v>#DIV/0!</v>
      </c>
      <c r="C61" s="199">
        <f t="shared" si="16"/>
        <v>0</v>
      </c>
      <c r="D61" s="1166">
        <v>0.25</v>
      </c>
      <c r="E61" s="260">
        <f>'数据-汇总表'!E11</f>
        <v>0</v>
      </c>
      <c r="F61" s="1105" t="e">
        <f t="shared" si="15"/>
        <v>#DIV/0!</v>
      </c>
      <c r="G61" s="2710" t="s">
        <v>2759</v>
      </c>
      <c r="H61" s="1106">
        <f>项目基本情况!C37</f>
        <v>0</v>
      </c>
      <c r="I61" s="1110">
        <f>SUMIF(修正!A45:A56,H61,修正!F45:F56)</f>
        <v>0</v>
      </c>
      <c r="J61" s="1114"/>
      <c r="K61" s="1146"/>
      <c r="L61" s="943"/>
      <c r="M61" s="943"/>
      <c r="N61" s="943"/>
      <c r="O61" s="943"/>
    </row>
    <row r="62" spans="1:15" s="691" customFormat="1">
      <c r="A62" s="692" t="s">
        <v>2760</v>
      </c>
      <c r="B62" s="261" t="e">
        <f t="shared" si="17"/>
        <v>#DIV/0!</v>
      </c>
      <c r="C62" s="199">
        <f t="shared" si="16"/>
        <v>0</v>
      </c>
      <c r="D62" s="1166">
        <v>0.25</v>
      </c>
      <c r="E62" s="260">
        <f>'数据-汇总表'!E12</f>
        <v>0</v>
      </c>
      <c r="F62" s="1105" t="e">
        <f t="shared" si="15"/>
        <v>#DIV/0!</v>
      </c>
      <c r="G62" s="1111" t="s">
        <v>2761</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2762</v>
      </c>
      <c r="B63" s="261" t="e">
        <f t="shared" si="17"/>
        <v>#DIV/0!</v>
      </c>
      <c r="C63" s="199">
        <f t="shared" si="16"/>
        <v>0</v>
      </c>
      <c r="D63" s="1166">
        <v>0.25</v>
      </c>
      <c r="E63" s="260">
        <f>'数据-汇总表'!E13</f>
        <v>0</v>
      </c>
      <c r="F63" s="1105" t="e">
        <f t="shared" si="15"/>
        <v>#DIV/0!</v>
      </c>
      <c r="G63" s="1111" t="s">
        <v>2763</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2764</v>
      </c>
      <c r="B64" s="261" t="e">
        <f t="shared" si="17"/>
        <v>#DIV/0!</v>
      </c>
      <c r="C64" s="199">
        <f t="shared" si="16"/>
        <v>0</v>
      </c>
      <c r="D64" s="1166">
        <v>0.25</v>
      </c>
      <c r="E64" s="260">
        <f>'数据-汇总表'!E14</f>
        <v>0</v>
      </c>
      <c r="F64" s="1105" t="e">
        <f t="shared" si="15"/>
        <v>#DIV/0!</v>
      </c>
      <c r="G64" s="2710" t="s">
        <v>2754</v>
      </c>
      <c r="H64" s="1106">
        <f>项目基本情况!B37</f>
        <v>0</v>
      </c>
      <c r="I64" s="1110">
        <f>SUMIF(修正!A45:A56,H64,修正!H45:H56)</f>
        <v>0</v>
      </c>
      <c r="J64" s="1114"/>
      <c r="K64" s="1147"/>
      <c r="L64" s="943"/>
      <c r="M64" s="943"/>
      <c r="N64" s="943"/>
      <c r="O64" s="943"/>
    </row>
    <row r="65" spans="1:17" s="691" customFormat="1" ht="15" thickBot="1">
      <c r="A65" s="692" t="s">
        <v>2765</v>
      </c>
      <c r="B65" s="261" t="e">
        <f t="shared" si="17"/>
        <v>#DIV/0!</v>
      </c>
      <c r="C65" s="199">
        <f t="shared" si="16"/>
        <v>0</v>
      </c>
      <c r="D65" s="1166">
        <v>0.25</v>
      </c>
      <c r="E65" s="260">
        <f>'数据-汇总表'!E15</f>
        <v>0</v>
      </c>
      <c r="F65" s="1105" t="e">
        <f t="shared" si="15"/>
        <v>#DIV/0!</v>
      </c>
      <c r="G65" s="2711" t="s">
        <v>2759</v>
      </c>
      <c r="H65" s="1116">
        <f>项目基本情况!C37</f>
        <v>0</v>
      </c>
      <c r="I65" s="1112">
        <f>SUMIF(修正!A45:A56,H65,修正!H45:H56)</f>
        <v>0</v>
      </c>
      <c r="J65" s="1115"/>
      <c r="K65" s="1146"/>
      <c r="L65" s="943"/>
      <c r="M65" s="943"/>
      <c r="N65" s="943"/>
      <c r="O65" s="943"/>
    </row>
    <row r="66" spans="1:17" s="691" customFormat="1" ht="13.5" thickBot="1">
      <c r="A66" s="694" t="s">
        <v>2766</v>
      </c>
      <c r="B66" s="695" t="s">
        <v>28</v>
      </c>
      <c r="C66" s="695" t="s">
        <v>29</v>
      </c>
      <c r="D66" s="695" t="s">
        <v>1029</v>
      </c>
      <c r="E66" s="695">
        <f>IF(B46="楼面地价",SUM(E56:E65),'数据-汇总表'!D3)</f>
        <v>47005.780000000006</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2018-1-1</v>
      </c>
      <c r="D68" s="760">
        <f>EDATE(C68,-3)</f>
        <v>43009</v>
      </c>
      <c r="E68" s="760">
        <f>EDATE(D68,-3)</f>
        <v>42917</v>
      </c>
      <c r="F68" s="760">
        <f t="shared" ref="F68:O68" si="18">EDATE(E68,-3)</f>
        <v>42826</v>
      </c>
      <c r="G68" s="760">
        <f t="shared" si="18"/>
        <v>42736</v>
      </c>
      <c r="H68" s="760">
        <f t="shared" si="18"/>
        <v>42644</v>
      </c>
      <c r="I68" s="760">
        <f t="shared" si="18"/>
        <v>42552</v>
      </c>
      <c r="J68" s="760">
        <f t="shared" si="18"/>
        <v>42461</v>
      </c>
      <c r="K68" s="760">
        <f t="shared" si="18"/>
        <v>42370</v>
      </c>
      <c r="L68" s="760">
        <f t="shared" si="18"/>
        <v>42278</v>
      </c>
      <c r="M68" s="760">
        <f t="shared" si="18"/>
        <v>42186</v>
      </c>
      <c r="N68" s="760">
        <f t="shared" si="18"/>
        <v>42095</v>
      </c>
      <c r="O68" s="760">
        <f t="shared" si="18"/>
        <v>42005</v>
      </c>
    </row>
    <row r="69" spans="1:17" ht="21.75" thickBot="1">
      <c r="A69" s="762" t="s">
        <v>2659</v>
      </c>
      <c r="B69" s="758"/>
      <c r="C69" s="763"/>
      <c r="D69" s="763"/>
      <c r="E69" s="763"/>
      <c r="F69" s="764"/>
      <c r="G69" s="764"/>
      <c r="H69" s="763"/>
      <c r="I69" s="763"/>
      <c r="J69" s="1161"/>
      <c r="K69" s="1162"/>
      <c r="L69" s="1163"/>
      <c r="M69" s="1161"/>
      <c r="N69" s="1161"/>
      <c r="O69" s="1161"/>
      <c r="P69" s="502"/>
      <c r="Q69" s="503"/>
    </row>
    <row r="70" spans="1:17" s="507" customFormat="1" ht="15">
      <c r="A70" s="2712" t="s">
        <v>2767</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6"/>
    </row>
    <row r="71" spans="1:17" s="117" customFormat="1" ht="30" customHeight="1">
      <c r="A71" s="2713" t="s">
        <v>2768</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9"/>
      <c r="N71" s="594"/>
      <c r="O71" s="1570"/>
      <c r="P71" s="503"/>
    </row>
    <row r="72" spans="1:17" s="117" customFormat="1" ht="15.75" thickBot="1">
      <c r="A72" s="514" t="s">
        <v>2570</v>
      </c>
      <c r="B72" s="515"/>
      <c r="C72" s="516"/>
      <c r="D72" s="517"/>
      <c r="E72" s="517"/>
      <c r="F72" s="517"/>
      <c r="G72" s="517"/>
      <c r="H72" s="517"/>
      <c r="I72" s="517"/>
      <c r="J72" s="517"/>
      <c r="K72" s="517"/>
      <c r="L72" s="517"/>
      <c r="M72" s="518"/>
      <c r="N72" s="517"/>
      <c r="O72" s="1164"/>
      <c r="P72" s="503"/>
      <c r="Q72" s="503"/>
    </row>
    <row r="73" spans="1:17" s="117" customFormat="1" ht="15">
      <c r="A73" s="520" t="s">
        <v>2535</v>
      </c>
      <c r="B73" s="509"/>
      <c r="C73" s="521" t="s">
        <v>2637</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2573</v>
      </c>
      <c r="B75" s="527" t="s">
        <v>2539</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2542</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2543</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2544</v>
      </c>
      <c r="B88" s="527" t="s">
        <v>2581</v>
      </c>
      <c r="C88" s="572" t="s">
        <v>2582</v>
      </c>
      <c r="D88" s="572" t="s">
        <v>2583</v>
      </c>
      <c r="E88" s="572" t="s">
        <v>2584</v>
      </c>
      <c r="F88" s="572" t="s">
        <v>2585</v>
      </c>
      <c r="G88" s="572" t="s">
        <v>2586</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2769</v>
      </c>
      <c r="C90" s="577" t="s">
        <v>2582</v>
      </c>
      <c r="D90" s="577" t="s">
        <v>2583</v>
      </c>
      <c r="E90" s="577" t="s">
        <v>2584</v>
      </c>
      <c r="F90" s="577" t="s">
        <v>2585</v>
      </c>
      <c r="G90" s="577" t="s">
        <v>2586</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2682</v>
      </c>
      <c r="C92" s="577" t="s">
        <v>2582</v>
      </c>
      <c r="D92" s="577" t="s">
        <v>2583</v>
      </c>
      <c r="E92" s="577" t="s">
        <v>2584</v>
      </c>
      <c r="F92" s="577" t="s">
        <v>2585</v>
      </c>
      <c r="G92" s="577" t="s">
        <v>2586</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2587</v>
      </c>
      <c r="C94" s="577" t="s">
        <v>2582</v>
      </c>
      <c r="D94" s="577" t="s">
        <v>2583</v>
      </c>
      <c r="E94" s="577" t="s">
        <v>2584</v>
      </c>
      <c r="F94" s="577" t="s">
        <v>2585</v>
      </c>
      <c r="G94" s="577" t="s">
        <v>2586</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2770</v>
      </c>
      <c r="C96" s="577" t="s">
        <v>2582</v>
      </c>
      <c r="D96" s="577" t="s">
        <v>2583</v>
      </c>
      <c r="E96" s="577" t="s">
        <v>2584</v>
      </c>
      <c r="F96" s="577" t="s">
        <v>2585</v>
      </c>
      <c r="G96" s="577" t="s">
        <v>2586</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2771</v>
      </c>
      <c r="C98" s="572" t="s">
        <v>2582</v>
      </c>
      <c r="D98" s="572" t="s">
        <v>2583</v>
      </c>
      <c r="E98" s="572" t="s">
        <v>2584</v>
      </c>
      <c r="F98" s="572" t="s">
        <v>2585</v>
      </c>
      <c r="G98" s="572" t="s">
        <v>2586</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2639</v>
      </c>
      <c r="C100" s="572" t="s">
        <v>2582</v>
      </c>
      <c r="D100" s="572" t="s">
        <v>2583</v>
      </c>
      <c r="E100" s="572" t="s">
        <v>2584</v>
      </c>
      <c r="F100" s="572" t="s">
        <v>2585</v>
      </c>
      <c r="G100" s="572" t="s">
        <v>2586</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2640</v>
      </c>
      <c r="C102" s="659" t="s">
        <v>2660</v>
      </c>
      <c r="D102" s="659" t="s">
        <v>2661</v>
      </c>
      <c r="E102" s="659" t="s">
        <v>2662</v>
      </c>
      <c r="F102" s="659" t="s">
        <v>2663</v>
      </c>
      <c r="G102" s="659" t="s">
        <v>2664</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2772</v>
      </c>
      <c r="D104" s="538" t="s">
        <v>2773</v>
      </c>
      <c r="E104" s="538" t="s">
        <v>2774</v>
      </c>
      <c r="F104" s="538" t="s">
        <v>2775</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2676</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2735</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2548</v>
      </c>
      <c r="B116" s="527" t="s">
        <v>2776</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2777</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2778</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2779</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2780</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9" zoomScale="80" zoomScaleNormal="80" workbookViewId="0">
      <selection activeCell="L44" sqref="L44"/>
    </sheetView>
  </sheetViews>
  <sheetFormatPr defaultRowHeight="14.25"/>
  <cols>
    <col min="1" max="1" width="14.375" style="402" customWidth="1"/>
    <col min="2" max="2" width="15.75" style="402" customWidth="1"/>
    <col min="3" max="3" width="14.375" style="402" customWidth="1"/>
    <col min="4" max="4" width="12.25" style="402" customWidth="1"/>
    <col min="5" max="5" width="17.25" style="402" customWidth="1"/>
    <col min="6" max="6" width="12.25" style="402" customWidth="1"/>
    <col min="7" max="7" width="17.12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2729</v>
      </c>
      <c r="B1" s="394"/>
      <c r="C1" s="395" t="s">
        <v>2781</v>
      </c>
      <c r="D1" s="754"/>
      <c r="E1" s="754"/>
      <c r="F1" s="753" t="s">
        <v>2628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2312</v>
      </c>
      <c r="B2" s="670">
        <f>F61</f>
        <v>5112</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2314</v>
      </c>
      <c r="B3" s="608">
        <f>ROUND(IF(D3="",B2*10000/'数据-汇总表'!E3,B2*10000/D3),0)</f>
        <v>1068</v>
      </c>
      <c r="C3" s="246" t="s">
        <v>2731</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2630</v>
      </c>
      <c r="B4" s="401"/>
      <c r="C4" s="3320" t="s">
        <v>2631</v>
      </c>
      <c r="D4" s="3321"/>
      <c r="E4" s="3322" t="s">
        <v>2632</v>
      </c>
      <c r="F4" s="3323"/>
      <c r="G4" s="3320" t="s">
        <v>2633</v>
      </c>
      <c r="H4" s="3321"/>
      <c r="I4" s="3320" t="s">
        <v>2634</v>
      </c>
      <c r="J4" s="3321"/>
      <c r="K4" s="609" t="s">
        <v>2635</v>
      </c>
      <c r="L4" s="1132"/>
      <c r="M4" s="1133"/>
      <c r="N4" s="1133"/>
      <c r="O4" s="1133"/>
      <c r="P4" s="3324" t="s">
        <v>2636</v>
      </c>
      <c r="Q4" s="3325"/>
      <c r="R4" s="3307" t="s">
        <v>2632</v>
      </c>
      <c r="S4" s="3308"/>
      <c r="T4" s="3307" t="s">
        <v>2633</v>
      </c>
      <c r="U4" s="3308"/>
      <c r="V4" s="3332" t="s">
        <v>2634</v>
      </c>
      <c r="W4" s="3332"/>
      <c r="X4" s="1815"/>
      <c r="Y4" s="3307" t="s">
        <v>2636</v>
      </c>
      <c r="Z4" s="3308"/>
      <c r="AA4" s="3302" t="s">
        <v>2632</v>
      </c>
      <c r="AB4" s="3303" t="s">
        <v>2633</v>
      </c>
      <c r="AC4" s="3302" t="s">
        <v>2634</v>
      </c>
    </row>
    <row r="5" spans="1:29" ht="29.25" customHeight="1">
      <c r="A5" s="403"/>
      <c r="B5" s="404"/>
      <c r="C5" s="3313" t="s">
        <v>2527</v>
      </c>
      <c r="D5" s="3314"/>
      <c r="E5" s="3368" t="s">
        <v>3251</v>
      </c>
      <c r="F5" s="3312"/>
      <c r="G5" s="3371" t="s">
        <v>3252</v>
      </c>
      <c r="H5" s="3314"/>
      <c r="I5" s="3371" t="s">
        <v>3253</v>
      </c>
      <c r="J5" s="3314"/>
      <c r="K5" s="609"/>
      <c r="L5" s="1132"/>
      <c r="M5" s="1133"/>
      <c r="N5" s="1133"/>
      <c r="O5" s="1133"/>
      <c r="P5" s="3326"/>
      <c r="Q5" s="3327"/>
      <c r="R5" s="3309"/>
      <c r="S5" s="3310"/>
      <c r="T5" s="3309"/>
      <c r="U5" s="3310"/>
      <c r="V5" s="3332"/>
      <c r="W5" s="3332"/>
      <c r="X5" s="1815"/>
      <c r="Y5" s="3309"/>
      <c r="Z5" s="3310"/>
      <c r="AA5" s="3303"/>
      <c r="AB5" s="3303"/>
      <c r="AC5" s="3303"/>
    </row>
    <row r="6" spans="1:29" ht="15.75" thickBot="1">
      <c r="A6" s="405"/>
      <c r="B6" s="406"/>
      <c r="C6" s="3369" t="s">
        <v>2782</v>
      </c>
      <c r="D6" s="3370"/>
      <c r="E6" s="3372" t="s">
        <v>2782</v>
      </c>
      <c r="F6" s="3373"/>
      <c r="G6" s="3369" t="s">
        <v>2782</v>
      </c>
      <c r="H6" s="3370"/>
      <c r="I6" s="3369" t="s">
        <v>2782</v>
      </c>
      <c r="J6" s="3370"/>
      <c r="K6" s="609" t="s">
        <v>2532</v>
      </c>
      <c r="L6" s="1132"/>
      <c r="M6" s="1133"/>
      <c r="N6" s="1133"/>
      <c r="O6" s="1133"/>
      <c r="P6" s="3328"/>
      <c r="Q6" s="3329"/>
      <c r="R6" s="3309"/>
      <c r="S6" s="3310"/>
      <c r="T6" s="3330"/>
      <c r="U6" s="3331"/>
      <c r="V6" s="3332"/>
      <c r="W6" s="3332"/>
      <c r="X6" s="1815"/>
      <c r="Y6" s="3330"/>
      <c r="Z6" s="3331"/>
      <c r="AA6" s="3304"/>
      <c r="AB6" s="3304"/>
      <c r="AC6" s="3304"/>
    </row>
    <row r="7" spans="1:29" s="117" customFormat="1" ht="15.75" thickBot="1">
      <c r="A7" s="407" t="s">
        <v>2533</v>
      </c>
      <c r="B7" s="408"/>
      <c r="C7" s="409">
        <f>'数据-取费表'!B2</f>
        <v>43116</v>
      </c>
      <c r="D7" s="410">
        <v>100</v>
      </c>
      <c r="E7" s="411">
        <v>43094</v>
      </c>
      <c r="F7" s="412">
        <f>SUMIF(65:65,YEAR(E7)&amp;"-"&amp;INT((MONTH(E7)+2)/3),66:66)</f>
        <v>99.5</v>
      </c>
      <c r="G7" s="2697">
        <v>42668</v>
      </c>
      <c r="H7" s="410">
        <f>SUMIF(65:65,YEAR(G7)&amp;"-"&amp;INT((MONTH(G7)+2)/3),66:66)</f>
        <v>97.5</v>
      </c>
      <c r="I7" s="2697">
        <v>42079</v>
      </c>
      <c r="J7" s="410">
        <f>SUMIF(65:65,YEAR(I7)&amp;"-"&amp;INT((MONTH(I7)+2)/3),66:66)</f>
        <v>94</v>
      </c>
      <c r="K7" s="610"/>
      <c r="L7" s="1134"/>
      <c r="M7" s="1135"/>
      <c r="N7" s="1135"/>
      <c r="O7" s="1135"/>
      <c r="P7" s="3305" t="s">
        <v>2534</v>
      </c>
      <c r="Q7" s="3333"/>
      <c r="R7" s="769" t="s">
        <v>17</v>
      </c>
      <c r="S7" s="770">
        <f t="shared" ref="S7:S15" si="0">F7</f>
        <v>99.5</v>
      </c>
      <c r="T7" s="769" t="s">
        <v>17</v>
      </c>
      <c r="U7" s="770">
        <f t="shared" ref="U7:U15" si="1">H7</f>
        <v>97.5</v>
      </c>
      <c r="V7" s="769" t="s">
        <v>17</v>
      </c>
      <c r="W7" s="770">
        <f t="shared" ref="W7:W15" si="2">J7</f>
        <v>94</v>
      </c>
      <c r="X7" s="771"/>
      <c r="Y7" s="3305" t="s">
        <v>2534</v>
      </c>
      <c r="Z7" s="3306"/>
      <c r="AA7" s="772">
        <f>D7/F7</f>
        <v>1.0050251256281406</v>
      </c>
      <c r="AB7" s="772">
        <f>D7/H7</f>
        <v>1.0256410256410255</v>
      </c>
      <c r="AC7" s="772">
        <f>D7/J7</f>
        <v>1.0638297872340425</v>
      </c>
    </row>
    <row r="8" spans="1:29" s="117" customFormat="1" ht="15.75" thickBot="1">
      <c r="A8" s="407" t="s">
        <v>2535</v>
      </c>
      <c r="B8" s="408"/>
      <c r="C8" s="413" t="s">
        <v>2536</v>
      </c>
      <c r="D8" s="410">
        <v>100</v>
      </c>
      <c r="E8" s="413" t="s">
        <v>2536</v>
      </c>
      <c r="F8" s="412">
        <f>SUMIF(68:68,E8,69:69)-SUMIF(68:68,C8,69:69)+100</f>
        <v>100</v>
      </c>
      <c r="G8" s="413" t="s">
        <v>2536</v>
      </c>
      <c r="H8" s="410">
        <f>SUMIF(68:68,G8,69:69)-SUMIF(68:68,C8,69:69)+100</f>
        <v>100</v>
      </c>
      <c r="I8" s="413" t="s">
        <v>2536</v>
      </c>
      <c r="J8" s="410">
        <f>SUMIF(68:68,I8,69:69)-SUMIF(68:68,C8,69:69)+100</f>
        <v>100</v>
      </c>
      <c r="K8" s="610"/>
      <c r="L8" s="1134"/>
      <c r="M8" s="1135"/>
      <c r="N8" s="1135"/>
      <c r="O8" s="1135"/>
      <c r="P8" s="3305" t="s">
        <v>2537</v>
      </c>
      <c r="Q8" s="3306"/>
      <c r="R8" s="769" t="s">
        <v>17</v>
      </c>
      <c r="S8" s="770">
        <f t="shared" si="0"/>
        <v>100</v>
      </c>
      <c r="T8" s="769" t="s">
        <v>17</v>
      </c>
      <c r="U8" s="770">
        <f t="shared" si="1"/>
        <v>100</v>
      </c>
      <c r="V8" s="769" t="s">
        <v>17</v>
      </c>
      <c r="W8" s="770">
        <f t="shared" si="2"/>
        <v>100</v>
      </c>
      <c r="X8" s="771"/>
      <c r="Y8" s="3305" t="s">
        <v>2537</v>
      </c>
      <c r="Z8" s="3306"/>
      <c r="AA8" s="772">
        <f t="shared" ref="AA8:AA40" si="3">D8/F8</f>
        <v>1</v>
      </c>
      <c r="AB8" s="772">
        <f t="shared" ref="AB8:AB40" si="4">D8/H8</f>
        <v>1</v>
      </c>
      <c r="AC8" s="772">
        <f t="shared" ref="AC8:AC40" si="5">D8/J8</f>
        <v>1</v>
      </c>
    </row>
    <row r="9" spans="1:29" s="117" customFormat="1">
      <c r="A9" s="414" t="s">
        <v>2538</v>
      </c>
      <c r="B9" s="71" t="s">
        <v>2539</v>
      </c>
      <c r="C9" s="3047" t="s">
        <v>3254</v>
      </c>
      <c r="D9" s="134">
        <v>100</v>
      </c>
      <c r="E9" s="3047" t="s">
        <v>3254</v>
      </c>
      <c r="F9" s="134">
        <f>SUMIF(70:70,E9,71:71)-SUMIF(70:70,C9,71:71)+100</f>
        <v>100</v>
      </c>
      <c r="G9" s="3047" t="s">
        <v>3254</v>
      </c>
      <c r="H9" s="134">
        <f>SUMIF(70:70,G9,71:71)-SUMIF(70:70,C9,71:71)+100</f>
        <v>100</v>
      </c>
      <c r="I9" s="3047" t="s">
        <v>3254</v>
      </c>
      <c r="J9" s="134">
        <f>SUMIF(70:70,I9,71:71)-SUMIF(70:70,C9,71:71)+100</f>
        <v>100</v>
      </c>
      <c r="K9" s="610"/>
      <c r="L9" s="1134"/>
      <c r="M9" s="1135"/>
      <c r="N9" s="1135"/>
      <c r="O9" s="1136"/>
      <c r="P9" s="3337" t="s">
        <v>2540</v>
      </c>
      <c r="Q9" s="1797" t="str">
        <f t="shared" ref="Q9:Q15" si="6">B9</f>
        <v>用途</v>
      </c>
      <c r="R9" s="769" t="s">
        <v>17</v>
      </c>
      <c r="S9" s="770">
        <f t="shared" si="0"/>
        <v>100</v>
      </c>
      <c r="T9" s="769" t="s">
        <v>17</v>
      </c>
      <c r="U9" s="770">
        <f t="shared" si="1"/>
        <v>100</v>
      </c>
      <c r="V9" s="769" t="s">
        <v>17</v>
      </c>
      <c r="W9" s="770">
        <f t="shared" si="2"/>
        <v>100</v>
      </c>
      <c r="X9" s="771"/>
      <c r="Y9" s="3132" t="s">
        <v>2541</v>
      </c>
      <c r="Z9" s="55" t="str">
        <f t="shared" ref="Z9:Z15" si="7">Q9</f>
        <v>用途</v>
      </c>
      <c r="AA9" s="772">
        <f t="shared" si="3"/>
        <v>1</v>
      </c>
      <c r="AB9" s="772">
        <f t="shared" si="4"/>
        <v>1</v>
      </c>
      <c r="AC9" s="772">
        <f t="shared" si="5"/>
        <v>1</v>
      </c>
    </row>
    <row r="10" spans="1:29" s="426" customFormat="1" ht="27">
      <c r="A10" s="420"/>
      <c r="B10" s="421" t="s">
        <v>2542</v>
      </c>
      <c r="C10" s="431">
        <f>'数据-取费表'!F6</f>
        <v>35.69</v>
      </c>
      <c r="D10" s="135">
        <v>100</v>
      </c>
      <c r="E10" s="431">
        <v>50</v>
      </c>
      <c r="F10" s="135">
        <f>ROUND(100/'数据-取费表'!G16,0)</f>
        <v>111</v>
      </c>
      <c r="G10" s="431">
        <v>50</v>
      </c>
      <c r="H10" s="135">
        <f>ROUND(100/'数据-取费表'!G16,0)</f>
        <v>111</v>
      </c>
      <c r="I10" s="431">
        <v>50</v>
      </c>
      <c r="J10" s="135">
        <f>ROUND(100/'数据-取费表'!G16,0)</f>
        <v>111</v>
      </c>
      <c r="K10" s="671"/>
      <c r="L10" s="1137"/>
      <c r="M10" s="1138"/>
      <c r="N10" s="1138"/>
      <c r="O10" s="1139"/>
      <c r="P10" s="3337"/>
      <c r="Q10" s="1797" t="str">
        <f t="shared" si="6"/>
        <v>土地使用年限（年）</v>
      </c>
      <c r="R10" s="769" t="s">
        <v>17</v>
      </c>
      <c r="S10" s="770">
        <f t="shared" si="0"/>
        <v>111</v>
      </c>
      <c r="T10" s="769" t="s">
        <v>17</v>
      </c>
      <c r="U10" s="770">
        <f t="shared" si="1"/>
        <v>111</v>
      </c>
      <c r="V10" s="769" t="s">
        <v>17</v>
      </c>
      <c r="W10" s="770">
        <f t="shared" si="2"/>
        <v>111</v>
      </c>
      <c r="X10" s="771"/>
      <c r="Y10" s="3132"/>
      <c r="Z10" s="55" t="str">
        <f t="shared" si="7"/>
        <v>土地使用年限（年）</v>
      </c>
      <c r="AA10" s="772">
        <f t="shared" si="3"/>
        <v>0.90090090090090091</v>
      </c>
      <c r="AB10" s="772">
        <f t="shared" si="4"/>
        <v>0.90090090090090091</v>
      </c>
      <c r="AC10" s="772">
        <f t="shared" si="5"/>
        <v>0.90090090090090091</v>
      </c>
    </row>
    <row r="11" spans="1:29" ht="15.75" thickBot="1">
      <c r="A11" s="427"/>
      <c r="B11" s="421" t="s">
        <v>2543</v>
      </c>
      <c r="C11" s="428">
        <v>1</v>
      </c>
      <c r="D11" s="135">
        <v>100</v>
      </c>
      <c r="E11" s="428">
        <v>0.8</v>
      </c>
      <c r="F11" s="135">
        <f>LOOKUP(E11,75:75,76:76)-LOOKUP(C11,75:75,76:76)+100</f>
        <v>99</v>
      </c>
      <c r="G11" s="429">
        <v>0.8</v>
      </c>
      <c r="H11" s="135">
        <f>LOOKUP(G11,75:75,76:76)-LOOKUP(C11,75:75,76:76)+100</f>
        <v>99</v>
      </c>
      <c r="I11" s="428">
        <v>0.8</v>
      </c>
      <c r="J11" s="135">
        <f>LOOKUP(I11,75:75,76:76)-LOOKUP(C11,75:75,76:76)+100</f>
        <v>99</v>
      </c>
      <c r="K11" s="672">
        <v>1</v>
      </c>
      <c r="L11" s="1140"/>
      <c r="M11" s="1133"/>
      <c r="N11" s="1133"/>
      <c r="O11" s="1141"/>
      <c r="P11" s="3337"/>
      <c r="Q11" s="1797" t="str">
        <f t="shared" si="6"/>
        <v>容积率</v>
      </c>
      <c r="R11" s="769" t="s">
        <v>17</v>
      </c>
      <c r="S11" s="770">
        <f t="shared" si="0"/>
        <v>99</v>
      </c>
      <c r="T11" s="769" t="s">
        <v>17</v>
      </c>
      <c r="U11" s="770">
        <f t="shared" si="1"/>
        <v>99</v>
      </c>
      <c r="V11" s="769" t="s">
        <v>17</v>
      </c>
      <c r="W11" s="770">
        <f t="shared" si="2"/>
        <v>99</v>
      </c>
      <c r="X11" s="771"/>
      <c r="Y11" s="3132"/>
      <c r="Z11" s="55" t="str">
        <f t="shared" si="7"/>
        <v>容积率</v>
      </c>
      <c r="AA11" s="772">
        <f t="shared" si="3"/>
        <v>1.0101010101010102</v>
      </c>
      <c r="AB11" s="772">
        <f t="shared" si="4"/>
        <v>1.0101010101010102</v>
      </c>
      <c r="AC11" s="772">
        <f t="shared" si="5"/>
        <v>1.0101010101010102</v>
      </c>
    </row>
    <row r="12" spans="1:29" s="117" customFormat="1" ht="15" hidden="1">
      <c r="A12" s="430"/>
      <c r="B12" s="2601">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337"/>
      <c r="Q12" s="1797">
        <f t="shared" si="6"/>
        <v>111</v>
      </c>
      <c r="R12" s="769" t="s">
        <v>17</v>
      </c>
      <c r="S12" s="770">
        <f t="shared" si="0"/>
        <v>100</v>
      </c>
      <c r="T12" s="769" t="s">
        <v>17</v>
      </c>
      <c r="U12" s="770">
        <f t="shared" si="1"/>
        <v>100</v>
      </c>
      <c r="V12" s="769" t="s">
        <v>17</v>
      </c>
      <c r="W12" s="770">
        <f t="shared" si="2"/>
        <v>100</v>
      </c>
      <c r="X12" s="771"/>
      <c r="Y12" s="3132"/>
      <c r="Z12" s="55">
        <f t="shared" si="7"/>
        <v>111</v>
      </c>
      <c r="AA12" s="772">
        <f>D12/F12</f>
        <v>1</v>
      </c>
      <c r="AB12" s="772">
        <f>D12/H12</f>
        <v>1</v>
      </c>
      <c r="AC12" s="772">
        <f>D12/J12</f>
        <v>1</v>
      </c>
    </row>
    <row r="13" spans="1:29" ht="15" hidden="1">
      <c r="A13" s="427"/>
      <c r="B13" s="2601">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337"/>
      <c r="Q13" s="1797">
        <f t="shared" si="6"/>
        <v>111</v>
      </c>
      <c r="R13" s="769" t="s">
        <v>17</v>
      </c>
      <c r="S13" s="770">
        <f t="shared" si="0"/>
        <v>100</v>
      </c>
      <c r="T13" s="769" t="s">
        <v>17</v>
      </c>
      <c r="U13" s="770">
        <f t="shared" si="1"/>
        <v>100</v>
      </c>
      <c r="V13" s="769" t="s">
        <v>17</v>
      </c>
      <c r="W13" s="770">
        <f t="shared" si="2"/>
        <v>100</v>
      </c>
      <c r="X13" s="771"/>
      <c r="Y13" s="3132"/>
      <c r="Z13" s="55">
        <f t="shared" si="7"/>
        <v>111</v>
      </c>
      <c r="AA13" s="772">
        <f t="shared" si="3"/>
        <v>1</v>
      </c>
      <c r="AB13" s="772">
        <f t="shared" si="4"/>
        <v>1</v>
      </c>
      <c r="AC13" s="772">
        <f t="shared" si="5"/>
        <v>1</v>
      </c>
    </row>
    <row r="14" spans="1:29" ht="15.75" hidden="1" thickBot="1">
      <c r="A14" s="435"/>
      <c r="B14" s="2603">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337"/>
      <c r="Q14" s="1797">
        <f t="shared" si="6"/>
        <v>111</v>
      </c>
      <c r="R14" s="769" t="s">
        <v>17</v>
      </c>
      <c r="S14" s="770">
        <f t="shared" si="0"/>
        <v>100</v>
      </c>
      <c r="T14" s="769" t="s">
        <v>17</v>
      </c>
      <c r="U14" s="770">
        <f t="shared" si="1"/>
        <v>100</v>
      </c>
      <c r="V14" s="769" t="s">
        <v>17</v>
      </c>
      <c r="W14" s="770">
        <f t="shared" si="2"/>
        <v>100</v>
      </c>
      <c r="X14" s="771"/>
      <c r="Y14" s="3132"/>
      <c r="Z14" s="55">
        <f t="shared" si="7"/>
        <v>111</v>
      </c>
      <c r="AA14" s="772">
        <f t="shared" si="3"/>
        <v>1</v>
      </c>
      <c r="AB14" s="772">
        <f t="shared" si="4"/>
        <v>1</v>
      </c>
      <c r="AC14" s="772">
        <f t="shared" si="5"/>
        <v>1</v>
      </c>
    </row>
    <row r="15" spans="1:29" ht="15">
      <c r="A15" s="439" t="s">
        <v>2544</v>
      </c>
      <c r="B15" s="628" t="s">
        <v>2783</v>
      </c>
      <c r="C15" s="2694" t="str">
        <f>估价对象房地状况!G15</f>
        <v>较好</v>
      </c>
      <c r="D15" s="440">
        <v>100</v>
      </c>
      <c r="E15" s="441"/>
      <c r="F15" s="440">
        <f>SUMIF(83:83,E16,84:84)-SUMIF(83:83,C16,84:84)+100</f>
        <v>98</v>
      </c>
      <c r="G15" s="441"/>
      <c r="H15" s="440">
        <f>SUMIF(83:83,G16,84:84)-SUMIF(83:83,C16,84:84)+100</f>
        <v>98</v>
      </c>
      <c r="I15" s="443"/>
      <c r="J15" s="440">
        <f>SUMIF(83:83,I16,84:84)-SUMIF(83:83,C16,84:84)+100</f>
        <v>98</v>
      </c>
      <c r="K15" s="672">
        <v>2</v>
      </c>
      <c r="L15" s="1142"/>
      <c r="M15" s="1133"/>
      <c r="N15" s="1133"/>
      <c r="O15" s="1141"/>
      <c r="P15" s="3339" t="s">
        <v>2545</v>
      </c>
      <c r="Q15" s="1812" t="str">
        <f t="shared" si="6"/>
        <v>产业集聚程度</v>
      </c>
      <c r="R15" s="773" t="s">
        <v>17</v>
      </c>
      <c r="S15" s="774">
        <f t="shared" si="0"/>
        <v>98</v>
      </c>
      <c r="T15" s="773" t="s">
        <v>17</v>
      </c>
      <c r="U15" s="774">
        <f t="shared" si="1"/>
        <v>98</v>
      </c>
      <c r="V15" s="773" t="s">
        <v>17</v>
      </c>
      <c r="W15" s="774">
        <f t="shared" si="2"/>
        <v>98</v>
      </c>
      <c r="X15" s="1815"/>
      <c r="Y15" s="3339" t="s">
        <v>2545</v>
      </c>
      <c r="Z15" s="1816" t="str">
        <f t="shared" si="7"/>
        <v>产业集聚程度</v>
      </c>
      <c r="AA15" s="1813">
        <f t="shared" si="3"/>
        <v>1.0204081632653061</v>
      </c>
      <c r="AB15" s="1813">
        <f t="shared" si="4"/>
        <v>1.0204081632653061</v>
      </c>
      <c r="AC15" s="1813">
        <f t="shared" si="5"/>
        <v>1.0204081632653061</v>
      </c>
    </row>
    <row r="16" spans="1:29" ht="15">
      <c r="A16" s="427"/>
      <c r="B16" s="629"/>
      <c r="C16" s="446" t="s">
        <v>3239</v>
      </c>
      <c r="D16" s="447"/>
      <c r="E16" s="446" t="s">
        <v>3240</v>
      </c>
      <c r="F16" s="447"/>
      <c r="G16" s="446" t="s">
        <v>3240</v>
      </c>
      <c r="H16" s="449"/>
      <c r="I16" s="446" t="s">
        <v>3240</v>
      </c>
      <c r="J16" s="447"/>
      <c r="K16" s="671"/>
      <c r="L16" s="1142"/>
      <c r="M16" s="1133"/>
      <c r="N16" s="1133"/>
      <c r="O16" s="1141"/>
      <c r="P16" s="3340"/>
      <c r="Q16" s="1812"/>
      <c r="R16" s="773"/>
      <c r="S16" s="774"/>
      <c r="T16" s="773"/>
      <c r="U16" s="774"/>
      <c r="V16" s="773"/>
      <c r="W16" s="774"/>
      <c r="X16" s="1815"/>
      <c r="Y16" s="3340"/>
      <c r="Z16" s="1816"/>
      <c r="AA16" s="1813">
        <v>1</v>
      </c>
      <c r="AB16" s="1813">
        <v>1</v>
      </c>
      <c r="AC16" s="1813">
        <v>1</v>
      </c>
    </row>
    <row r="17" spans="1:29" ht="15">
      <c r="A17" s="427"/>
      <c r="B17" s="630" t="s">
        <v>2694</v>
      </c>
      <c r="C17" s="2608" t="str">
        <f>估价对象房地状况!G16</f>
        <v>较好</v>
      </c>
      <c r="D17" s="449">
        <v>100</v>
      </c>
      <c r="E17" s="451"/>
      <c r="F17" s="454">
        <f>SUMIF(85:85,E18,86:86)-SUMIF(85:85,C18,86:86)+100</f>
        <v>98</v>
      </c>
      <c r="G17" s="451"/>
      <c r="H17" s="454">
        <f>SUMIF(85:85,G18,86:86)-SUMIF(85:85,C18,86:86)+100</f>
        <v>98</v>
      </c>
      <c r="I17" s="453"/>
      <c r="J17" s="449">
        <f>SUMIF(85:85,I18,86:86)-SUMIF(85:85,C18,86:86)+100</f>
        <v>98</v>
      </c>
      <c r="K17" s="672">
        <v>2</v>
      </c>
      <c r="L17" s="1142"/>
      <c r="M17" s="1133"/>
      <c r="N17" s="1133"/>
      <c r="O17" s="1141"/>
      <c r="P17" s="3340"/>
      <c r="Q17" s="1812" t="str">
        <f>B17</f>
        <v>交通便捷度</v>
      </c>
      <c r="R17" s="773" t="s">
        <v>17</v>
      </c>
      <c r="S17" s="774">
        <f>F17</f>
        <v>98</v>
      </c>
      <c r="T17" s="773" t="s">
        <v>17</v>
      </c>
      <c r="U17" s="774">
        <f>H17</f>
        <v>98</v>
      </c>
      <c r="V17" s="773" t="s">
        <v>17</v>
      </c>
      <c r="W17" s="774">
        <f>J17</f>
        <v>98</v>
      </c>
      <c r="X17" s="1815"/>
      <c r="Y17" s="3340"/>
      <c r="Z17" s="1816" t="str">
        <f>Q17</f>
        <v>交通便捷度</v>
      </c>
      <c r="AA17" s="1813">
        <f t="shared" si="3"/>
        <v>1.0204081632653061</v>
      </c>
      <c r="AB17" s="1813">
        <f t="shared" si="4"/>
        <v>1.0204081632653061</v>
      </c>
      <c r="AC17" s="1813">
        <f t="shared" si="5"/>
        <v>1.0204081632653061</v>
      </c>
    </row>
    <row r="18" spans="1:29" ht="15">
      <c r="A18" s="427"/>
      <c r="B18" s="631"/>
      <c r="C18" s="446" t="s">
        <v>3239</v>
      </c>
      <c r="D18" s="447"/>
      <c r="E18" s="446" t="s">
        <v>3240</v>
      </c>
      <c r="F18" s="447"/>
      <c r="G18" s="446" t="s">
        <v>3240</v>
      </c>
      <c r="H18" s="447"/>
      <c r="I18" s="446" t="s">
        <v>3240</v>
      </c>
      <c r="J18" s="447"/>
      <c r="K18" s="671"/>
      <c r="L18" s="1142"/>
      <c r="M18" s="1133"/>
      <c r="N18" s="1133"/>
      <c r="O18" s="1141"/>
      <c r="P18" s="3340"/>
      <c r="Q18" s="1812"/>
      <c r="R18" s="773"/>
      <c r="S18" s="774"/>
      <c r="T18" s="773"/>
      <c r="U18" s="774"/>
      <c r="V18" s="773"/>
      <c r="W18" s="774"/>
      <c r="X18" s="1815"/>
      <c r="Y18" s="3340"/>
      <c r="Z18" s="1816"/>
      <c r="AA18" s="1813">
        <v>1</v>
      </c>
      <c r="AB18" s="1813">
        <v>1</v>
      </c>
      <c r="AC18" s="1813">
        <v>1</v>
      </c>
    </row>
    <row r="19" spans="1:29" ht="15">
      <c r="A19" s="427"/>
      <c r="B19" s="630" t="s">
        <v>2733</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v>2</v>
      </c>
      <c r="L19" s="1142"/>
      <c r="M19" s="1133"/>
      <c r="N19" s="1133"/>
      <c r="O19" s="1141"/>
      <c r="P19" s="3340"/>
      <c r="Q19" s="1812" t="str">
        <f t="shared" ref="Q19:Q33" si="8">B19</f>
        <v>区域土地利用方向</v>
      </c>
      <c r="R19" s="773" t="s">
        <v>17</v>
      </c>
      <c r="S19" s="774">
        <f>F19</f>
        <v>100</v>
      </c>
      <c r="T19" s="773" t="s">
        <v>17</v>
      </c>
      <c r="U19" s="774">
        <f>H19</f>
        <v>100</v>
      </c>
      <c r="V19" s="773" t="s">
        <v>17</v>
      </c>
      <c r="W19" s="774">
        <f>J19</f>
        <v>100</v>
      </c>
      <c r="X19" s="1815"/>
      <c r="Y19" s="3340"/>
      <c r="Z19" s="1816" t="str">
        <f>Q19</f>
        <v>区域土地利用方向</v>
      </c>
      <c r="AA19" s="1813">
        <f t="shared" si="3"/>
        <v>1</v>
      </c>
      <c r="AB19" s="1813">
        <f t="shared" si="4"/>
        <v>1</v>
      </c>
      <c r="AC19" s="1813">
        <f t="shared" si="5"/>
        <v>1</v>
      </c>
    </row>
    <row r="20" spans="1:29" ht="15">
      <c r="A20" s="403"/>
      <c r="B20" s="631"/>
      <c r="C20" s="446" t="s">
        <v>3239</v>
      </c>
      <c r="D20" s="447"/>
      <c r="E20" s="446" t="s">
        <v>3239</v>
      </c>
      <c r="F20" s="447"/>
      <c r="G20" s="446" t="s">
        <v>3239</v>
      </c>
      <c r="H20" s="447"/>
      <c r="I20" s="446" t="s">
        <v>3239</v>
      </c>
      <c r="J20" s="447"/>
      <c r="K20" s="811"/>
      <c r="L20" s="1142"/>
      <c r="M20" s="1133"/>
      <c r="N20" s="1133"/>
      <c r="O20" s="1141"/>
      <c r="P20" s="3340"/>
      <c r="Q20" s="1812"/>
      <c r="R20" s="773"/>
      <c r="S20" s="774"/>
      <c r="T20" s="773"/>
      <c r="U20" s="774"/>
      <c r="V20" s="773"/>
      <c r="W20" s="774"/>
      <c r="X20" s="1815"/>
      <c r="Y20" s="3340"/>
      <c r="Z20" s="1816"/>
      <c r="AA20" s="1813"/>
      <c r="AB20" s="1813"/>
      <c r="AC20" s="1813"/>
    </row>
    <row r="21" spans="1:29" ht="15">
      <c r="A21" s="403"/>
      <c r="B21" s="630" t="s">
        <v>2784</v>
      </c>
      <c r="C21" s="2608" t="str">
        <f>估价对象房地状况!G18</f>
        <v>一般</v>
      </c>
      <c r="D21" s="449">
        <v>100</v>
      </c>
      <c r="E21" s="451"/>
      <c r="F21" s="449">
        <f>SUMIF(89:89,E22,90:90)-SUMIF(89:89,C22,90:90)+100</f>
        <v>100</v>
      </c>
      <c r="G21" s="451"/>
      <c r="H21" s="449">
        <f>SUMIF(89:89,G22,90:90)-SUMIF(89:89,C22,90:90)+100</f>
        <v>100</v>
      </c>
      <c r="I21" s="453"/>
      <c r="J21" s="449">
        <f>SUMIF(89:89,I22,90:90)-SUMIF(89:89,C22,90:90)+100</f>
        <v>100</v>
      </c>
      <c r="K21" s="672">
        <v>2</v>
      </c>
      <c r="L21" s="1142"/>
      <c r="M21" s="1133"/>
      <c r="N21" s="1133"/>
      <c r="O21" s="1141"/>
      <c r="P21" s="3340"/>
      <c r="Q21" s="1812" t="str">
        <f t="shared" si="8"/>
        <v>环境状况</v>
      </c>
      <c r="R21" s="773" t="s">
        <v>17</v>
      </c>
      <c r="S21" s="774">
        <f>F21</f>
        <v>100</v>
      </c>
      <c r="T21" s="773" t="s">
        <v>17</v>
      </c>
      <c r="U21" s="774">
        <f>H21</f>
        <v>100</v>
      </c>
      <c r="V21" s="773" t="s">
        <v>17</v>
      </c>
      <c r="W21" s="774">
        <f>J21</f>
        <v>100</v>
      </c>
      <c r="X21" s="1815"/>
      <c r="Y21" s="3340"/>
      <c r="Z21" s="1816" t="str">
        <f>Q21</f>
        <v>环境状况</v>
      </c>
      <c r="AA21" s="1813">
        <f t="shared" si="3"/>
        <v>1</v>
      </c>
      <c r="AB21" s="1813">
        <f t="shared" si="4"/>
        <v>1</v>
      </c>
      <c r="AC21" s="1813">
        <f t="shared" si="5"/>
        <v>1</v>
      </c>
    </row>
    <row r="22" spans="1:29" ht="15">
      <c r="A22" s="403"/>
      <c r="B22" s="631"/>
      <c r="C22" s="446" t="s">
        <v>3240</v>
      </c>
      <c r="D22" s="447"/>
      <c r="E22" s="446" t="s">
        <v>3240</v>
      </c>
      <c r="F22" s="447"/>
      <c r="G22" s="446" t="s">
        <v>3240</v>
      </c>
      <c r="H22" s="447"/>
      <c r="I22" s="446" t="s">
        <v>3240</v>
      </c>
      <c r="J22" s="447"/>
      <c r="K22" s="671"/>
      <c r="L22" s="1142"/>
      <c r="M22" s="1133"/>
      <c r="N22" s="1133"/>
      <c r="O22" s="1141"/>
      <c r="P22" s="3340"/>
      <c r="Q22" s="1812"/>
      <c r="R22" s="773"/>
      <c r="S22" s="774"/>
      <c r="T22" s="773"/>
      <c r="U22" s="774"/>
      <c r="V22" s="773"/>
      <c r="W22" s="774"/>
      <c r="X22" s="1815"/>
      <c r="Y22" s="3340"/>
      <c r="Z22" s="1816"/>
      <c r="AA22" s="1813">
        <v>1</v>
      </c>
      <c r="AB22" s="1813">
        <v>1</v>
      </c>
      <c r="AC22" s="1813">
        <v>1</v>
      </c>
    </row>
    <row r="23" spans="1:29" s="117" customFormat="1" ht="15">
      <c r="A23" s="648"/>
      <c r="B23" s="632" t="s">
        <v>2639</v>
      </c>
      <c r="C23" s="2608" t="str">
        <f>估价对象房地状况!G19</f>
        <v>较好</v>
      </c>
      <c r="D23" s="449">
        <v>100</v>
      </c>
      <c r="E23" s="451"/>
      <c r="F23" s="449">
        <f>SUMIF(91:91,E24,92:92)-SUMIF(91:91,C24,92:92)+100</f>
        <v>98</v>
      </c>
      <c r="G23" s="451"/>
      <c r="H23" s="449">
        <f>SUMIF(91:91,G24,92:92)-SUMIF(91:91,C24,92:92)+100</f>
        <v>98</v>
      </c>
      <c r="I23" s="453"/>
      <c r="J23" s="449">
        <f>SUMIF(91:91,I24,92:92)-SUMIF(91:91,C24,92:92)+100</f>
        <v>98</v>
      </c>
      <c r="K23" s="672">
        <v>2</v>
      </c>
      <c r="L23" s="1134"/>
      <c r="M23" s="1135"/>
      <c r="N23" s="1135"/>
      <c r="O23" s="1136"/>
      <c r="P23" s="3340"/>
      <c r="Q23" s="1797" t="str">
        <f t="shared" si="8"/>
        <v>公共配套设施</v>
      </c>
      <c r="R23" s="769" t="s">
        <v>17</v>
      </c>
      <c r="S23" s="770">
        <f>F23</f>
        <v>98</v>
      </c>
      <c r="T23" s="769" t="s">
        <v>17</v>
      </c>
      <c r="U23" s="770">
        <f>H23</f>
        <v>98</v>
      </c>
      <c r="V23" s="769" t="s">
        <v>17</v>
      </c>
      <c r="W23" s="770">
        <f>J23</f>
        <v>98</v>
      </c>
      <c r="X23" s="771"/>
      <c r="Y23" s="3340"/>
      <c r="Z23" s="55" t="str">
        <f>Q23</f>
        <v>公共配套设施</v>
      </c>
      <c r="AA23" s="1813">
        <f>D23/F23</f>
        <v>1.0204081632653061</v>
      </c>
      <c r="AB23" s="1813">
        <f>D23/H23</f>
        <v>1.0204081632653061</v>
      </c>
      <c r="AC23" s="1813">
        <f>D23/J23</f>
        <v>1.0204081632653061</v>
      </c>
    </row>
    <row r="24" spans="1:29" s="117" customFormat="1" ht="15">
      <c r="A24" s="648"/>
      <c r="B24" s="631"/>
      <c r="C24" s="2701" t="s">
        <v>3239</v>
      </c>
      <c r="D24" s="447"/>
      <c r="E24" s="2701" t="s">
        <v>3240</v>
      </c>
      <c r="F24" s="447"/>
      <c r="G24" s="2701" t="s">
        <v>3240</v>
      </c>
      <c r="H24" s="447"/>
      <c r="I24" s="2701" t="s">
        <v>3240</v>
      </c>
      <c r="J24" s="447"/>
      <c r="K24" s="671"/>
      <c r="L24" s="1134"/>
      <c r="M24" s="1135"/>
      <c r="N24" s="1135"/>
      <c r="O24" s="1136"/>
      <c r="P24" s="3340"/>
      <c r="Q24" s="1797"/>
      <c r="R24" s="769"/>
      <c r="S24" s="770"/>
      <c r="T24" s="769"/>
      <c r="U24" s="770"/>
      <c r="V24" s="769"/>
      <c r="W24" s="770"/>
      <c r="X24" s="771"/>
      <c r="Y24" s="3340"/>
      <c r="Z24" s="55"/>
      <c r="AA24" s="772">
        <v>1</v>
      </c>
      <c r="AB24" s="772">
        <v>1</v>
      </c>
      <c r="AC24" s="772">
        <v>1</v>
      </c>
    </row>
    <row r="25" spans="1:29" s="117" customFormat="1" ht="15">
      <c r="A25" s="648"/>
      <c r="B25" s="632" t="s">
        <v>2640</v>
      </c>
      <c r="C25" s="2608" t="str">
        <f>估价对象房地状况!G20</f>
        <v>七通</v>
      </c>
      <c r="D25" s="449">
        <v>100</v>
      </c>
      <c r="E25" s="451"/>
      <c r="F25" s="449">
        <f>SUMIF(93:93,E26,94:94)-SUMIF(93:93,C26,94:94)+100</f>
        <v>100</v>
      </c>
      <c r="G25" s="451"/>
      <c r="H25" s="449">
        <f>SUMIF(93:93,G26,94:94)-SUMIF(93:93,C26,94:94)+100</f>
        <v>100</v>
      </c>
      <c r="I25" s="453"/>
      <c r="J25" s="449">
        <f>SUMIF(93:93,I26,94:94)-SUMIF(93:93,C26,94:94)+100</f>
        <v>100</v>
      </c>
      <c r="K25" s="672">
        <v>1</v>
      </c>
      <c r="L25" s="1134"/>
      <c r="M25" s="1135"/>
      <c r="N25" s="1135"/>
      <c r="O25" s="1136"/>
      <c r="P25" s="3340"/>
      <c r="Q25" s="1797" t="str">
        <f t="shared" ref="Q25" si="9">B25</f>
        <v>基础设施水平</v>
      </c>
      <c r="R25" s="769" t="s">
        <v>17</v>
      </c>
      <c r="S25" s="770">
        <f>F25</f>
        <v>100</v>
      </c>
      <c r="T25" s="769" t="s">
        <v>17</v>
      </c>
      <c r="U25" s="770">
        <f>H25</f>
        <v>100</v>
      </c>
      <c r="V25" s="769" t="s">
        <v>17</v>
      </c>
      <c r="W25" s="770">
        <f>J25</f>
        <v>100</v>
      </c>
      <c r="X25" s="771"/>
      <c r="Y25" s="3340"/>
      <c r="Z25" s="55" t="str">
        <f>Q25</f>
        <v>基础设施水平</v>
      </c>
      <c r="AA25" s="1813">
        <f>D25/F25</f>
        <v>1</v>
      </c>
      <c r="AB25" s="1813">
        <f>D25/H25</f>
        <v>1</v>
      </c>
      <c r="AC25" s="1813">
        <f>D25/J25</f>
        <v>1</v>
      </c>
    </row>
    <row r="26" spans="1:29" s="117" customFormat="1" ht="15">
      <c r="A26" s="648"/>
      <c r="B26" s="631"/>
      <c r="C26" s="2701" t="s">
        <v>3255</v>
      </c>
      <c r="D26" s="447"/>
      <c r="E26" s="2701" t="s">
        <v>3255</v>
      </c>
      <c r="F26" s="447"/>
      <c r="G26" s="2701" t="s">
        <v>3255</v>
      </c>
      <c r="H26" s="447"/>
      <c r="I26" s="2701" t="s">
        <v>3255</v>
      </c>
      <c r="J26" s="447"/>
      <c r="K26" s="671"/>
      <c r="L26" s="1134"/>
      <c r="M26" s="1135"/>
      <c r="N26" s="1135"/>
      <c r="O26" s="1136"/>
      <c r="P26" s="3340"/>
      <c r="Q26" s="1797"/>
      <c r="R26" s="769"/>
      <c r="S26" s="770"/>
      <c r="T26" s="769"/>
      <c r="U26" s="770"/>
      <c r="V26" s="769"/>
      <c r="W26" s="770"/>
      <c r="X26" s="771"/>
      <c r="Y26" s="3340"/>
      <c r="Z26" s="55"/>
      <c r="AA26" s="772">
        <v>1</v>
      </c>
      <c r="AB26" s="772">
        <v>1</v>
      </c>
      <c r="AC26" s="772">
        <v>1</v>
      </c>
    </row>
    <row r="27" spans="1:29" ht="15">
      <c r="A27" s="427"/>
      <c r="B27" s="631" t="s">
        <v>2641</v>
      </c>
      <c r="C27" s="615" t="s">
        <v>3272</v>
      </c>
      <c r="D27" s="434">
        <v>100</v>
      </c>
      <c r="E27" s="615" t="s">
        <v>3273</v>
      </c>
      <c r="F27" s="434">
        <f>SUMIF(95:95,E27,96:96)-SUMIF(95:95,C27,96:96)+100</f>
        <v>96</v>
      </c>
      <c r="G27" s="615" t="s">
        <v>3274</v>
      </c>
      <c r="H27" s="434">
        <f>SUMIF(95:95,G27,96:96)-SUMIF(95:95,C27,96:96)+100</f>
        <v>98</v>
      </c>
      <c r="I27" s="615" t="s">
        <v>3272</v>
      </c>
      <c r="J27" s="434">
        <f>SUMIF(95:95,I27,96:96)-SUMIF(95:95,C27,96:96)+100</f>
        <v>100</v>
      </c>
      <c r="K27" s="672">
        <v>2</v>
      </c>
      <c r="L27" s="1142"/>
      <c r="M27" s="1133"/>
      <c r="N27" s="1133"/>
      <c r="O27" s="1141"/>
      <c r="P27" s="3340"/>
      <c r="Q27" s="1812" t="str">
        <f t="shared" si="8"/>
        <v>临街状况</v>
      </c>
      <c r="R27" s="773" t="s">
        <v>17</v>
      </c>
      <c r="S27" s="774">
        <f t="shared" ref="S27:S40" si="10">F27</f>
        <v>96</v>
      </c>
      <c r="T27" s="773" t="s">
        <v>17</v>
      </c>
      <c r="U27" s="774">
        <f t="shared" ref="U27:U40" si="11">H27</f>
        <v>98</v>
      </c>
      <c r="V27" s="773" t="s">
        <v>17</v>
      </c>
      <c r="W27" s="774">
        <f t="shared" ref="W27:W40" si="12">J27</f>
        <v>100</v>
      </c>
      <c r="X27" s="1815"/>
      <c r="Y27" s="3340"/>
      <c r="Z27" s="1816" t="str">
        <f t="shared" ref="Z27:Z40" si="13">Q27</f>
        <v>临街状况</v>
      </c>
      <c r="AA27" s="1813">
        <f t="shared" si="3"/>
        <v>1.0416666666666667</v>
      </c>
      <c r="AB27" s="1813">
        <f t="shared" si="4"/>
        <v>1.0204081632653061</v>
      </c>
      <c r="AC27" s="1813">
        <f t="shared" si="5"/>
        <v>1</v>
      </c>
    </row>
    <row r="28" spans="1:29" ht="27">
      <c r="A28" s="427"/>
      <c r="B28" s="632" t="s">
        <v>2676</v>
      </c>
      <c r="C28" s="2714">
        <f>估价对象房地状况!G22</f>
        <v>0</v>
      </c>
      <c r="D28" s="449">
        <v>100</v>
      </c>
      <c r="E28" s="451"/>
      <c r="F28" s="449">
        <f>SUMIF(97:97,E29,98:98)-SUMIF(97:97,C29,98:98)+100</f>
        <v>92</v>
      </c>
      <c r="G28" s="451"/>
      <c r="H28" s="449">
        <f>SUMIF(97:97,G29,98:98)-SUMIF(97:97,C29,98:98)+100</f>
        <v>92</v>
      </c>
      <c r="I28" s="453"/>
      <c r="J28" s="449">
        <f>SUMIF(97:97,I29,98:98)-SUMIF(97:97,C29,98:98)+100</f>
        <v>92</v>
      </c>
      <c r="K28" s="672">
        <v>2</v>
      </c>
      <c r="L28" s="1142"/>
      <c r="M28" s="1133"/>
      <c r="N28" s="1133"/>
      <c r="O28" s="1141"/>
      <c r="P28" s="3340"/>
      <c r="Q28" s="1812" t="str">
        <f t="shared" si="8"/>
        <v>毗邻道路的类型与等级</v>
      </c>
      <c r="R28" s="773" t="s">
        <v>17</v>
      </c>
      <c r="S28" s="774">
        <f t="shared" si="10"/>
        <v>92</v>
      </c>
      <c r="T28" s="773" t="s">
        <v>17</v>
      </c>
      <c r="U28" s="774">
        <f t="shared" si="11"/>
        <v>92</v>
      </c>
      <c r="V28" s="773" t="s">
        <v>17</v>
      </c>
      <c r="W28" s="774">
        <f t="shared" si="12"/>
        <v>92</v>
      </c>
      <c r="X28" s="1815"/>
      <c r="Y28" s="3340"/>
      <c r="Z28" s="1816" t="str">
        <f t="shared" si="13"/>
        <v>毗邻道路的类型与等级</v>
      </c>
      <c r="AA28" s="1813">
        <f t="shared" si="3"/>
        <v>1.0869565217391304</v>
      </c>
      <c r="AB28" s="1813">
        <f t="shared" si="4"/>
        <v>1.0869565217391304</v>
      </c>
      <c r="AC28" s="1813">
        <f t="shared" si="5"/>
        <v>1.0869565217391304</v>
      </c>
    </row>
    <row r="29" spans="1:29" ht="15.75" thickBot="1">
      <c r="A29" s="427"/>
      <c r="B29" s="631"/>
      <c r="C29" s="446" t="s">
        <v>3260</v>
      </c>
      <c r="D29" s="447"/>
      <c r="E29" s="446" t="s">
        <v>3265</v>
      </c>
      <c r="F29" s="447"/>
      <c r="G29" s="446" t="s">
        <v>3265</v>
      </c>
      <c r="H29" s="447"/>
      <c r="I29" s="446" t="s">
        <v>3265</v>
      </c>
      <c r="J29" s="447"/>
      <c r="K29" s="612"/>
      <c r="L29" s="1142"/>
      <c r="M29" s="1133"/>
      <c r="N29" s="1133"/>
      <c r="O29" s="1141"/>
      <c r="P29" s="3340"/>
      <c r="Q29" s="1812"/>
      <c r="R29" s="773"/>
      <c r="S29" s="774"/>
      <c r="T29" s="773"/>
      <c r="U29" s="774"/>
      <c r="V29" s="773"/>
      <c r="W29" s="774"/>
      <c r="X29" s="1815"/>
      <c r="Y29" s="3340"/>
      <c r="Z29" s="1816"/>
      <c r="AA29" s="1813">
        <v>1</v>
      </c>
      <c r="AB29" s="1813">
        <v>1</v>
      </c>
      <c r="AC29" s="1813">
        <v>1</v>
      </c>
    </row>
    <row r="30" spans="1:29" ht="15" hidden="1">
      <c r="A30" s="427"/>
      <c r="B30" s="653" t="s">
        <v>2735</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340"/>
      <c r="Q30" s="1812" t="str">
        <f t="shared" si="8"/>
        <v>土地级别</v>
      </c>
      <c r="R30" s="773" t="s">
        <v>17</v>
      </c>
      <c r="S30" s="774">
        <f t="shared" si="10"/>
        <v>100</v>
      </c>
      <c r="T30" s="773" t="s">
        <v>17</v>
      </c>
      <c r="U30" s="774">
        <f t="shared" si="11"/>
        <v>100</v>
      </c>
      <c r="V30" s="773" t="s">
        <v>17</v>
      </c>
      <c r="W30" s="774">
        <f t="shared" si="12"/>
        <v>100</v>
      </c>
      <c r="X30" s="1815"/>
      <c r="Y30" s="3340"/>
      <c r="Z30" s="1816" t="str">
        <f t="shared" si="13"/>
        <v>土地级别</v>
      </c>
      <c r="AA30" s="1813">
        <f t="shared" si="3"/>
        <v>1</v>
      </c>
      <c r="AB30" s="1813">
        <f t="shared" si="4"/>
        <v>1</v>
      </c>
      <c r="AC30" s="1813">
        <f t="shared" si="5"/>
        <v>1</v>
      </c>
    </row>
    <row r="31" spans="1:29" ht="15" hidden="1">
      <c r="A31" s="403"/>
      <c r="B31" s="2679">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340"/>
      <c r="Q31" s="1812">
        <f t="shared" si="8"/>
        <v>111</v>
      </c>
      <c r="R31" s="773" t="s">
        <v>17</v>
      </c>
      <c r="S31" s="774">
        <f t="shared" si="10"/>
        <v>100</v>
      </c>
      <c r="T31" s="773" t="s">
        <v>17</v>
      </c>
      <c r="U31" s="774">
        <f t="shared" si="11"/>
        <v>100</v>
      </c>
      <c r="V31" s="773" t="s">
        <v>17</v>
      </c>
      <c r="W31" s="774">
        <f t="shared" si="12"/>
        <v>100</v>
      </c>
      <c r="X31" s="1815"/>
      <c r="Y31" s="3340"/>
      <c r="Z31" s="1816">
        <f t="shared" si="13"/>
        <v>111</v>
      </c>
      <c r="AA31" s="1813">
        <f t="shared" si="3"/>
        <v>1</v>
      </c>
      <c r="AB31" s="1813">
        <f t="shared" si="4"/>
        <v>1</v>
      </c>
      <c r="AC31" s="1813">
        <f t="shared" si="5"/>
        <v>1</v>
      </c>
    </row>
    <row r="32" spans="1:29" ht="15" hidden="1">
      <c r="A32" s="674"/>
      <c r="B32" s="2715">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363" t="s">
        <v>2550</v>
      </c>
      <c r="Q32" s="1812">
        <f t="shared" si="8"/>
        <v>111</v>
      </c>
      <c r="R32" s="773" t="s">
        <v>17</v>
      </c>
      <c r="S32" s="774">
        <f t="shared" si="10"/>
        <v>100</v>
      </c>
      <c r="T32" s="773" t="s">
        <v>17</v>
      </c>
      <c r="U32" s="774">
        <f t="shared" si="11"/>
        <v>100</v>
      </c>
      <c r="V32" s="773" t="s">
        <v>17</v>
      </c>
      <c r="W32" s="774">
        <f t="shared" si="12"/>
        <v>100</v>
      </c>
      <c r="X32" s="1815"/>
      <c r="Y32" s="3344" t="s">
        <v>2550</v>
      </c>
      <c r="Z32" s="1816">
        <f t="shared" si="13"/>
        <v>111</v>
      </c>
      <c r="AA32" s="1813">
        <f t="shared" si="3"/>
        <v>1</v>
      </c>
      <c r="AB32" s="1813">
        <f t="shared" si="4"/>
        <v>1</v>
      </c>
      <c r="AC32" s="1813">
        <f t="shared" si="5"/>
        <v>1</v>
      </c>
    </row>
    <row r="33" spans="1:29" s="470" customFormat="1" ht="15.75" hidden="1" thickBot="1">
      <c r="A33" s="675"/>
      <c r="B33" s="2716">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344"/>
      <c r="Q33" s="1812">
        <f t="shared" si="8"/>
        <v>111</v>
      </c>
      <c r="R33" s="776" t="s">
        <v>17</v>
      </c>
      <c r="S33" s="777">
        <f t="shared" si="10"/>
        <v>100</v>
      </c>
      <c r="T33" s="776" t="s">
        <v>17</v>
      </c>
      <c r="U33" s="777">
        <f t="shared" si="11"/>
        <v>100</v>
      </c>
      <c r="V33" s="776" t="s">
        <v>17</v>
      </c>
      <c r="W33" s="777">
        <f t="shared" si="12"/>
        <v>100</v>
      </c>
      <c r="X33" s="778"/>
      <c r="Y33" s="3344"/>
      <c r="Z33" s="779">
        <f t="shared" si="13"/>
        <v>111</v>
      </c>
      <c r="AA33" s="1813">
        <f t="shared" si="3"/>
        <v>1</v>
      </c>
      <c r="AB33" s="1813">
        <f t="shared" si="4"/>
        <v>1</v>
      </c>
      <c r="AC33" s="1813">
        <f t="shared" si="5"/>
        <v>1</v>
      </c>
    </row>
    <row r="34" spans="1:29" ht="15">
      <c r="A34" s="439" t="s">
        <v>2548</v>
      </c>
      <c r="B34" s="455" t="s">
        <v>2736</v>
      </c>
      <c r="C34" s="678">
        <f>'数据-汇总表'!D3</f>
        <v>34445.57</v>
      </c>
      <c r="D34" s="466">
        <v>100</v>
      </c>
      <c r="E34" s="678">
        <v>4280.58</v>
      </c>
      <c r="F34" s="466">
        <f>LOOKUP(E34,108:108,109:109)-LOOKUP(C34,108:108,109:109)+100</f>
        <v>99</v>
      </c>
      <c r="G34" s="678">
        <v>11912.8</v>
      </c>
      <c r="H34" s="466">
        <f>LOOKUP(G34,108:108,109:109)-LOOKUP(C34,108:108,109:109)+100</f>
        <v>100</v>
      </c>
      <c r="I34" s="529">
        <v>71328.36</v>
      </c>
      <c r="J34" s="466">
        <f>LOOKUP(I34,108:108,109:109)-LOOKUP(C34,108:108,109:109)+100</f>
        <v>101</v>
      </c>
      <c r="K34" s="612"/>
      <c r="L34" s="1142"/>
      <c r="M34" s="1133"/>
      <c r="N34" s="1133"/>
      <c r="O34" s="1141"/>
      <c r="P34" s="3344"/>
      <c r="Q34" s="1812" t="str">
        <f>B34</f>
        <v>宗地面积</v>
      </c>
      <c r="R34" s="773" t="s">
        <v>17</v>
      </c>
      <c r="S34" s="774">
        <f t="shared" si="10"/>
        <v>99</v>
      </c>
      <c r="T34" s="773" t="s">
        <v>17</v>
      </c>
      <c r="U34" s="774">
        <f t="shared" si="11"/>
        <v>100</v>
      </c>
      <c r="V34" s="773" t="s">
        <v>17</v>
      </c>
      <c r="W34" s="774">
        <f t="shared" si="12"/>
        <v>101</v>
      </c>
      <c r="X34" s="1815"/>
      <c r="Y34" s="3344"/>
      <c r="Z34" s="1816" t="str">
        <f t="shared" si="13"/>
        <v>宗地面积</v>
      </c>
      <c r="AA34" s="1813">
        <f t="shared" si="3"/>
        <v>1.0101010101010102</v>
      </c>
      <c r="AB34" s="1813">
        <f t="shared" si="4"/>
        <v>1</v>
      </c>
      <c r="AC34" s="1813">
        <f t="shared" si="5"/>
        <v>0.99009900990099009</v>
      </c>
    </row>
    <row r="35" spans="1:29" ht="15">
      <c r="A35" s="471"/>
      <c r="B35" s="421" t="s">
        <v>2737</v>
      </c>
      <c r="C35" s="3048" t="s">
        <v>3270</v>
      </c>
      <c r="D35" s="434">
        <v>100</v>
      </c>
      <c r="E35" s="3048" t="s">
        <v>3256</v>
      </c>
      <c r="F35" s="434">
        <f>SUMIF(110:110,E35,111:111)-SUMIF(110:110,C35,111:111)+100</f>
        <v>106</v>
      </c>
      <c r="G35" s="3048" t="s">
        <v>3256</v>
      </c>
      <c r="H35" s="434">
        <f>SUMIF(110:110,G35,111:111)-SUMIF(110:110,C35,111:111)+100</f>
        <v>106</v>
      </c>
      <c r="I35" s="3048" t="s">
        <v>3256</v>
      </c>
      <c r="J35" s="434">
        <f>SUMIF(110:110,I35,111:111)-SUMIF(110:110,C35,111:111)+100</f>
        <v>106</v>
      </c>
      <c r="K35" s="611">
        <v>2</v>
      </c>
      <c r="L35" s="1142"/>
      <c r="M35" s="1133"/>
      <c r="N35" s="1133"/>
      <c r="O35" s="1141"/>
      <c r="P35" s="3344"/>
      <c r="Q35" s="1812" t="str">
        <f t="shared" ref="Q35:Q40" si="14">B35</f>
        <v>宗地形状</v>
      </c>
      <c r="R35" s="773" t="s">
        <v>17</v>
      </c>
      <c r="S35" s="774">
        <f t="shared" si="10"/>
        <v>106</v>
      </c>
      <c r="T35" s="773" t="s">
        <v>17</v>
      </c>
      <c r="U35" s="774">
        <f t="shared" si="11"/>
        <v>106</v>
      </c>
      <c r="V35" s="773" t="s">
        <v>17</v>
      </c>
      <c r="W35" s="774">
        <f t="shared" si="12"/>
        <v>106</v>
      </c>
      <c r="X35" s="1815"/>
      <c r="Y35" s="3344"/>
      <c r="Z35" s="1816" t="str">
        <f t="shared" si="13"/>
        <v>宗地形状</v>
      </c>
      <c r="AA35" s="1813">
        <f t="shared" si="3"/>
        <v>0.94339622641509435</v>
      </c>
      <c r="AB35" s="1813">
        <f t="shared" si="4"/>
        <v>0.94339622641509435</v>
      </c>
      <c r="AC35" s="1813">
        <f t="shared" si="5"/>
        <v>0.94339622641509435</v>
      </c>
    </row>
    <row r="36" spans="1:29" s="117" customFormat="1" ht="15">
      <c r="A36" s="472"/>
      <c r="B36" s="421" t="s">
        <v>2739</v>
      </c>
      <c r="C36" s="3049" t="s">
        <v>3257</v>
      </c>
      <c r="D36" s="135">
        <v>100</v>
      </c>
      <c r="E36" s="3049" t="s">
        <v>3257</v>
      </c>
      <c r="F36" s="434">
        <f>SUMIF(112:112,E36,113:113)-SUMIF(112:112,C36,113:113)+100</f>
        <v>100</v>
      </c>
      <c r="G36" s="3049" t="s">
        <v>3257</v>
      </c>
      <c r="H36" s="434">
        <f>SUMIF(112:112,G36,113:113)-SUMIF(112:112,C36,113:113)+100</f>
        <v>100</v>
      </c>
      <c r="I36" s="3049" t="s">
        <v>3257</v>
      </c>
      <c r="J36" s="434">
        <f>SUMIF(112:112,I36,113:113)-SUMIF(112:112,C36,113:113)+100</f>
        <v>100</v>
      </c>
      <c r="K36" s="611">
        <v>1</v>
      </c>
      <c r="L36" s="1134"/>
      <c r="M36" s="1135"/>
      <c r="N36" s="1135"/>
      <c r="O36" s="1136"/>
      <c r="P36" s="3344"/>
      <c r="Q36" s="1812" t="str">
        <f t="shared" si="14"/>
        <v>宗地开发程度</v>
      </c>
      <c r="R36" s="769" t="s">
        <v>17</v>
      </c>
      <c r="S36" s="770">
        <f t="shared" si="10"/>
        <v>100</v>
      </c>
      <c r="T36" s="769" t="s">
        <v>17</v>
      </c>
      <c r="U36" s="770">
        <f t="shared" si="11"/>
        <v>100</v>
      </c>
      <c r="V36" s="769" t="s">
        <v>17</v>
      </c>
      <c r="W36" s="770">
        <f t="shared" si="12"/>
        <v>100</v>
      </c>
      <c r="X36" s="771"/>
      <c r="Y36" s="3344"/>
      <c r="Z36" s="55" t="str">
        <f t="shared" si="13"/>
        <v>宗地开发程度</v>
      </c>
      <c r="AA36" s="772">
        <f t="shared" si="3"/>
        <v>1</v>
      </c>
      <c r="AB36" s="772">
        <f t="shared" si="4"/>
        <v>1</v>
      </c>
      <c r="AC36" s="772">
        <f t="shared" si="5"/>
        <v>1</v>
      </c>
    </row>
    <row r="37" spans="1:29" ht="15.75" thickBot="1">
      <c r="A37" s="471"/>
      <c r="B37" s="421" t="s">
        <v>2740</v>
      </c>
      <c r="C37" s="3048" t="s">
        <v>3258</v>
      </c>
      <c r="D37" s="434">
        <v>100</v>
      </c>
      <c r="E37" s="3048" t="s">
        <v>3258</v>
      </c>
      <c r="F37" s="434">
        <f>SUMIF(114:114,E37,115:115)-SUMIF(114:114,C37,115:115)+100</f>
        <v>100</v>
      </c>
      <c r="G37" s="3048" t="s">
        <v>3258</v>
      </c>
      <c r="H37" s="434">
        <f>SUMIF(114:114,G37,115:115)-SUMIF(114:114,C37,115:115)+100</f>
        <v>100</v>
      </c>
      <c r="I37" s="3048" t="s">
        <v>3258</v>
      </c>
      <c r="J37" s="434">
        <f>SUMIF(114:114,I37,115:115)-SUMIF(114:114,C37,115:115)+100</f>
        <v>100</v>
      </c>
      <c r="K37" s="611">
        <v>2</v>
      </c>
      <c r="L37" s="1142"/>
      <c r="M37" s="1133"/>
      <c r="N37" s="1133"/>
      <c r="O37" s="1141"/>
      <c r="P37" s="3344" t="s">
        <v>2550</v>
      </c>
      <c r="Q37" s="1812" t="str">
        <f t="shared" si="14"/>
        <v>工程地质条件</v>
      </c>
      <c r="R37" s="773" t="s">
        <v>17</v>
      </c>
      <c r="S37" s="774">
        <f t="shared" si="10"/>
        <v>100</v>
      </c>
      <c r="T37" s="773" t="s">
        <v>17</v>
      </c>
      <c r="U37" s="774">
        <f t="shared" si="11"/>
        <v>100</v>
      </c>
      <c r="V37" s="773" t="s">
        <v>17</v>
      </c>
      <c r="W37" s="774">
        <f t="shared" si="12"/>
        <v>100</v>
      </c>
      <c r="X37" s="1815"/>
      <c r="Y37" s="3344" t="s">
        <v>2550</v>
      </c>
      <c r="Z37" s="1816" t="str">
        <f t="shared" si="13"/>
        <v>工程地质条件</v>
      </c>
      <c r="AA37" s="1813">
        <f t="shared" si="3"/>
        <v>1</v>
      </c>
      <c r="AB37" s="1813">
        <f t="shared" si="4"/>
        <v>1</v>
      </c>
      <c r="AC37" s="1813">
        <f t="shared" si="5"/>
        <v>1</v>
      </c>
    </row>
    <row r="38" spans="1:29" ht="15" hidden="1">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344"/>
      <c r="Q38" s="1812">
        <f t="shared" si="14"/>
        <v>111</v>
      </c>
      <c r="R38" s="773" t="s">
        <v>17</v>
      </c>
      <c r="S38" s="774">
        <f t="shared" si="10"/>
        <v>100</v>
      </c>
      <c r="T38" s="773" t="s">
        <v>17</v>
      </c>
      <c r="U38" s="774">
        <f t="shared" si="11"/>
        <v>100</v>
      </c>
      <c r="V38" s="773" t="s">
        <v>17</v>
      </c>
      <c r="W38" s="774">
        <f t="shared" si="12"/>
        <v>100</v>
      </c>
      <c r="X38" s="1815"/>
      <c r="Y38" s="3344"/>
      <c r="Z38" s="1816">
        <f t="shared" si="13"/>
        <v>111</v>
      </c>
      <c r="AA38" s="1813">
        <f t="shared" si="3"/>
        <v>1</v>
      </c>
      <c r="AB38" s="1813">
        <f t="shared" si="4"/>
        <v>1</v>
      </c>
      <c r="AC38" s="1813">
        <f t="shared" si="5"/>
        <v>1</v>
      </c>
    </row>
    <row r="39" spans="1:29" ht="15" hidden="1">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344"/>
      <c r="Q39" s="1812">
        <f t="shared" si="14"/>
        <v>111</v>
      </c>
      <c r="R39" s="773" t="s">
        <v>17</v>
      </c>
      <c r="S39" s="774">
        <f t="shared" si="10"/>
        <v>100</v>
      </c>
      <c r="T39" s="773" t="s">
        <v>17</v>
      </c>
      <c r="U39" s="774">
        <f t="shared" si="11"/>
        <v>100</v>
      </c>
      <c r="V39" s="773" t="s">
        <v>17</v>
      </c>
      <c r="W39" s="774">
        <f t="shared" si="12"/>
        <v>100</v>
      </c>
      <c r="X39" s="1815"/>
      <c r="Y39" s="3344"/>
      <c r="Z39" s="1816">
        <f t="shared" si="13"/>
        <v>111</v>
      </c>
      <c r="AA39" s="1813">
        <f t="shared" si="3"/>
        <v>1</v>
      </c>
      <c r="AB39" s="1813">
        <f t="shared" si="4"/>
        <v>1</v>
      </c>
      <c r="AC39" s="1813">
        <f t="shared" si="5"/>
        <v>1</v>
      </c>
    </row>
    <row r="40" spans="1:29" s="470" customFormat="1" ht="15.75" hidden="1" thickBot="1">
      <c r="A40" s="467"/>
      <c r="B40" s="1389">
        <v>111</v>
      </c>
      <c r="C40" s="2704"/>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344"/>
      <c r="Q40" s="1812">
        <f t="shared" si="14"/>
        <v>111</v>
      </c>
      <c r="R40" s="776" t="s">
        <v>17</v>
      </c>
      <c r="S40" s="777">
        <f t="shared" si="10"/>
        <v>100</v>
      </c>
      <c r="T40" s="776" t="s">
        <v>17</v>
      </c>
      <c r="U40" s="777">
        <f t="shared" si="11"/>
        <v>100</v>
      </c>
      <c r="V40" s="776" t="s">
        <v>17</v>
      </c>
      <c r="W40" s="777">
        <f t="shared" si="12"/>
        <v>100</v>
      </c>
      <c r="X40" s="778"/>
      <c r="Y40" s="3344"/>
      <c r="Z40" s="779">
        <f t="shared" si="13"/>
        <v>111</v>
      </c>
      <c r="AA40" s="1813">
        <f t="shared" si="3"/>
        <v>1</v>
      </c>
      <c r="AB40" s="1813">
        <f t="shared" si="4"/>
        <v>1</v>
      </c>
      <c r="AC40" s="1813">
        <f t="shared" si="5"/>
        <v>1</v>
      </c>
    </row>
    <row r="41" spans="1:29" ht="15">
      <c r="A41" s="478" t="s">
        <v>2705</v>
      </c>
      <c r="B41" s="2705" t="s">
        <v>3259</v>
      </c>
      <c r="C41" s="681" t="s">
        <v>1</v>
      </c>
      <c r="D41" s="480"/>
      <c r="E41" s="481">
        <v>1500</v>
      </c>
      <c r="F41" s="482"/>
      <c r="G41" s="483">
        <v>1509</v>
      </c>
      <c r="H41" s="484"/>
      <c r="I41" s="481">
        <v>1257</v>
      </c>
      <c r="J41" s="484"/>
      <c r="K41" s="782"/>
      <c r="L41" s="1145"/>
      <c r="M41" s="1133"/>
      <c r="N41" s="1133"/>
      <c r="O41" s="1146"/>
      <c r="P41" s="3337" t="str">
        <f>A41</f>
        <v>成交单价</v>
      </c>
      <c r="Q41" s="3337"/>
      <c r="R41" s="3332">
        <f>E41</f>
        <v>1500</v>
      </c>
      <c r="S41" s="3332"/>
      <c r="T41" s="3332">
        <f>G41</f>
        <v>1509</v>
      </c>
      <c r="U41" s="3332"/>
      <c r="V41" s="3332">
        <f>I41</f>
        <v>1257</v>
      </c>
      <c r="W41" s="3332"/>
      <c r="X41" s="758"/>
      <c r="Y41" s="780"/>
      <c r="Z41" s="758"/>
      <c r="AA41" s="758"/>
      <c r="AB41" s="758"/>
      <c r="AC41" s="758"/>
    </row>
    <row r="42" spans="1:29" ht="15.75" thickBot="1">
      <c r="A42" s="485" t="s">
        <v>2654</v>
      </c>
      <c r="B42" s="682"/>
      <c r="C42" s="489">
        <f>R43</f>
        <v>1484</v>
      </c>
      <c r="D42" s="488"/>
      <c r="E42" s="489">
        <f>R42</f>
        <v>1573</v>
      </c>
      <c r="F42" s="490"/>
      <c r="G42" s="487">
        <f>T42</f>
        <v>1566</v>
      </c>
      <c r="H42" s="488"/>
      <c r="I42" s="489">
        <f>V42</f>
        <v>1313</v>
      </c>
      <c r="J42" s="488"/>
      <c r="K42" s="783"/>
      <c r="L42" s="1145"/>
      <c r="M42" s="1133"/>
      <c r="N42" s="1133"/>
      <c r="O42" s="1146"/>
      <c r="P42" s="3337" t="str">
        <f>A42</f>
        <v>比较价值（元/平方米）</v>
      </c>
      <c r="Q42" s="3337"/>
      <c r="R42" s="3364">
        <f>ROUND(PRODUCT(R41,AA7:AA40),0)</f>
        <v>1573</v>
      </c>
      <c r="S42" s="3364"/>
      <c r="T42" s="3364">
        <f>ROUND(PRODUCT(T41,AB7:AB40),0)</f>
        <v>1566</v>
      </c>
      <c r="U42" s="3364"/>
      <c r="V42" s="3364">
        <f>ROUND(PRODUCT(V41,AC7:AC40),0)</f>
        <v>1313</v>
      </c>
      <c r="W42" s="3364"/>
      <c r="X42" s="758"/>
      <c r="Y42" s="758"/>
      <c r="Z42" s="758"/>
      <c r="AA42" s="758"/>
      <c r="AB42" s="758"/>
      <c r="AC42" s="758"/>
    </row>
    <row r="43" spans="1:29" ht="15.75" thickBot="1">
      <c r="A43" s="491" t="s">
        <v>2655</v>
      </c>
      <c r="B43" s="492"/>
      <c r="C43" s="493">
        <f>R43</f>
        <v>1484</v>
      </c>
      <c r="D43" s="493"/>
      <c r="E43" s="493"/>
      <c r="F43" s="493"/>
      <c r="G43" s="493"/>
      <c r="H43" s="493"/>
      <c r="I43" s="493"/>
      <c r="J43" s="493"/>
      <c r="K43" s="784"/>
      <c r="L43" s="1145"/>
      <c r="M43" s="1133"/>
      <c r="N43" s="1133"/>
      <c r="O43" s="1146"/>
      <c r="P43" s="3334" t="str">
        <f>A43</f>
        <v>估价对象XX用房的比较价值（楼面单价，元/平方米）</v>
      </c>
      <c r="Q43" s="3335"/>
      <c r="R43" s="3365">
        <f>ROUND(AVERAGE(R42:V42),0)</f>
        <v>1484</v>
      </c>
      <c r="S43" s="3365"/>
      <c r="T43" s="3365"/>
      <c r="U43" s="3365"/>
      <c r="V43" s="3365"/>
      <c r="W43" s="3365"/>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2656</v>
      </c>
      <c r="D46" s="497"/>
      <c r="E46" s="498">
        <f>IF(E41&lt;E42,E42/E41-1,E41/E42-1)</f>
        <v>4.8666666666666636E-2</v>
      </c>
      <c r="F46" s="499" t="str">
        <f>IF(OR(E46&gt;=0.3,E46&lt;=-0.3),"超过30%","")</f>
        <v/>
      </c>
      <c r="G46" s="498">
        <f>IF(G41&lt;G42,G42/G41-1,G41/G42-1)</f>
        <v>3.7773359840954202E-2</v>
      </c>
      <c r="H46" s="499" t="str">
        <f>IF(OR(G46&gt;=0.3,G46&lt;=-0.3),"超过30%","")</f>
        <v/>
      </c>
      <c r="I46" s="498">
        <f>IF(I41&lt;I42,I42/I41-1,I41/I42-1)</f>
        <v>4.4550517104216425E-2</v>
      </c>
      <c r="J46" s="499" t="str">
        <f>IF(OR(I46&gt;=0.3,I46&lt;=-0.3),"超过30%","")</f>
        <v/>
      </c>
      <c r="K46" s="1107"/>
      <c r="L46" s="1108"/>
      <c r="M46" s="1133"/>
      <c r="N46" s="1133"/>
      <c r="O46" s="1146"/>
    </row>
    <row r="47" spans="1:29" ht="13.5" customHeight="1">
      <c r="A47" s="1146"/>
      <c r="B47" s="1146"/>
      <c r="C47" s="496" t="s">
        <v>2657</v>
      </c>
      <c r="D47" s="500"/>
      <c r="E47" s="498">
        <f>IF(E42&lt;G42,G42/E42-1,E42/G42-1)</f>
        <v>4.4699872286078079E-3</v>
      </c>
      <c r="F47" s="499" t="str">
        <f>IF(OR(E47&gt;=0.2,E47&lt;=-0.2),"超过20%","")</f>
        <v/>
      </c>
      <c r="G47" s="498">
        <f>IF(G42&lt;I42,I42/G42-1,G42/I42-1)</f>
        <v>0.19268849961919265</v>
      </c>
      <c r="H47" s="499" t="str">
        <f>IF(OR(G47&gt;=0.2,G47&lt;=-0.2),"超过20%","")</f>
        <v/>
      </c>
      <c r="I47" s="498">
        <f>IF(I42&lt;E42,E42/I42-1,I42/E42-1)</f>
        <v>0.19801980198019797</v>
      </c>
      <c r="J47" s="499" t="str">
        <f>IF(OR(I47&gt;=0.2,I47&lt;=-0.2),"超过20%","")</f>
        <v/>
      </c>
      <c r="K47" s="1107"/>
      <c r="L47" s="1108"/>
      <c r="M47" s="1146"/>
      <c r="N47" s="1146"/>
      <c r="O47" s="1146"/>
    </row>
    <row r="48" spans="1:29" s="501" customFormat="1" ht="13.5" customHeight="1">
      <c r="A48" s="1147"/>
      <c r="B48" s="1147"/>
      <c r="C48" s="496" t="s">
        <v>2658</v>
      </c>
      <c r="D48" s="500"/>
      <c r="E48" s="498">
        <f>IF(E41&lt;G41,G41/E41-1,E41/G41-1)</f>
        <v>6.0000000000000053E-3</v>
      </c>
      <c r="F48" s="499" t="str">
        <f>IF(OR(E48&gt;=0.3,E48&lt;=-0.3),"超过30%","")</f>
        <v/>
      </c>
      <c r="G48" s="498">
        <f>IF(G41&lt;I41,I41/G41-1,G41/I41-1)</f>
        <v>0.20047732696897369</v>
      </c>
      <c r="H48" s="499" t="str">
        <f>IF(OR(G48&gt;=0.3,G48&lt;=-0.3),"超过30%","")</f>
        <v/>
      </c>
      <c r="I48" s="498">
        <f>IF(I41&lt;E41,E41/I41-1,I41/E41-1)</f>
        <v>0.19331742243436745</v>
      </c>
      <c r="J48" s="499" t="str">
        <f>IF(OR(I48&gt;=0.3,I48&lt;=-0.3),"超过30%","")</f>
        <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2743</v>
      </c>
      <c r="B50" s="684" t="s">
        <v>2744</v>
      </c>
      <c r="C50" s="2706" t="s">
        <v>2745</v>
      </c>
      <c r="D50" s="2707" t="s">
        <v>2746</v>
      </c>
      <c r="E50" s="685" t="s">
        <v>2747</v>
      </c>
      <c r="F50" s="686" t="s">
        <v>2748</v>
      </c>
      <c r="G50" s="3320" t="s">
        <v>2749</v>
      </c>
      <c r="H50" s="3366"/>
      <c r="I50" s="1816" t="s">
        <v>2785</v>
      </c>
      <c r="J50" s="1816">
        <f>项目基本情况!F35</f>
        <v>0</v>
      </c>
      <c r="K50" s="2709" t="s">
        <v>2751</v>
      </c>
      <c r="L50" s="1108"/>
      <c r="M50" s="1146"/>
      <c r="N50" s="1146"/>
      <c r="O50" s="1146"/>
    </row>
    <row r="51" spans="1:17" s="691" customFormat="1">
      <c r="A51" s="687" t="s">
        <v>2752</v>
      </c>
      <c r="B51" s="688">
        <f>C43</f>
        <v>1484</v>
      </c>
      <c r="C51" s="689">
        <v>1</v>
      </c>
      <c r="D51" s="1165">
        <v>1</v>
      </c>
      <c r="E51" s="689">
        <f>'数据-汇总表'!E8+'数据-汇总表'!E9</f>
        <v>47005.780000000006</v>
      </c>
      <c r="F51" s="690">
        <f t="shared" ref="F51:F60" si="15">ROUND(B51*E51/10000,0)</f>
        <v>6976</v>
      </c>
      <c r="G51" s="3319"/>
      <c r="H51" s="3337"/>
      <c r="I51" s="944">
        <v>1</v>
      </c>
      <c r="J51" s="944">
        <v>1</v>
      </c>
      <c r="K51" s="1147"/>
      <c r="L51" s="943"/>
      <c r="M51" s="943"/>
      <c r="N51" s="943"/>
      <c r="O51" s="943"/>
    </row>
    <row r="52" spans="1:17" s="691" customFormat="1">
      <c r="A52" s="692" t="s">
        <v>2753</v>
      </c>
      <c r="B52" s="261">
        <f>ROUND($C$43*C52*D52,0)</f>
        <v>0</v>
      </c>
      <c r="C52" s="199">
        <f t="shared" ref="C52:C60" si="16">IF($C$50="北京市系数",I52,J52)</f>
        <v>0</v>
      </c>
      <c r="D52" s="1166">
        <v>0.25</v>
      </c>
      <c r="E52" s="693"/>
      <c r="F52" s="690">
        <f t="shared" si="15"/>
        <v>0</v>
      </c>
      <c r="G52" s="3367" t="s">
        <v>2754</v>
      </c>
      <c r="H52" s="1106">
        <f>项目基本情况!B37</f>
        <v>0</v>
      </c>
      <c r="I52" s="944">
        <f>SUMIF(修正!A45:A56,H52,修正!B45:B56)</f>
        <v>0</v>
      </c>
      <c r="J52" s="945"/>
      <c r="K52" s="1146"/>
      <c r="L52" s="943"/>
      <c r="M52" s="943"/>
      <c r="N52" s="943"/>
      <c r="O52" s="943"/>
    </row>
    <row r="53" spans="1:17" s="691" customFormat="1">
      <c r="A53" s="692" t="s">
        <v>2755</v>
      </c>
      <c r="B53" s="261">
        <f t="shared" ref="B53:B60" si="17">ROUND($C$43*C53*D53,0)</f>
        <v>0</v>
      </c>
      <c r="C53" s="199">
        <f t="shared" si="16"/>
        <v>0</v>
      </c>
      <c r="D53" s="1166">
        <v>0.25</v>
      </c>
      <c r="E53" s="693"/>
      <c r="F53" s="690">
        <f t="shared" si="15"/>
        <v>0</v>
      </c>
      <c r="G53" s="3367"/>
      <c r="H53" s="1106">
        <f>项目基本情况!B37</f>
        <v>0</v>
      </c>
      <c r="I53" s="944">
        <f>SUMIF(修正!A45:A56,H53,修正!C45:C56)</f>
        <v>0</v>
      </c>
      <c r="J53" s="945"/>
      <c r="K53" s="1147"/>
      <c r="L53" s="943"/>
      <c r="M53" s="943"/>
      <c r="N53" s="943"/>
      <c r="O53" s="943"/>
    </row>
    <row r="54" spans="1:17" s="691" customFormat="1">
      <c r="A54" s="692" t="s">
        <v>2756</v>
      </c>
      <c r="B54" s="261">
        <f t="shared" si="17"/>
        <v>0</v>
      </c>
      <c r="C54" s="199">
        <f t="shared" si="16"/>
        <v>0</v>
      </c>
      <c r="D54" s="1166">
        <v>0.25</v>
      </c>
      <c r="E54" s="693"/>
      <c r="F54" s="690">
        <f t="shared" si="15"/>
        <v>0</v>
      </c>
      <c r="G54" s="3367"/>
      <c r="H54" s="1106">
        <f>项目基本情况!B37</f>
        <v>0</v>
      </c>
      <c r="I54" s="944">
        <f>SUMIF(修正!A45:A56,H54,修正!D45:D56)</f>
        <v>0</v>
      </c>
      <c r="J54" s="945"/>
      <c r="K54" s="1146"/>
      <c r="L54" s="943"/>
      <c r="M54" s="943"/>
      <c r="N54" s="943"/>
      <c r="O54" s="943"/>
    </row>
    <row r="55" spans="1:17" s="691" customFormat="1">
      <c r="A55" s="692" t="s">
        <v>2757</v>
      </c>
      <c r="B55" s="261">
        <f t="shared" si="17"/>
        <v>0</v>
      </c>
      <c r="C55" s="199">
        <f t="shared" si="16"/>
        <v>0</v>
      </c>
      <c r="D55" s="1166">
        <v>0.25</v>
      </c>
      <c r="E55" s="693"/>
      <c r="F55" s="690">
        <f t="shared" si="15"/>
        <v>0</v>
      </c>
      <c r="G55" s="3367"/>
      <c r="H55" s="1106">
        <f>项目基本情况!B37</f>
        <v>0</v>
      </c>
      <c r="I55" s="944">
        <f>SUMIF(修正!A45:A56,H55,修正!E45:E56)</f>
        <v>0</v>
      </c>
      <c r="J55" s="945"/>
      <c r="K55" s="1147"/>
      <c r="L55" s="943"/>
      <c r="M55" s="943"/>
      <c r="N55" s="943"/>
      <c r="O55" s="943"/>
    </row>
    <row r="56" spans="1:17" s="691" customFormat="1">
      <c r="A56" s="692" t="s">
        <v>2758</v>
      </c>
      <c r="B56" s="261">
        <f t="shared" si="17"/>
        <v>0</v>
      </c>
      <c r="C56" s="199">
        <f t="shared" si="16"/>
        <v>0</v>
      </c>
      <c r="D56" s="1166">
        <v>0.25</v>
      </c>
      <c r="E56" s="260">
        <f>'数据-汇总表'!E11</f>
        <v>0</v>
      </c>
      <c r="F56" s="690">
        <f t="shared" si="15"/>
        <v>0</v>
      </c>
      <c r="G56" s="2710" t="s">
        <v>2759</v>
      </c>
      <c r="H56" s="1106">
        <f>项目基本情况!C37</f>
        <v>0</v>
      </c>
      <c r="I56" s="944">
        <f>SUMIF(修正!A45:A56,H56,修正!F45:F56)</f>
        <v>0</v>
      </c>
      <c r="J56" s="945"/>
      <c r="K56" s="1146"/>
      <c r="L56" s="943"/>
      <c r="M56" s="943"/>
      <c r="N56" s="943"/>
      <c r="O56" s="943"/>
    </row>
    <row r="57" spans="1:17" s="691" customFormat="1">
      <c r="A57" s="692" t="s">
        <v>2760</v>
      </c>
      <c r="B57" s="261">
        <f t="shared" si="17"/>
        <v>0</v>
      </c>
      <c r="C57" s="199">
        <f t="shared" si="16"/>
        <v>0</v>
      </c>
      <c r="D57" s="1166">
        <v>0.25</v>
      </c>
      <c r="E57" s="260">
        <f>'数据-汇总表'!E12</f>
        <v>0</v>
      </c>
      <c r="F57" s="690">
        <f t="shared" si="15"/>
        <v>0</v>
      </c>
      <c r="G57" s="1111" t="s">
        <v>2761</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2762</v>
      </c>
      <c r="B58" s="261">
        <f t="shared" si="17"/>
        <v>0</v>
      </c>
      <c r="C58" s="199">
        <f t="shared" si="16"/>
        <v>0</v>
      </c>
      <c r="D58" s="1166">
        <v>0.25</v>
      </c>
      <c r="E58" s="260">
        <f>'数据-汇总表'!E13</f>
        <v>0</v>
      </c>
      <c r="F58" s="690">
        <f t="shared" si="15"/>
        <v>0</v>
      </c>
      <c r="G58" s="1111" t="s">
        <v>2763</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2764</v>
      </c>
      <c r="B59" s="261">
        <f t="shared" si="17"/>
        <v>0</v>
      </c>
      <c r="C59" s="199">
        <f t="shared" si="16"/>
        <v>0</v>
      </c>
      <c r="D59" s="1166">
        <v>0.25</v>
      </c>
      <c r="E59" s="260">
        <f>'数据-汇总表'!E14</f>
        <v>0</v>
      </c>
      <c r="F59" s="690">
        <f t="shared" si="15"/>
        <v>0</v>
      </c>
      <c r="G59" s="2710" t="s">
        <v>2754</v>
      </c>
      <c r="H59" s="1106">
        <f>项目基本情况!B37</f>
        <v>0</v>
      </c>
      <c r="I59" s="944">
        <f>SUMIF(修正!A45:A56,H59,修正!H45:H56)</f>
        <v>0</v>
      </c>
      <c r="J59" s="945"/>
      <c r="K59" s="1147"/>
      <c r="L59" s="943"/>
      <c r="M59" s="943"/>
      <c r="N59" s="943"/>
      <c r="O59" s="943"/>
    </row>
    <row r="60" spans="1:17" s="691" customFormat="1" ht="15" thickBot="1">
      <c r="A60" s="692" t="s">
        <v>2765</v>
      </c>
      <c r="B60" s="261">
        <f t="shared" si="17"/>
        <v>0</v>
      </c>
      <c r="C60" s="199">
        <f t="shared" si="16"/>
        <v>0</v>
      </c>
      <c r="D60" s="1166">
        <v>0.25</v>
      </c>
      <c r="E60" s="260">
        <f>'数据-汇总表'!E15</f>
        <v>0</v>
      </c>
      <c r="F60" s="690">
        <f t="shared" si="15"/>
        <v>0</v>
      </c>
      <c r="G60" s="2711" t="s">
        <v>2759</v>
      </c>
      <c r="H60" s="1116">
        <f>项目基本情况!C37</f>
        <v>0</v>
      </c>
      <c r="I60" s="944">
        <f>SUMIF(修正!A45:A56,H60,修正!H45:H56)</f>
        <v>0</v>
      </c>
      <c r="J60" s="945"/>
      <c r="K60" s="1146"/>
      <c r="L60" s="943"/>
      <c r="M60" s="943"/>
      <c r="N60" s="943"/>
      <c r="O60" s="943"/>
    </row>
    <row r="61" spans="1:17" s="691" customFormat="1" ht="15" thickBot="1">
      <c r="A61" s="694" t="s">
        <v>2766</v>
      </c>
      <c r="B61" s="695" t="s">
        <v>28</v>
      </c>
      <c r="C61" s="695" t="s">
        <v>29</v>
      </c>
      <c r="D61" s="695" t="s">
        <v>1029</v>
      </c>
      <c r="E61" s="695">
        <f>IF(B41="楼面地价",SUM(E51:E60),'数据-汇总表'!D3)</f>
        <v>34445.57</v>
      </c>
      <c r="F61" s="696">
        <f>IF(B41="楼面地价",SUM(F51:F60),ROUND(C43*E61/10000,0))</f>
        <v>5112</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2018-1-1</v>
      </c>
      <c r="D63" s="760">
        <f>EDATE(C63,-3)</f>
        <v>43009</v>
      </c>
      <c r="E63" s="760">
        <f>EDATE(D63,-3)</f>
        <v>42917</v>
      </c>
      <c r="F63" s="760">
        <f t="shared" ref="F63:O63" si="18">EDATE(E63,-3)</f>
        <v>42826</v>
      </c>
      <c r="G63" s="760">
        <f t="shared" si="18"/>
        <v>42736</v>
      </c>
      <c r="H63" s="760">
        <f t="shared" si="18"/>
        <v>42644</v>
      </c>
      <c r="I63" s="760">
        <f t="shared" si="18"/>
        <v>42552</v>
      </c>
      <c r="J63" s="760">
        <f t="shared" si="18"/>
        <v>42461</v>
      </c>
      <c r="K63" s="760">
        <f t="shared" si="18"/>
        <v>42370</v>
      </c>
      <c r="L63" s="760">
        <f t="shared" si="18"/>
        <v>42278</v>
      </c>
      <c r="M63" s="760">
        <f t="shared" si="18"/>
        <v>42186</v>
      </c>
      <c r="N63" s="760">
        <f t="shared" si="18"/>
        <v>42095</v>
      </c>
      <c r="O63" s="760">
        <f t="shared" si="18"/>
        <v>42005</v>
      </c>
    </row>
    <row r="64" spans="1:17" ht="21.75" thickBot="1">
      <c r="A64" s="762" t="s">
        <v>2659</v>
      </c>
      <c r="B64" s="758"/>
      <c r="C64" s="763"/>
      <c r="D64" s="763"/>
      <c r="E64" s="763"/>
      <c r="F64" s="764"/>
      <c r="G64" s="764"/>
      <c r="H64" s="763"/>
      <c r="I64" s="763"/>
      <c r="J64" s="763"/>
      <c r="K64" s="765"/>
      <c r="L64" s="766"/>
      <c r="M64" s="763"/>
      <c r="N64" s="763"/>
      <c r="O64" s="1161"/>
      <c r="P64" s="502"/>
      <c r="Q64" s="503"/>
    </row>
    <row r="65" spans="1:17" s="507" customFormat="1" ht="15">
      <c r="A65" s="2712" t="s">
        <v>2767</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6"/>
    </row>
    <row r="66" spans="1:17" s="117" customFormat="1" ht="30.75" customHeight="1">
      <c r="A66" s="2717" t="s">
        <v>2786</v>
      </c>
      <c r="B66" s="331" t="str">
        <f>"北京市平均增长率"&amp;TEXT(基准地价修正!P24,"0.00%")</f>
        <v>北京市平均增长率1.31%</v>
      </c>
      <c r="C66" s="602">
        <v>100</v>
      </c>
      <c r="D66" s="594">
        <f>C66-0.5</f>
        <v>99.5</v>
      </c>
      <c r="E66" s="594">
        <f t="shared" ref="E66:O66" si="20">D66-0.5</f>
        <v>99</v>
      </c>
      <c r="F66" s="594">
        <f t="shared" si="20"/>
        <v>98.5</v>
      </c>
      <c r="G66" s="594">
        <f t="shared" si="20"/>
        <v>98</v>
      </c>
      <c r="H66" s="594">
        <f t="shared" si="20"/>
        <v>97.5</v>
      </c>
      <c r="I66" s="594">
        <f t="shared" si="20"/>
        <v>97</v>
      </c>
      <c r="J66" s="594">
        <f t="shared" si="20"/>
        <v>96.5</v>
      </c>
      <c r="K66" s="594">
        <f t="shared" si="20"/>
        <v>96</v>
      </c>
      <c r="L66" s="594">
        <f t="shared" si="20"/>
        <v>95.5</v>
      </c>
      <c r="M66" s="594">
        <f t="shared" si="20"/>
        <v>95</v>
      </c>
      <c r="N66" s="594">
        <f t="shared" si="20"/>
        <v>94.5</v>
      </c>
      <c r="O66" s="594">
        <f t="shared" si="20"/>
        <v>94</v>
      </c>
      <c r="P66" s="503"/>
    </row>
    <row r="67" spans="1:17" s="117" customFormat="1" ht="15.75" thickBot="1">
      <c r="A67" s="514" t="s">
        <v>2570</v>
      </c>
      <c r="B67" s="515"/>
      <c r="C67" s="516"/>
      <c r="D67" s="517"/>
      <c r="E67" s="517"/>
      <c r="F67" s="517"/>
      <c r="G67" s="517"/>
      <c r="H67" s="517"/>
      <c r="I67" s="517"/>
      <c r="J67" s="517"/>
      <c r="K67" s="517"/>
      <c r="L67" s="517"/>
      <c r="M67" s="518"/>
      <c r="N67" s="518"/>
      <c r="O67" s="519"/>
      <c r="P67" s="503"/>
      <c r="Q67" s="503"/>
    </row>
    <row r="68" spans="1:17" s="117" customFormat="1" ht="15">
      <c r="A68" s="520" t="s">
        <v>2535</v>
      </c>
      <c r="B68" s="509"/>
      <c r="C68" s="521" t="s">
        <v>2637</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2573</v>
      </c>
      <c r="B70" s="527" t="s">
        <v>2539</v>
      </c>
      <c r="C70" s="3050" t="s">
        <v>3254</v>
      </c>
      <c r="D70" s="529"/>
      <c r="E70" s="529"/>
      <c r="F70" s="529"/>
      <c r="G70" s="529"/>
      <c r="H70" s="529"/>
      <c r="I70" s="529"/>
      <c r="J70" s="529"/>
      <c r="K70" s="530"/>
      <c r="L70" s="531"/>
      <c r="M70" s="532"/>
      <c r="N70" s="1154"/>
      <c r="O70" s="1154"/>
      <c r="P70" s="45"/>
      <c r="Q70" s="503"/>
    </row>
    <row r="71" spans="1:17" ht="15.75" thickBot="1">
      <c r="A71" s="533"/>
      <c r="B71" s="534"/>
      <c r="C71" s="535">
        <v>100</v>
      </c>
      <c r="D71" s="535"/>
      <c r="E71" s="535"/>
      <c r="F71" s="535"/>
      <c r="G71" s="535"/>
      <c r="H71" s="535"/>
      <c r="I71" s="535"/>
      <c r="J71" s="535"/>
      <c r="K71" s="535"/>
      <c r="L71" s="535"/>
      <c r="M71" s="536"/>
      <c r="N71" s="1155"/>
      <c r="O71" s="1155"/>
      <c r="P71" s="45"/>
      <c r="Q71" s="503"/>
    </row>
    <row r="72" spans="1:17" ht="27.75" thickTop="1">
      <c r="A72" s="533"/>
      <c r="B72" s="537" t="s">
        <v>2542</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2543</v>
      </c>
      <c r="C74" s="546" t="str">
        <f>C75&amp;"（含）"&amp;"-"&amp;D75</f>
        <v>0（含）-1</v>
      </c>
      <c r="D74" s="546" t="str">
        <f t="shared" ref="D74:L74" si="21">D75&amp;"（含）"&amp;"-"&amp;E75</f>
        <v>1（含）-2</v>
      </c>
      <c r="E74" s="546" t="str">
        <f t="shared" si="21"/>
        <v>2（含）-3</v>
      </c>
      <c r="F74" s="546" t="str">
        <f t="shared" si="21"/>
        <v>3（含）-</v>
      </c>
      <c r="G74" s="546" t="str">
        <f t="shared" si="21"/>
        <v>（含）-</v>
      </c>
      <c r="H74" s="546" t="str">
        <f t="shared" si="21"/>
        <v>（含）-</v>
      </c>
      <c r="I74" s="546" t="str">
        <f t="shared" si="21"/>
        <v>（含）-</v>
      </c>
      <c r="J74" s="546" t="str">
        <f t="shared" si="21"/>
        <v>（含）-</v>
      </c>
      <c r="K74" s="546" t="str">
        <f t="shared" si="21"/>
        <v>（含）-</v>
      </c>
      <c r="L74" s="546" t="str">
        <f t="shared" si="21"/>
        <v>（含）-</v>
      </c>
      <c r="M74" s="447" t="str">
        <f>M75&amp;"（含）"&amp;"-"&amp;P75</f>
        <v>（含）-</v>
      </c>
      <c r="N74" s="1155"/>
      <c r="O74" s="1155"/>
      <c r="P74" s="45"/>
      <c r="Q74" s="503"/>
    </row>
    <row r="75" spans="1:17" ht="15">
      <c r="A75" s="533"/>
      <c r="B75" s="547"/>
      <c r="C75" s="548">
        <v>0</v>
      </c>
      <c r="D75" s="548">
        <v>1</v>
      </c>
      <c r="E75" s="548">
        <v>2</v>
      </c>
      <c r="F75" s="548">
        <v>3</v>
      </c>
      <c r="G75" s="548"/>
      <c r="H75" s="548"/>
      <c r="I75" s="548"/>
      <c r="J75" s="548"/>
      <c r="K75" s="549"/>
      <c r="L75" s="550"/>
      <c r="M75" s="551"/>
      <c r="N75" s="1154"/>
      <c r="O75" s="1154"/>
      <c r="P75" s="45"/>
      <c r="Q75" s="503"/>
    </row>
    <row r="76" spans="1:17" ht="15.75" thickBot="1">
      <c r="A76" s="533"/>
      <c r="B76" s="534"/>
      <c r="C76" s="543">
        <v>100</v>
      </c>
      <c r="D76" s="543">
        <f>IF($B$41="单位面积地价",C76+$K11,C76-$K11)</f>
        <v>101</v>
      </c>
      <c r="E76" s="543">
        <f t="shared" ref="E76:M76" si="22">IF($B$41="单位面积地价",D76+$K11,D76-$K11)</f>
        <v>102</v>
      </c>
      <c r="F76" s="543">
        <f t="shared" si="22"/>
        <v>103</v>
      </c>
      <c r="G76" s="543">
        <f t="shared" si="22"/>
        <v>104</v>
      </c>
      <c r="H76" s="543">
        <f t="shared" si="22"/>
        <v>105</v>
      </c>
      <c r="I76" s="543">
        <f t="shared" si="22"/>
        <v>106</v>
      </c>
      <c r="J76" s="543">
        <f t="shared" si="22"/>
        <v>107</v>
      </c>
      <c r="K76" s="543">
        <f t="shared" si="22"/>
        <v>108</v>
      </c>
      <c r="L76" s="543">
        <f t="shared" si="22"/>
        <v>109</v>
      </c>
      <c r="M76" s="543">
        <f t="shared" si="22"/>
        <v>110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2544</v>
      </c>
      <c r="B83" s="527" t="s">
        <v>2690</v>
      </c>
      <c r="C83" s="572" t="s">
        <v>2582</v>
      </c>
      <c r="D83" s="572" t="s">
        <v>2583</v>
      </c>
      <c r="E83" s="572" t="s">
        <v>2584</v>
      </c>
      <c r="F83" s="572" t="s">
        <v>2585</v>
      </c>
      <c r="G83" s="572" t="s">
        <v>2586</v>
      </c>
      <c r="H83" s="528"/>
      <c r="I83" s="528"/>
      <c r="J83" s="528"/>
      <c r="K83" s="573"/>
      <c r="L83" s="574"/>
      <c r="M83" s="575"/>
      <c r="N83" s="1154"/>
      <c r="O83" s="1154"/>
      <c r="P83" s="576"/>
      <c r="Q83" s="503"/>
    </row>
    <row r="84" spans="1:17" ht="15.75" thickBot="1">
      <c r="A84" s="533"/>
      <c r="B84" s="542"/>
      <c r="C84" s="543">
        <v>100</v>
      </c>
      <c r="D84" s="543">
        <f>C84-$K15</f>
        <v>98</v>
      </c>
      <c r="E84" s="543">
        <f>D84-$K15</f>
        <v>96</v>
      </c>
      <c r="F84" s="543">
        <f>E84-$K15</f>
        <v>94</v>
      </c>
      <c r="G84" s="543">
        <f>F84-$K15</f>
        <v>92</v>
      </c>
      <c r="H84" s="543"/>
      <c r="I84" s="543"/>
      <c r="J84" s="543"/>
      <c r="K84" s="543"/>
      <c r="L84" s="543"/>
      <c r="M84" s="544"/>
      <c r="N84" s="1155"/>
      <c r="O84" s="1155"/>
      <c r="P84" s="45"/>
      <c r="Q84" s="503"/>
    </row>
    <row r="85" spans="1:17" ht="15.75" thickTop="1">
      <c r="A85" s="533"/>
      <c r="B85" s="537" t="s">
        <v>2587</v>
      </c>
      <c r="C85" s="577" t="s">
        <v>2582</v>
      </c>
      <c r="D85" s="577" t="s">
        <v>2583</v>
      </c>
      <c r="E85" s="577" t="s">
        <v>2584</v>
      </c>
      <c r="F85" s="577" t="s">
        <v>2585</v>
      </c>
      <c r="G85" s="577" t="s">
        <v>2586</v>
      </c>
      <c r="H85" s="538"/>
      <c r="I85" s="538"/>
      <c r="J85" s="538"/>
      <c r="K85" s="539"/>
      <c r="L85" s="540"/>
      <c r="M85" s="541"/>
      <c r="N85" s="1154"/>
      <c r="O85" s="1154"/>
      <c r="P85" s="45"/>
      <c r="Q85" s="503"/>
    </row>
    <row r="86" spans="1:17" ht="15.75" thickBot="1">
      <c r="A86" s="533"/>
      <c r="B86" s="542"/>
      <c r="C86" s="543">
        <v>100</v>
      </c>
      <c r="D86" s="543">
        <f>C86-$K17</f>
        <v>98</v>
      </c>
      <c r="E86" s="543">
        <f>D86-$K17</f>
        <v>96</v>
      </c>
      <c r="F86" s="543">
        <f>E86-$K17</f>
        <v>94</v>
      </c>
      <c r="G86" s="543">
        <f>F86-$K17</f>
        <v>92</v>
      </c>
      <c r="H86" s="543"/>
      <c r="I86" s="543"/>
      <c r="J86" s="543"/>
      <c r="K86" s="543"/>
      <c r="L86" s="543"/>
      <c r="M86" s="544"/>
      <c r="N86" s="1155"/>
      <c r="O86" s="1155"/>
      <c r="P86" s="45"/>
      <c r="Q86" s="503"/>
    </row>
    <row r="87" spans="1:17" s="117" customFormat="1" ht="15.75" thickTop="1">
      <c r="A87" s="578"/>
      <c r="B87" s="537" t="s">
        <v>2770</v>
      </c>
      <c r="C87" s="572" t="s">
        <v>2582</v>
      </c>
      <c r="D87" s="572" t="s">
        <v>2583</v>
      </c>
      <c r="E87" s="572" t="s">
        <v>2584</v>
      </c>
      <c r="F87" s="572" t="s">
        <v>2585</v>
      </c>
      <c r="G87" s="572" t="s">
        <v>2586</v>
      </c>
      <c r="H87" s="577"/>
      <c r="I87" s="577"/>
      <c r="J87" s="577"/>
      <c r="K87" s="577"/>
      <c r="L87" s="697"/>
      <c r="M87" s="621"/>
      <c r="N87" s="1153"/>
      <c r="O87" s="1153"/>
      <c r="P87" s="45"/>
      <c r="Q87" s="503"/>
    </row>
    <row r="88" spans="1:17" s="117" customFormat="1" ht="15.75" thickBot="1">
      <c r="A88" s="578"/>
      <c r="B88" s="542"/>
      <c r="C88" s="581">
        <v>100</v>
      </c>
      <c r="D88" s="543">
        <f>C88-$K19</f>
        <v>98</v>
      </c>
      <c r="E88" s="543">
        <f>D88-$K19</f>
        <v>96</v>
      </c>
      <c r="F88" s="543">
        <f>E88-$K19</f>
        <v>94</v>
      </c>
      <c r="G88" s="543">
        <f>F88-$K19</f>
        <v>92</v>
      </c>
      <c r="H88" s="543"/>
      <c r="I88" s="543"/>
      <c r="J88" s="543"/>
      <c r="K88" s="543"/>
      <c r="L88" s="543"/>
      <c r="M88" s="544"/>
      <c r="N88" s="1155"/>
      <c r="O88" s="1155"/>
      <c r="P88" s="45"/>
      <c r="Q88" s="503"/>
    </row>
    <row r="89" spans="1:17" s="117" customFormat="1" ht="27.75" thickTop="1">
      <c r="A89" s="578"/>
      <c r="B89" s="537" t="s">
        <v>2771</v>
      </c>
      <c r="C89" s="572" t="s">
        <v>2582</v>
      </c>
      <c r="D89" s="572" t="s">
        <v>2583</v>
      </c>
      <c r="E89" s="572" t="s">
        <v>2584</v>
      </c>
      <c r="F89" s="572" t="s">
        <v>2585</v>
      </c>
      <c r="G89" s="572" t="s">
        <v>2586</v>
      </c>
      <c r="H89" s="577"/>
      <c r="I89" s="577"/>
      <c r="J89" s="577"/>
      <c r="K89" s="577"/>
      <c r="L89" s="577"/>
      <c r="M89" s="621"/>
      <c r="N89" s="1153"/>
      <c r="O89" s="1153"/>
      <c r="P89" s="45"/>
      <c r="Q89" s="503"/>
    </row>
    <row r="90" spans="1:17" s="117" customFormat="1" ht="15.75" thickBot="1">
      <c r="A90" s="578"/>
      <c r="B90" s="542"/>
      <c r="C90" s="543">
        <v>100</v>
      </c>
      <c r="D90" s="543">
        <f>C90-$K21</f>
        <v>98</v>
      </c>
      <c r="E90" s="543">
        <f>D90-$K21</f>
        <v>96</v>
      </c>
      <c r="F90" s="543">
        <f>E90-$K21</f>
        <v>94</v>
      </c>
      <c r="G90" s="543">
        <f>F90-$K21</f>
        <v>92</v>
      </c>
      <c r="H90" s="543"/>
      <c r="I90" s="543"/>
      <c r="J90" s="543"/>
      <c r="K90" s="543"/>
      <c r="L90" s="543"/>
      <c r="M90" s="544"/>
      <c r="N90" s="1155"/>
      <c r="O90" s="1155"/>
      <c r="P90" s="45"/>
      <c r="Q90" s="503"/>
    </row>
    <row r="91" spans="1:17" s="470" customFormat="1" ht="15.75" thickTop="1">
      <c r="A91" s="552"/>
      <c r="B91" s="537" t="s">
        <v>2639</v>
      </c>
      <c r="C91" s="572" t="s">
        <v>2582</v>
      </c>
      <c r="D91" s="572" t="s">
        <v>2583</v>
      </c>
      <c r="E91" s="572" t="s">
        <v>2584</v>
      </c>
      <c r="F91" s="572" t="s">
        <v>2585</v>
      </c>
      <c r="G91" s="572" t="s">
        <v>2586</v>
      </c>
      <c r="H91" s="599"/>
      <c r="I91" s="599"/>
      <c r="J91" s="599"/>
      <c r="K91" s="599"/>
      <c r="L91" s="600"/>
      <c r="M91" s="601"/>
      <c r="N91" s="1156"/>
      <c r="O91" s="1156"/>
      <c r="P91" s="557"/>
      <c r="Q91" s="558"/>
    </row>
    <row r="92" spans="1:17" s="470" customFormat="1" ht="15.75" thickBot="1">
      <c r="A92" s="552"/>
      <c r="B92" s="542"/>
      <c r="C92" s="543">
        <v>100</v>
      </c>
      <c r="D92" s="543">
        <f>C92-$K23</f>
        <v>98</v>
      </c>
      <c r="E92" s="543">
        <f>D92-$K23</f>
        <v>96</v>
      </c>
      <c r="F92" s="543">
        <f>E92-$K23</f>
        <v>94</v>
      </c>
      <c r="G92" s="543">
        <f>F92-$K23</f>
        <v>92</v>
      </c>
      <c r="H92" s="606"/>
      <c r="I92" s="606"/>
      <c r="J92" s="606"/>
      <c r="K92" s="606"/>
      <c r="L92" s="606"/>
      <c r="M92" s="607"/>
      <c r="N92" s="1156"/>
      <c r="O92" s="1156"/>
      <c r="P92" s="557"/>
      <c r="Q92" s="558"/>
    </row>
    <row r="93" spans="1:17" s="470" customFormat="1" ht="15.75" thickTop="1">
      <c r="A93" s="552"/>
      <c r="B93" s="545" t="s">
        <v>2787</v>
      </c>
      <c r="C93" s="659" t="s">
        <v>2660</v>
      </c>
      <c r="D93" s="659" t="s">
        <v>2661</v>
      </c>
      <c r="E93" s="659" t="s">
        <v>2662</v>
      </c>
      <c r="F93" s="659" t="s">
        <v>2663</v>
      </c>
      <c r="G93" s="659" t="s">
        <v>2664</v>
      </c>
      <c r="H93" s="599"/>
      <c r="I93" s="599"/>
      <c r="J93" s="599"/>
      <c r="K93" s="599"/>
      <c r="L93" s="599"/>
      <c r="M93" s="601"/>
      <c r="N93" s="1156"/>
      <c r="O93" s="1156"/>
      <c r="P93" s="557"/>
      <c r="Q93" s="558"/>
    </row>
    <row r="94" spans="1:17" s="470" customFormat="1" ht="15.75" thickBot="1">
      <c r="A94" s="552"/>
      <c r="B94" s="545"/>
      <c r="C94" s="543">
        <v>100</v>
      </c>
      <c r="D94" s="543">
        <f>C94-$K25</f>
        <v>99</v>
      </c>
      <c r="E94" s="543">
        <f>D94-$K25</f>
        <v>98</v>
      </c>
      <c r="F94" s="543">
        <f>E94-$K25</f>
        <v>97</v>
      </c>
      <c r="G94" s="543">
        <f>F94-$K25</f>
        <v>96</v>
      </c>
      <c r="H94" s="547"/>
      <c r="I94" s="547"/>
      <c r="J94" s="547"/>
      <c r="K94" s="547"/>
      <c r="L94" s="547"/>
      <c r="M94" s="1387"/>
      <c r="N94" s="1156"/>
      <c r="O94" s="1156"/>
      <c r="P94" s="557"/>
      <c r="Q94" s="558"/>
    </row>
    <row r="95" spans="1:17" ht="15.75" thickTop="1">
      <c r="A95" s="533"/>
      <c r="B95" s="537" t="str">
        <f>B27</f>
        <v>临街状况</v>
      </c>
      <c r="C95" s="538" t="s">
        <v>2772</v>
      </c>
      <c r="D95" s="538" t="s">
        <v>2773</v>
      </c>
      <c r="E95" s="538" t="s">
        <v>2774</v>
      </c>
      <c r="F95" s="538" t="s">
        <v>2775</v>
      </c>
      <c r="G95" s="538"/>
      <c r="H95" s="538"/>
      <c r="I95" s="538"/>
      <c r="J95" s="538"/>
      <c r="K95" s="539"/>
      <c r="L95" s="540"/>
      <c r="M95" s="541"/>
      <c r="N95" s="1154"/>
      <c r="O95" s="1154"/>
      <c r="P95" s="45"/>
      <c r="Q95" s="503"/>
    </row>
    <row r="96" spans="1:17" ht="15.75" thickBot="1">
      <c r="A96" s="533"/>
      <c r="B96" s="542"/>
      <c r="C96" s="543">
        <v>100</v>
      </c>
      <c r="D96" s="543">
        <f t="shared" ref="D96:M96" si="23">C96-$K27</f>
        <v>98</v>
      </c>
      <c r="E96" s="543">
        <f t="shared" si="23"/>
        <v>96</v>
      </c>
      <c r="F96" s="543">
        <f t="shared" si="23"/>
        <v>94</v>
      </c>
      <c r="G96" s="543">
        <f t="shared" si="23"/>
        <v>92</v>
      </c>
      <c r="H96" s="543">
        <f t="shared" si="23"/>
        <v>90</v>
      </c>
      <c r="I96" s="543">
        <f t="shared" si="23"/>
        <v>88</v>
      </c>
      <c r="J96" s="543">
        <f t="shared" si="23"/>
        <v>86</v>
      </c>
      <c r="K96" s="543">
        <f t="shared" si="23"/>
        <v>84</v>
      </c>
      <c r="L96" s="543">
        <f t="shared" si="23"/>
        <v>82</v>
      </c>
      <c r="M96" s="543">
        <f t="shared" si="23"/>
        <v>80</v>
      </c>
      <c r="N96" s="1155"/>
      <c r="O96" s="1155"/>
      <c r="P96" s="45"/>
      <c r="Q96" s="503"/>
    </row>
    <row r="97" spans="1:17" ht="27.75" thickTop="1">
      <c r="A97" s="533"/>
      <c r="B97" s="537" t="s">
        <v>2676</v>
      </c>
      <c r="C97" s="3051" t="s">
        <v>3261</v>
      </c>
      <c r="D97" s="3051" t="s">
        <v>3262</v>
      </c>
      <c r="E97" s="3051" t="s">
        <v>3263</v>
      </c>
      <c r="F97" s="3051" t="s">
        <v>3264</v>
      </c>
      <c r="G97" s="3051" t="s">
        <v>3266</v>
      </c>
      <c r="H97" s="582"/>
      <c r="I97" s="582"/>
      <c r="J97" s="582"/>
      <c r="K97" s="583"/>
      <c r="L97" s="584"/>
      <c r="M97" s="585"/>
      <c r="N97" s="1154"/>
      <c r="O97" s="1154"/>
      <c r="P97" s="45"/>
      <c r="Q97" s="503"/>
    </row>
    <row r="98" spans="1:17" ht="15.75" thickBot="1">
      <c r="A98" s="533"/>
      <c r="B98" s="542"/>
      <c r="C98" s="543">
        <v>100</v>
      </c>
      <c r="D98" s="543">
        <f t="shared" ref="D98:M98" si="24">C98-$K28</f>
        <v>98</v>
      </c>
      <c r="E98" s="543">
        <f t="shared" si="24"/>
        <v>96</v>
      </c>
      <c r="F98" s="543">
        <f t="shared" si="24"/>
        <v>94</v>
      </c>
      <c r="G98" s="543">
        <f t="shared" si="24"/>
        <v>92</v>
      </c>
      <c r="H98" s="543">
        <f t="shared" si="24"/>
        <v>90</v>
      </c>
      <c r="I98" s="543">
        <f t="shared" si="24"/>
        <v>88</v>
      </c>
      <c r="J98" s="543">
        <f t="shared" si="24"/>
        <v>86</v>
      </c>
      <c r="K98" s="543">
        <f t="shared" si="24"/>
        <v>84</v>
      </c>
      <c r="L98" s="543">
        <f t="shared" si="24"/>
        <v>82</v>
      </c>
      <c r="M98" s="543">
        <f t="shared" si="24"/>
        <v>80</v>
      </c>
      <c r="N98" s="1155"/>
      <c r="O98" s="1155"/>
      <c r="P98" s="45"/>
      <c r="Q98" s="503"/>
    </row>
    <row r="99" spans="1:17" ht="15.75" thickTop="1">
      <c r="A99" s="533"/>
      <c r="B99" s="537" t="s">
        <v>2735</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5">C100-$K30</f>
        <v>100</v>
      </c>
      <c r="E100" s="543">
        <f t="shared" si="25"/>
        <v>100</v>
      </c>
      <c r="F100" s="543">
        <f t="shared" si="25"/>
        <v>100</v>
      </c>
      <c r="G100" s="543">
        <f t="shared" si="25"/>
        <v>100</v>
      </c>
      <c r="H100" s="543">
        <f t="shared" si="25"/>
        <v>100</v>
      </c>
      <c r="I100" s="543">
        <f t="shared" si="25"/>
        <v>100</v>
      </c>
      <c r="J100" s="543">
        <f t="shared" si="25"/>
        <v>100</v>
      </c>
      <c r="K100" s="543">
        <f t="shared" si="25"/>
        <v>100</v>
      </c>
      <c r="L100" s="543">
        <f t="shared" si="25"/>
        <v>100</v>
      </c>
      <c r="M100" s="543">
        <f t="shared" si="25"/>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ht="28.5">
      <c r="A107" s="526" t="s">
        <v>2548</v>
      </c>
      <c r="B107" s="527" t="s">
        <v>2776</v>
      </c>
      <c r="C107" s="528" t="str">
        <f t="shared" ref="C107:L107" si="26">C108&amp;"(含)"&amp;"-"&amp;D108</f>
        <v>0(含)-10000</v>
      </c>
      <c r="D107" s="528" t="str">
        <f t="shared" si="26"/>
        <v>10000(含)-50000</v>
      </c>
      <c r="E107" s="528" t="str">
        <f t="shared" si="26"/>
        <v>50000(含)-100000</v>
      </c>
      <c r="F107" s="528" t="str">
        <f t="shared" si="26"/>
        <v>100000(含)-200000</v>
      </c>
      <c r="G107" s="528" t="str">
        <f t="shared" si="26"/>
        <v>200000(含)-</v>
      </c>
      <c r="H107" s="528" t="str">
        <f t="shared" si="26"/>
        <v>(含)-</v>
      </c>
      <c r="I107" s="528" t="str">
        <f t="shared" si="26"/>
        <v>(含)-</v>
      </c>
      <c r="J107" s="528" t="str">
        <f t="shared" si="26"/>
        <v>(含)-</v>
      </c>
      <c r="K107" s="1768" t="str">
        <f t="shared" si="26"/>
        <v>(含)-</v>
      </c>
      <c r="L107" s="1768" t="str">
        <f t="shared" si="26"/>
        <v>(含)-</v>
      </c>
      <c r="M107" s="1769" t="str">
        <f>M108&amp;"(含)"&amp;"-"&amp;P108</f>
        <v>(含)-</v>
      </c>
      <c r="N107" s="1154"/>
      <c r="O107" s="1154"/>
      <c r="P107" s="45"/>
      <c r="Q107" s="503"/>
    </row>
    <row r="108" spans="1:17" ht="15">
      <c r="A108" s="533"/>
      <c r="B108" s="545"/>
      <c r="C108" s="594">
        <v>0</v>
      </c>
      <c r="D108" s="594">
        <v>10000</v>
      </c>
      <c r="E108" s="594">
        <v>50000</v>
      </c>
      <c r="F108" s="594">
        <v>100000</v>
      </c>
      <c r="G108" s="594">
        <v>200000</v>
      </c>
      <c r="H108" s="594"/>
      <c r="I108" s="594"/>
      <c r="J108" s="595"/>
      <c r="K108" s="595"/>
      <c r="L108" s="596"/>
      <c r="M108" s="597"/>
      <c r="N108" s="1154"/>
      <c r="O108" s="1154"/>
      <c r="P108" s="45"/>
      <c r="Q108" s="503"/>
    </row>
    <row r="109" spans="1:17" ht="15.75" thickBot="1">
      <c r="A109" s="533"/>
      <c r="B109" s="542"/>
      <c r="C109" s="569">
        <v>100</v>
      </c>
      <c r="D109" s="590">
        <f>C109+1</f>
        <v>101</v>
      </c>
      <c r="E109" s="590">
        <f t="shared" ref="E109:G109" si="27">D109+1</f>
        <v>102</v>
      </c>
      <c r="F109" s="590">
        <f t="shared" si="27"/>
        <v>103</v>
      </c>
      <c r="G109" s="590">
        <f t="shared" si="27"/>
        <v>104</v>
      </c>
      <c r="H109" s="590"/>
      <c r="I109" s="590"/>
      <c r="J109" s="590"/>
      <c r="K109" s="590"/>
      <c r="L109" s="590"/>
      <c r="M109" s="591"/>
      <c r="N109" s="1155"/>
      <c r="O109" s="1155"/>
      <c r="P109" s="45"/>
      <c r="Q109" s="503"/>
    </row>
    <row r="110" spans="1:17" ht="15" thickTop="1">
      <c r="A110" s="598"/>
      <c r="B110" s="537" t="s">
        <v>2777</v>
      </c>
      <c r="C110" s="3052" t="s">
        <v>3267</v>
      </c>
      <c r="D110" s="3052" t="s">
        <v>3256</v>
      </c>
      <c r="E110" s="3052" t="s">
        <v>3268</v>
      </c>
      <c r="F110" s="3052" t="s">
        <v>3269</v>
      </c>
      <c r="G110" s="3052" t="s">
        <v>3271</v>
      </c>
      <c r="H110" s="582"/>
      <c r="I110" s="582"/>
      <c r="J110" s="582"/>
      <c r="K110" s="583"/>
      <c r="L110" s="584"/>
      <c r="M110" s="585"/>
      <c r="N110" s="1154"/>
      <c r="O110" s="1154"/>
      <c r="P110" s="45"/>
      <c r="Q110" s="503"/>
    </row>
    <row r="111" spans="1:17" ht="15.75" thickBot="1">
      <c r="A111" s="533"/>
      <c r="B111" s="542"/>
      <c r="C111" s="543">
        <v>100</v>
      </c>
      <c r="D111" s="543">
        <f t="shared" ref="D111:M111" si="28">C111-$K35</f>
        <v>98</v>
      </c>
      <c r="E111" s="543">
        <f t="shared" si="28"/>
        <v>96</v>
      </c>
      <c r="F111" s="543">
        <f t="shared" si="28"/>
        <v>94</v>
      </c>
      <c r="G111" s="543">
        <f t="shared" si="28"/>
        <v>92</v>
      </c>
      <c r="H111" s="543">
        <f t="shared" si="28"/>
        <v>90</v>
      </c>
      <c r="I111" s="543">
        <f t="shared" si="28"/>
        <v>88</v>
      </c>
      <c r="J111" s="543">
        <f t="shared" si="28"/>
        <v>86</v>
      </c>
      <c r="K111" s="543">
        <f t="shared" si="28"/>
        <v>84</v>
      </c>
      <c r="L111" s="543">
        <f t="shared" si="28"/>
        <v>82</v>
      </c>
      <c r="M111" s="544">
        <f t="shared" si="28"/>
        <v>80</v>
      </c>
      <c r="N111" s="1155"/>
      <c r="O111" s="1155"/>
      <c r="P111" s="45"/>
      <c r="Q111" s="503"/>
    </row>
    <row r="112" spans="1:17" s="470" customFormat="1" ht="15" thickTop="1">
      <c r="A112" s="592"/>
      <c r="B112" s="537" t="s">
        <v>2779</v>
      </c>
      <c r="C112" s="3051" t="str">
        <f>C93</f>
        <v>七通</v>
      </c>
      <c r="D112" s="3051" t="str">
        <f t="shared" ref="D112:G112" si="29">D93</f>
        <v>六通</v>
      </c>
      <c r="E112" s="3051" t="str">
        <f t="shared" si="29"/>
        <v>五通</v>
      </c>
      <c r="F112" s="3051" t="str">
        <f t="shared" si="29"/>
        <v>四通</v>
      </c>
      <c r="G112" s="3051" t="str">
        <f t="shared" si="29"/>
        <v>三通</v>
      </c>
      <c r="H112" s="582"/>
      <c r="I112" s="582"/>
      <c r="J112" s="582"/>
      <c r="K112" s="583"/>
      <c r="L112" s="584"/>
      <c r="M112" s="585"/>
      <c r="N112" s="1156"/>
      <c r="O112" s="1156"/>
      <c r="P112" s="557"/>
      <c r="Q112" s="558"/>
    </row>
    <row r="113" spans="1:17" s="470" customFormat="1" ht="15.75" thickBot="1">
      <c r="A113" s="552"/>
      <c r="B113" s="542"/>
      <c r="C113" s="543">
        <v>100</v>
      </c>
      <c r="D113" s="543">
        <f t="shared" ref="D113:M113" si="30">C113-$K36</f>
        <v>99</v>
      </c>
      <c r="E113" s="543">
        <f t="shared" si="30"/>
        <v>98</v>
      </c>
      <c r="F113" s="543">
        <f t="shared" si="30"/>
        <v>97</v>
      </c>
      <c r="G113" s="543">
        <f t="shared" si="30"/>
        <v>96</v>
      </c>
      <c r="H113" s="543">
        <f t="shared" si="30"/>
        <v>95</v>
      </c>
      <c r="I113" s="543">
        <f t="shared" si="30"/>
        <v>94</v>
      </c>
      <c r="J113" s="543">
        <f t="shared" si="30"/>
        <v>93</v>
      </c>
      <c r="K113" s="543">
        <f t="shared" si="30"/>
        <v>92</v>
      </c>
      <c r="L113" s="543">
        <f t="shared" si="30"/>
        <v>91</v>
      </c>
      <c r="M113" s="544">
        <f t="shared" si="30"/>
        <v>90</v>
      </c>
      <c r="N113" s="1156"/>
      <c r="O113" s="1156"/>
      <c r="P113" s="557"/>
      <c r="Q113" s="558"/>
    </row>
    <row r="114" spans="1:17" ht="15" thickTop="1">
      <c r="A114" s="598"/>
      <c r="B114" s="537" t="s">
        <v>2780</v>
      </c>
      <c r="C114" s="553" t="str">
        <f>C89</f>
        <v>好</v>
      </c>
      <c r="D114" s="553" t="str">
        <f t="shared" ref="D114:G114" si="31">D89</f>
        <v>较好</v>
      </c>
      <c r="E114" s="553" t="str">
        <f t="shared" si="31"/>
        <v>一般</v>
      </c>
      <c r="F114" s="553" t="str">
        <f t="shared" si="31"/>
        <v>较差</v>
      </c>
      <c r="G114" s="553" t="str">
        <f t="shared" si="31"/>
        <v>差</v>
      </c>
      <c r="H114" s="582"/>
      <c r="I114" s="582"/>
      <c r="J114" s="582"/>
      <c r="K114" s="583"/>
      <c r="L114" s="584"/>
      <c r="M114" s="585"/>
      <c r="N114" s="1154"/>
      <c r="O114" s="1154"/>
      <c r="P114" s="45"/>
      <c r="Q114" s="503"/>
    </row>
    <row r="115" spans="1:17" ht="15.75" thickBot="1">
      <c r="A115" s="533"/>
      <c r="B115" s="542"/>
      <c r="C115" s="543">
        <v>100</v>
      </c>
      <c r="D115" s="543">
        <f t="shared" ref="D115:M115" si="32">C115-$K37</f>
        <v>98</v>
      </c>
      <c r="E115" s="543">
        <f t="shared" si="32"/>
        <v>96</v>
      </c>
      <c r="F115" s="543">
        <f t="shared" si="32"/>
        <v>94</v>
      </c>
      <c r="G115" s="543">
        <f t="shared" si="32"/>
        <v>92</v>
      </c>
      <c r="H115" s="543">
        <f t="shared" si="32"/>
        <v>90</v>
      </c>
      <c r="I115" s="543">
        <f t="shared" si="32"/>
        <v>88</v>
      </c>
      <c r="J115" s="543">
        <f t="shared" si="32"/>
        <v>86</v>
      </c>
      <c r="K115" s="543">
        <f t="shared" si="32"/>
        <v>84</v>
      </c>
      <c r="L115" s="543">
        <f t="shared" si="32"/>
        <v>82</v>
      </c>
      <c r="M115" s="544">
        <f t="shared" si="32"/>
        <v>80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74" t="s">
        <v>183</v>
      </c>
      <c r="B18" s="881" t="s">
        <v>560</v>
      </c>
      <c r="C18" s="882" t="s">
        <v>561</v>
      </c>
      <c r="D18" s="883"/>
      <c r="E18" s="881">
        <v>1</v>
      </c>
      <c r="F18" s="884" t="s">
        <v>562</v>
      </c>
      <c r="G18" s="885"/>
      <c r="H18" s="877"/>
      <c r="I18" s="877"/>
    </row>
    <row r="19" spans="1:9" s="886" customFormat="1" ht="19.5" customHeight="1">
      <c r="A19" s="3374"/>
      <c r="B19" s="3374" t="s">
        <v>563</v>
      </c>
      <c r="C19" s="882" t="s">
        <v>564</v>
      </c>
      <c r="D19" s="883"/>
      <c r="E19" s="881">
        <v>0.9</v>
      </c>
      <c r="F19" s="884" t="s">
        <v>565</v>
      </c>
      <c r="G19" s="885"/>
      <c r="H19" s="877"/>
      <c r="I19" s="877"/>
    </row>
    <row r="20" spans="1:9" s="886" customFormat="1" ht="19.5" customHeight="1">
      <c r="A20" s="3374"/>
      <c r="B20" s="3374"/>
      <c r="C20" s="882" t="s">
        <v>566</v>
      </c>
      <c r="D20" s="883"/>
      <c r="E20" s="881">
        <v>1.1000000000000001</v>
      </c>
      <c r="F20" s="884" t="s">
        <v>567</v>
      </c>
      <c r="G20" s="885"/>
      <c r="H20" s="877"/>
      <c r="I20" s="877"/>
    </row>
    <row r="21" spans="1:9" s="886" customFormat="1" ht="19.5" customHeight="1">
      <c r="A21" s="3374"/>
      <c r="B21" s="3374"/>
      <c r="C21" s="882" t="s">
        <v>568</v>
      </c>
      <c r="D21" s="883"/>
      <c r="E21" s="881">
        <v>0.8</v>
      </c>
      <c r="F21" s="884" t="s">
        <v>569</v>
      </c>
      <c r="G21" s="885"/>
      <c r="H21" s="877"/>
      <c r="I21" s="877"/>
    </row>
    <row r="22" spans="1:9" s="886" customFormat="1" ht="19.5" customHeight="1">
      <c r="A22" s="3374"/>
      <c r="B22" s="3374"/>
      <c r="C22" s="882" t="s">
        <v>570</v>
      </c>
      <c r="D22" s="883"/>
      <c r="E22" s="881">
        <v>0.5</v>
      </c>
      <c r="F22" s="884"/>
      <c r="G22" s="885"/>
      <c r="H22" s="877"/>
      <c r="I22" s="877"/>
    </row>
    <row r="23" spans="1:9" s="886" customFormat="1" ht="19.5" customHeight="1">
      <c r="A23" s="3374" t="s">
        <v>184</v>
      </c>
      <c r="B23" s="881" t="s">
        <v>560</v>
      </c>
      <c r="C23" s="882" t="s">
        <v>571</v>
      </c>
      <c r="D23" s="883"/>
      <c r="E23" s="881">
        <v>1</v>
      </c>
      <c r="F23" s="884" t="s">
        <v>572</v>
      </c>
      <c r="G23" s="885"/>
      <c r="H23" s="877"/>
      <c r="I23" s="877"/>
    </row>
    <row r="24" spans="1:9" s="886" customFormat="1" ht="19.5" customHeight="1">
      <c r="A24" s="3374"/>
      <c r="B24" s="3374" t="s">
        <v>563</v>
      </c>
      <c r="C24" s="882" t="s">
        <v>573</v>
      </c>
      <c r="D24" s="883"/>
      <c r="E24" s="881">
        <v>0.5</v>
      </c>
      <c r="F24" s="884"/>
      <c r="G24" s="885"/>
      <c r="H24" s="877"/>
      <c r="I24" s="877"/>
    </row>
    <row r="25" spans="1:9" s="886" customFormat="1" ht="19.5" customHeight="1">
      <c r="A25" s="3374"/>
      <c r="B25" s="3374"/>
      <c r="C25" s="882" t="s">
        <v>574</v>
      </c>
      <c r="D25" s="883"/>
      <c r="E25" s="881">
        <v>1.1000000000000001</v>
      </c>
      <c r="F25" s="884"/>
      <c r="G25" s="885"/>
      <c r="H25" s="877"/>
      <c r="I25" s="877"/>
    </row>
    <row r="26" spans="1:9" s="886" customFormat="1" ht="19.5" customHeight="1">
      <c r="A26" s="3374"/>
      <c r="B26" s="3374"/>
      <c r="C26" s="882" t="s">
        <v>575</v>
      </c>
      <c r="D26" s="883"/>
      <c r="E26" s="881">
        <v>1.1000000000000001</v>
      </c>
      <c r="F26" s="884"/>
      <c r="G26" s="885"/>
      <c r="H26" s="877"/>
      <c r="I26" s="877"/>
    </row>
    <row r="27" spans="1:9" s="886" customFormat="1" ht="19.5" customHeight="1">
      <c r="A27" s="3374"/>
      <c r="B27" s="3374"/>
      <c r="C27" s="882" t="s">
        <v>576</v>
      </c>
      <c r="D27" s="883"/>
      <c r="E27" s="881">
        <v>0.9</v>
      </c>
      <c r="F27" s="884" t="s">
        <v>577</v>
      </c>
      <c r="G27" s="885"/>
      <c r="H27" s="877"/>
      <c r="I27" s="877"/>
    </row>
    <row r="28" spans="1:9" s="886" customFormat="1" ht="19.5" customHeight="1">
      <c r="A28" s="3374"/>
      <c r="B28" s="3374"/>
      <c r="C28" s="882" t="s">
        <v>578</v>
      </c>
      <c r="D28" s="883"/>
      <c r="E28" s="881">
        <v>0.9</v>
      </c>
      <c r="F28" s="884" t="s">
        <v>579</v>
      </c>
      <c r="G28" s="885"/>
      <c r="H28" s="877"/>
      <c r="I28" s="877"/>
    </row>
    <row r="29" spans="1:9" s="886" customFormat="1" ht="19.5" customHeight="1">
      <c r="A29" s="3374"/>
      <c r="B29" s="3374"/>
      <c r="C29" s="882" t="s">
        <v>580</v>
      </c>
      <c r="D29" s="883"/>
      <c r="E29" s="881">
        <v>0.9</v>
      </c>
      <c r="F29" s="884" t="s">
        <v>581</v>
      </c>
      <c r="G29" s="885"/>
      <c r="H29" s="877"/>
      <c r="I29" s="877"/>
    </row>
    <row r="30" spans="1:9" s="886" customFormat="1" ht="19.5" customHeight="1">
      <c r="A30" s="3374"/>
      <c r="B30" s="3374"/>
      <c r="C30" s="882" t="s">
        <v>582</v>
      </c>
      <c r="D30" s="883"/>
      <c r="E30" s="881">
        <v>0.9</v>
      </c>
      <c r="F30" s="884" t="s">
        <v>583</v>
      </c>
      <c r="G30" s="885"/>
      <c r="H30" s="877"/>
      <c r="I30" s="877"/>
    </row>
    <row r="31" spans="1:9" s="886" customFormat="1" ht="19.5" customHeight="1">
      <c r="A31" s="3374"/>
      <c r="B31" s="3374"/>
      <c r="C31" s="882" t="s">
        <v>584</v>
      </c>
      <c r="D31" s="883"/>
      <c r="E31" s="881">
        <v>0.8</v>
      </c>
      <c r="F31" s="884" t="s">
        <v>585</v>
      </c>
      <c r="G31" s="885"/>
      <c r="H31" s="877"/>
      <c r="I31" s="877"/>
    </row>
    <row r="32" spans="1:9" s="886" customFormat="1" ht="19.5" customHeight="1">
      <c r="A32" s="3374"/>
      <c r="B32" s="3374"/>
      <c r="C32" s="882" t="s">
        <v>586</v>
      </c>
      <c r="D32" s="883"/>
      <c r="E32" s="881">
        <v>0.8</v>
      </c>
      <c r="F32" s="884" t="s">
        <v>587</v>
      </c>
      <c r="G32" s="885"/>
      <c r="H32" s="877"/>
      <c r="I32" s="877"/>
    </row>
    <row r="33" spans="1:9" s="886" customFormat="1" ht="19.5" customHeight="1">
      <c r="A33" s="3374" t="s">
        <v>185</v>
      </c>
      <c r="B33" s="881" t="s">
        <v>560</v>
      </c>
      <c r="C33" s="882" t="s">
        <v>588</v>
      </c>
      <c r="D33" s="883"/>
      <c r="E33" s="881">
        <v>1</v>
      </c>
      <c r="F33" s="884" t="s">
        <v>589</v>
      </c>
      <c r="G33" s="885"/>
      <c r="H33" s="877"/>
      <c r="I33" s="877"/>
    </row>
    <row r="34" spans="1:9" s="886" customFormat="1" ht="19.5" customHeight="1">
      <c r="A34" s="3374"/>
      <c r="B34" s="881" t="s">
        <v>563</v>
      </c>
      <c r="C34" s="882" t="s">
        <v>590</v>
      </c>
      <c r="D34" s="883"/>
      <c r="E34" s="881">
        <v>1.5</v>
      </c>
      <c r="F34" s="884" t="s">
        <v>591</v>
      </c>
      <c r="G34" s="885"/>
      <c r="H34" s="877"/>
      <c r="I34" s="877"/>
    </row>
    <row r="35" spans="1:9" s="886" customFormat="1" ht="19.5" customHeight="1">
      <c r="A35" s="3374" t="s">
        <v>186</v>
      </c>
      <c r="B35" s="881" t="s">
        <v>560</v>
      </c>
      <c r="C35" s="882" t="s">
        <v>592</v>
      </c>
      <c r="D35" s="883"/>
      <c r="E35" s="881">
        <v>1</v>
      </c>
      <c r="F35" s="884" t="s">
        <v>593</v>
      </c>
      <c r="G35" s="885"/>
      <c r="H35" s="877"/>
      <c r="I35" s="877"/>
    </row>
    <row r="36" spans="1:9" s="886" customFormat="1" ht="19.5" customHeight="1">
      <c r="A36" s="3374"/>
      <c r="B36" s="3374" t="s">
        <v>563</v>
      </c>
      <c r="C36" s="882" t="s">
        <v>594</v>
      </c>
      <c r="D36" s="883"/>
      <c r="E36" s="881">
        <v>1</v>
      </c>
      <c r="F36" s="884" t="s">
        <v>595</v>
      </c>
      <c r="G36" s="885"/>
      <c r="H36" s="877"/>
      <c r="I36" s="877"/>
    </row>
    <row r="37" spans="1:9" s="886" customFormat="1" ht="19.5" customHeight="1">
      <c r="A37" s="3374"/>
      <c r="B37" s="3374"/>
      <c r="C37" s="882" t="s">
        <v>596</v>
      </c>
      <c r="D37" s="883"/>
      <c r="E37" s="881">
        <v>1.5</v>
      </c>
      <c r="F37" s="884" t="s">
        <v>597</v>
      </c>
      <c r="G37" s="885"/>
      <c r="H37" s="877"/>
      <c r="I37" s="877"/>
    </row>
    <row r="38" spans="1:9" s="886" customFormat="1" ht="19.5" customHeight="1">
      <c r="A38" s="3374"/>
      <c r="B38" s="3374"/>
      <c r="C38" s="882" t="s">
        <v>598</v>
      </c>
      <c r="D38" s="883"/>
      <c r="E38" s="881">
        <v>1</v>
      </c>
      <c r="F38" s="884" t="s">
        <v>599</v>
      </c>
      <c r="G38" s="885"/>
      <c r="H38" s="877"/>
      <c r="I38" s="877"/>
    </row>
    <row r="39" spans="1:9" s="886" customFormat="1" ht="19.5" customHeight="1">
      <c r="A39" s="3374"/>
      <c r="B39" s="3374"/>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74" t="s">
        <v>614</v>
      </c>
      <c r="C61" s="817" t="s">
        <v>615</v>
      </c>
      <c r="D61" s="817" t="s">
        <v>616</v>
      </c>
      <c r="E61" s="894">
        <v>0.5</v>
      </c>
      <c r="F61" s="881">
        <v>80</v>
      </c>
    </row>
    <row r="62" spans="1:8" s="877" customFormat="1" ht="24">
      <c r="A62" s="881">
        <v>2</v>
      </c>
      <c r="B62" s="3374"/>
      <c r="C62" s="817" t="s">
        <v>617</v>
      </c>
      <c r="D62" s="817" t="s">
        <v>618</v>
      </c>
      <c r="E62" s="894">
        <v>0.5</v>
      </c>
      <c r="F62" s="881">
        <v>80</v>
      </c>
    </row>
    <row r="63" spans="1:8" s="877" customFormat="1" ht="36">
      <c r="A63" s="881">
        <v>3</v>
      </c>
      <c r="B63" s="3374"/>
      <c r="C63" s="817" t="s">
        <v>619</v>
      </c>
      <c r="D63" s="817" t="s">
        <v>620</v>
      </c>
      <c r="E63" s="894">
        <v>0.5</v>
      </c>
      <c r="F63" s="881">
        <v>80</v>
      </c>
    </row>
    <row r="64" spans="1:8" s="877" customFormat="1" ht="36">
      <c r="A64" s="881">
        <v>4</v>
      </c>
      <c r="B64" s="3374"/>
      <c r="C64" s="817" t="s">
        <v>621</v>
      </c>
      <c r="D64" s="817" t="s">
        <v>622</v>
      </c>
      <c r="E64" s="894">
        <v>0.4</v>
      </c>
      <c r="F64" s="881">
        <v>60</v>
      </c>
    </row>
    <row r="65" spans="1:6" s="877" customFormat="1" ht="36">
      <c r="A65" s="881">
        <v>5</v>
      </c>
      <c r="B65" s="3374"/>
      <c r="C65" s="817" t="s">
        <v>623</v>
      </c>
      <c r="D65" s="817" t="s">
        <v>624</v>
      </c>
      <c r="E65" s="894">
        <v>0.2</v>
      </c>
      <c r="F65" s="881">
        <v>30</v>
      </c>
    </row>
    <row r="66" spans="1:6" s="877" customFormat="1" ht="36">
      <c r="A66" s="881">
        <v>6</v>
      </c>
      <c r="B66" s="3374"/>
      <c r="C66" s="817" t="s">
        <v>625</v>
      </c>
      <c r="D66" s="817" t="s">
        <v>626</v>
      </c>
      <c r="E66" s="894">
        <v>0.3</v>
      </c>
      <c r="F66" s="881">
        <v>50</v>
      </c>
    </row>
    <row r="67" spans="1:6" s="877" customFormat="1" ht="36">
      <c r="A67" s="881">
        <v>7</v>
      </c>
      <c r="B67" s="3374"/>
      <c r="C67" s="817" t="s">
        <v>627</v>
      </c>
      <c r="D67" s="817" t="s">
        <v>628</v>
      </c>
      <c r="E67" s="894">
        <v>0.2</v>
      </c>
      <c r="F67" s="881">
        <v>30</v>
      </c>
    </row>
    <row r="68" spans="1:6" s="877" customFormat="1" ht="36">
      <c r="A68" s="881">
        <v>8</v>
      </c>
      <c r="B68" s="3374"/>
      <c r="C68" s="817" t="s">
        <v>629</v>
      </c>
      <c r="D68" s="817" t="s">
        <v>630</v>
      </c>
      <c r="E68" s="894">
        <v>0.2</v>
      </c>
      <c r="F68" s="881">
        <v>30</v>
      </c>
    </row>
    <row r="69" spans="1:6" s="877" customFormat="1" ht="36">
      <c r="A69" s="881">
        <v>9</v>
      </c>
      <c r="B69" s="3374"/>
      <c r="C69" s="817" t="s">
        <v>631</v>
      </c>
      <c r="D69" s="817" t="s">
        <v>632</v>
      </c>
      <c r="E69" s="894">
        <v>0.2</v>
      </c>
      <c r="F69" s="881">
        <v>30</v>
      </c>
    </row>
    <row r="70" spans="1:6" s="877" customFormat="1" ht="48">
      <c r="A70" s="881">
        <v>10</v>
      </c>
      <c r="B70" s="3374"/>
      <c r="C70" s="817" t="s">
        <v>633</v>
      </c>
      <c r="D70" s="817" t="s">
        <v>634</v>
      </c>
      <c r="E70" s="894">
        <v>0.2</v>
      </c>
      <c r="F70" s="881">
        <v>30</v>
      </c>
    </row>
    <row r="71" spans="1:6" s="877" customFormat="1" ht="48">
      <c r="A71" s="881">
        <v>11</v>
      </c>
      <c r="B71" s="3374"/>
      <c r="C71" s="817" t="s">
        <v>635</v>
      </c>
      <c r="D71" s="817" t="s">
        <v>636</v>
      </c>
      <c r="E71" s="894">
        <v>0.2</v>
      </c>
      <c r="F71" s="881">
        <v>30</v>
      </c>
    </row>
    <row r="72" spans="1:6" s="877" customFormat="1" ht="36">
      <c r="A72" s="881">
        <v>12</v>
      </c>
      <c r="B72" s="3374"/>
      <c r="C72" s="817" t="s">
        <v>637</v>
      </c>
      <c r="D72" s="817" t="s">
        <v>638</v>
      </c>
      <c r="E72" s="894">
        <v>0.5</v>
      </c>
      <c r="F72" s="881">
        <v>80</v>
      </c>
    </row>
    <row r="73" spans="1:6" s="877" customFormat="1" ht="24">
      <c r="A73" s="881">
        <v>13</v>
      </c>
      <c r="B73" s="3374"/>
      <c r="C73" s="817" t="s">
        <v>639</v>
      </c>
      <c r="D73" s="817" t="s">
        <v>640</v>
      </c>
      <c r="E73" s="894">
        <v>0.4</v>
      </c>
      <c r="F73" s="881">
        <v>60</v>
      </c>
    </row>
    <row r="74" spans="1:6" s="877" customFormat="1" ht="24">
      <c r="A74" s="881">
        <v>14</v>
      </c>
      <c r="B74" s="3374"/>
      <c r="C74" s="817" t="s">
        <v>641</v>
      </c>
      <c r="D74" s="817" t="s">
        <v>642</v>
      </c>
      <c r="E74" s="894">
        <v>0.2</v>
      </c>
      <c r="F74" s="881">
        <v>30</v>
      </c>
    </row>
    <row r="75" spans="1:6" s="877" customFormat="1" ht="24">
      <c r="A75" s="881">
        <v>15</v>
      </c>
      <c r="B75" s="3374"/>
      <c r="C75" s="817" t="s">
        <v>643</v>
      </c>
      <c r="D75" s="817" t="s">
        <v>644</v>
      </c>
      <c r="E75" s="894">
        <v>0.2</v>
      </c>
      <c r="F75" s="881">
        <v>30</v>
      </c>
    </row>
    <row r="76" spans="1:6" s="877" customFormat="1" ht="24">
      <c r="A76" s="881">
        <v>16</v>
      </c>
      <c r="B76" s="3374" t="s">
        <v>645</v>
      </c>
      <c r="C76" s="817" t="s">
        <v>646</v>
      </c>
      <c r="D76" s="817" t="s">
        <v>647</v>
      </c>
      <c r="E76" s="894">
        <v>0.5</v>
      </c>
      <c r="F76" s="881">
        <v>80</v>
      </c>
    </row>
    <row r="77" spans="1:6" s="877" customFormat="1" ht="24">
      <c r="A77" s="881">
        <v>17</v>
      </c>
      <c r="B77" s="3374"/>
      <c r="C77" s="817" t="s">
        <v>648</v>
      </c>
      <c r="D77" s="817" t="s">
        <v>649</v>
      </c>
      <c r="E77" s="894">
        <v>0.5</v>
      </c>
      <c r="F77" s="881">
        <v>80</v>
      </c>
    </row>
    <row r="78" spans="1:6" s="877" customFormat="1" ht="24">
      <c r="A78" s="881">
        <v>18</v>
      </c>
      <c r="B78" s="3374"/>
      <c r="C78" s="817" t="s">
        <v>650</v>
      </c>
      <c r="D78" s="817" t="s">
        <v>651</v>
      </c>
      <c r="E78" s="894">
        <v>0.2</v>
      </c>
      <c r="F78" s="881">
        <v>30</v>
      </c>
    </row>
    <row r="79" spans="1:6" s="877" customFormat="1" ht="24">
      <c r="A79" s="881">
        <v>19</v>
      </c>
      <c r="B79" s="3374"/>
      <c r="C79" s="817" t="s">
        <v>652</v>
      </c>
      <c r="D79" s="817" t="s">
        <v>653</v>
      </c>
      <c r="E79" s="894">
        <v>0.5</v>
      </c>
      <c r="F79" s="881">
        <v>80</v>
      </c>
    </row>
    <row r="80" spans="1:6" s="877" customFormat="1" ht="36">
      <c r="A80" s="881">
        <v>20</v>
      </c>
      <c r="B80" s="3374"/>
      <c r="C80" s="817" t="s">
        <v>654</v>
      </c>
      <c r="D80" s="817" t="s">
        <v>655</v>
      </c>
      <c r="E80" s="894">
        <v>0.2</v>
      </c>
      <c r="F80" s="881">
        <v>30</v>
      </c>
    </row>
    <row r="81" spans="1:6" s="877" customFormat="1" ht="36">
      <c r="A81" s="881">
        <v>21</v>
      </c>
      <c r="B81" s="3374"/>
      <c r="C81" s="817" t="s">
        <v>656</v>
      </c>
      <c r="D81" s="817" t="s">
        <v>657</v>
      </c>
      <c r="E81" s="894">
        <v>0.2</v>
      </c>
      <c r="F81" s="881">
        <v>30</v>
      </c>
    </row>
    <row r="82" spans="1:6" s="877" customFormat="1" ht="48">
      <c r="A82" s="881">
        <v>22</v>
      </c>
      <c r="B82" s="3374"/>
      <c r="C82" s="817" t="s">
        <v>658</v>
      </c>
      <c r="D82" s="817" t="s">
        <v>659</v>
      </c>
      <c r="E82" s="894">
        <v>0.2</v>
      </c>
      <c r="F82" s="881">
        <v>30</v>
      </c>
    </row>
    <row r="83" spans="1:6" s="877" customFormat="1" ht="48">
      <c r="A83" s="881">
        <v>23</v>
      </c>
      <c r="B83" s="3374"/>
      <c r="C83" s="817" t="s">
        <v>660</v>
      </c>
      <c r="D83" s="817" t="s">
        <v>661</v>
      </c>
      <c r="E83" s="894">
        <v>0.2</v>
      </c>
      <c r="F83" s="881">
        <v>30</v>
      </c>
    </row>
    <row r="84" spans="1:6" s="877" customFormat="1" ht="36">
      <c r="A84" s="881">
        <v>24</v>
      </c>
      <c r="B84" s="3374"/>
      <c r="C84" s="817" t="s">
        <v>662</v>
      </c>
      <c r="D84" s="817" t="s">
        <v>663</v>
      </c>
      <c r="E84" s="894">
        <v>0.2</v>
      </c>
      <c r="F84" s="881">
        <v>30</v>
      </c>
    </row>
    <row r="85" spans="1:6" s="877" customFormat="1" ht="36">
      <c r="A85" s="881">
        <v>25</v>
      </c>
      <c r="B85" s="3374"/>
      <c r="C85" s="817" t="s">
        <v>664</v>
      </c>
      <c r="D85" s="817" t="s">
        <v>665</v>
      </c>
      <c r="E85" s="894">
        <v>0.5</v>
      </c>
      <c r="F85" s="881">
        <v>80</v>
      </c>
    </row>
    <row r="86" spans="1:6" s="877" customFormat="1" ht="36">
      <c r="A86" s="881">
        <v>26</v>
      </c>
      <c r="B86" s="3374"/>
      <c r="C86" s="817" t="s">
        <v>666</v>
      </c>
      <c r="D86" s="817" t="s">
        <v>667</v>
      </c>
      <c r="E86" s="894">
        <v>0.2</v>
      </c>
      <c r="F86" s="881">
        <v>30</v>
      </c>
    </row>
    <row r="87" spans="1:6" s="877" customFormat="1" ht="36">
      <c r="A87" s="881">
        <v>27</v>
      </c>
      <c r="B87" s="3374"/>
      <c r="C87" s="817" t="s">
        <v>668</v>
      </c>
      <c r="D87" s="817" t="s">
        <v>669</v>
      </c>
      <c r="E87" s="894">
        <v>0.2</v>
      </c>
      <c r="F87" s="881">
        <v>30</v>
      </c>
    </row>
    <row r="88" spans="1:6" s="877" customFormat="1" ht="36">
      <c r="A88" s="881">
        <v>28</v>
      </c>
      <c r="B88" s="3374"/>
      <c r="C88" s="817" t="s">
        <v>670</v>
      </c>
      <c r="D88" s="817" t="s">
        <v>671</v>
      </c>
      <c r="E88" s="894">
        <v>0.2</v>
      </c>
      <c r="F88" s="881">
        <v>30</v>
      </c>
    </row>
    <row r="89" spans="1:6" s="877" customFormat="1" ht="24">
      <c r="A89" s="881">
        <v>29</v>
      </c>
      <c r="B89" s="3374"/>
      <c r="C89" s="817" t="s">
        <v>672</v>
      </c>
      <c r="D89" s="817" t="s">
        <v>673</v>
      </c>
      <c r="E89" s="894">
        <v>0.2</v>
      </c>
      <c r="F89" s="881">
        <v>30</v>
      </c>
    </row>
    <row r="90" spans="1:6" s="877" customFormat="1" ht="24">
      <c r="A90" s="881">
        <v>30</v>
      </c>
      <c r="B90" s="3374"/>
      <c r="C90" s="817" t="s">
        <v>674</v>
      </c>
      <c r="D90" s="817" t="s">
        <v>675</v>
      </c>
      <c r="E90" s="894">
        <v>0.2</v>
      </c>
      <c r="F90" s="881">
        <v>30</v>
      </c>
    </row>
    <row r="91" spans="1:6" s="877" customFormat="1" ht="36">
      <c r="A91" s="881">
        <v>31</v>
      </c>
      <c r="B91" s="3374"/>
      <c r="C91" s="817" t="s">
        <v>676</v>
      </c>
      <c r="D91" s="817" t="s">
        <v>677</v>
      </c>
      <c r="E91" s="894">
        <v>0.2</v>
      </c>
      <c r="F91" s="881">
        <v>30</v>
      </c>
    </row>
    <row r="92" spans="1:6" s="877" customFormat="1" ht="24">
      <c r="A92" s="881">
        <v>32</v>
      </c>
      <c r="B92" s="3374" t="s">
        <v>678</v>
      </c>
      <c r="C92" s="881" t="s">
        <v>679</v>
      </c>
      <c r="D92" s="817" t="s">
        <v>680</v>
      </c>
      <c r="E92" s="894">
        <v>0.2</v>
      </c>
      <c r="F92" s="881">
        <v>30</v>
      </c>
    </row>
    <row r="93" spans="1:6" s="877" customFormat="1" ht="36">
      <c r="A93" s="881">
        <v>33</v>
      </c>
      <c r="B93" s="3374"/>
      <c r="C93" s="881" t="s">
        <v>681</v>
      </c>
      <c r="D93" s="817" t="s">
        <v>682</v>
      </c>
      <c r="E93" s="894">
        <v>0.2</v>
      </c>
      <c r="F93" s="881">
        <v>30</v>
      </c>
    </row>
    <row r="94" spans="1:6" s="877" customFormat="1" ht="48">
      <c r="A94" s="881">
        <v>34</v>
      </c>
      <c r="B94" s="3374"/>
      <c r="C94" s="881" t="s">
        <v>683</v>
      </c>
      <c r="D94" s="817" t="s">
        <v>684</v>
      </c>
      <c r="E94" s="894">
        <v>0.2</v>
      </c>
      <c r="F94" s="881">
        <v>30</v>
      </c>
    </row>
    <row r="95" spans="1:6" s="877" customFormat="1" ht="36">
      <c r="A95" s="881">
        <v>35</v>
      </c>
      <c r="B95" s="3374"/>
      <c r="C95" s="881" t="s">
        <v>685</v>
      </c>
      <c r="D95" s="817" t="s">
        <v>686</v>
      </c>
      <c r="E95" s="894">
        <v>0.2</v>
      </c>
      <c r="F95" s="881">
        <v>30</v>
      </c>
    </row>
    <row r="96" spans="1:6" s="877" customFormat="1" ht="48">
      <c r="A96" s="881">
        <v>36</v>
      </c>
      <c r="B96" s="3374"/>
      <c r="C96" s="817" t="s">
        <v>687</v>
      </c>
      <c r="D96" s="817" t="s">
        <v>688</v>
      </c>
      <c r="E96" s="894">
        <v>0.2</v>
      </c>
      <c r="F96" s="881">
        <v>30</v>
      </c>
    </row>
    <row r="97" spans="1:6" s="877" customFormat="1" ht="36">
      <c r="A97" s="881">
        <v>37</v>
      </c>
      <c r="B97" s="3374"/>
      <c r="C97" s="881" t="s">
        <v>689</v>
      </c>
      <c r="D97" s="817" t="s">
        <v>690</v>
      </c>
      <c r="E97" s="894">
        <v>0.2</v>
      </c>
      <c r="F97" s="881">
        <v>30</v>
      </c>
    </row>
    <row r="98" spans="1:6" s="877" customFormat="1" ht="36">
      <c r="A98" s="881">
        <v>38</v>
      </c>
      <c r="B98" s="3374"/>
      <c r="C98" s="881" t="s">
        <v>691</v>
      </c>
      <c r="D98" s="817" t="s">
        <v>692</v>
      </c>
      <c r="E98" s="894">
        <v>0.2</v>
      </c>
      <c r="F98" s="881">
        <v>30</v>
      </c>
    </row>
    <row r="99" spans="1:6" s="877" customFormat="1" ht="36">
      <c r="A99" s="881">
        <v>39</v>
      </c>
      <c r="B99" s="3374" t="s">
        <v>693</v>
      </c>
      <c r="C99" s="881" t="s">
        <v>694</v>
      </c>
      <c r="D99" s="817" t="s">
        <v>695</v>
      </c>
      <c r="E99" s="894">
        <v>0.3</v>
      </c>
      <c r="F99" s="881">
        <v>50</v>
      </c>
    </row>
    <row r="100" spans="1:6" s="877" customFormat="1" ht="24">
      <c r="A100" s="881">
        <v>40</v>
      </c>
      <c r="B100" s="3374"/>
      <c r="C100" s="881" t="s">
        <v>696</v>
      </c>
      <c r="D100" s="817" t="s">
        <v>697</v>
      </c>
      <c r="E100" s="894">
        <v>0.2</v>
      </c>
      <c r="F100" s="881">
        <v>30</v>
      </c>
    </row>
    <row r="101" spans="1:6" s="877" customFormat="1" ht="36">
      <c r="A101" s="881">
        <v>41</v>
      </c>
      <c r="B101" s="3374"/>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74" t="s">
        <v>708</v>
      </c>
      <c r="C105" s="881" t="s">
        <v>709</v>
      </c>
      <c r="D105" s="817" t="s">
        <v>710</v>
      </c>
      <c r="E105" s="894">
        <v>0.2</v>
      </c>
      <c r="F105" s="881">
        <v>30</v>
      </c>
    </row>
    <row r="106" spans="1:6" s="877" customFormat="1" ht="36">
      <c r="A106" s="881">
        <v>46</v>
      </c>
      <c r="B106" s="3374"/>
      <c r="C106" s="881" t="s">
        <v>711</v>
      </c>
      <c r="D106" s="817" t="s">
        <v>712</v>
      </c>
      <c r="E106" s="894">
        <v>0.2</v>
      </c>
      <c r="F106" s="881">
        <v>30</v>
      </c>
    </row>
    <row r="107" spans="1:6" s="877" customFormat="1" ht="36">
      <c r="A107" s="881">
        <v>47</v>
      </c>
      <c r="B107" s="3374" t="s">
        <v>713</v>
      </c>
      <c r="C107" s="881" t="s">
        <v>714</v>
      </c>
      <c r="D107" s="817" t="s">
        <v>715</v>
      </c>
      <c r="E107" s="894">
        <v>0.3</v>
      </c>
      <c r="F107" s="881">
        <v>50</v>
      </c>
    </row>
    <row r="108" spans="1:6" s="877" customFormat="1" ht="36">
      <c r="A108" s="881">
        <v>48</v>
      </c>
      <c r="B108" s="3374"/>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74" t="s">
        <v>724</v>
      </c>
      <c r="C111" s="881" t="s">
        <v>725</v>
      </c>
      <c r="D111" s="817" t="s">
        <v>726</v>
      </c>
      <c r="E111" s="894">
        <v>0.2</v>
      </c>
      <c r="F111" s="881">
        <v>30</v>
      </c>
    </row>
    <row r="112" spans="1:6" s="877" customFormat="1" ht="24">
      <c r="A112" s="881">
        <v>52</v>
      </c>
      <c r="B112" s="3374"/>
      <c r="C112" s="881" t="s">
        <v>727</v>
      </c>
      <c r="D112" s="817" t="s">
        <v>728</v>
      </c>
      <c r="E112" s="894">
        <v>0.2</v>
      </c>
      <c r="F112" s="881">
        <v>30</v>
      </c>
    </row>
    <row r="113" spans="1:6" s="877" customFormat="1" ht="24">
      <c r="A113" s="881">
        <v>53</v>
      </c>
      <c r="B113" s="3374"/>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74" t="s">
        <v>737</v>
      </c>
      <c r="C116" s="881" t="s">
        <v>738</v>
      </c>
      <c r="D116" s="817" t="s">
        <v>739</v>
      </c>
      <c r="E116" s="894">
        <v>0.2</v>
      </c>
      <c r="F116" s="881">
        <v>30</v>
      </c>
    </row>
    <row r="117" spans="1:6" ht="36">
      <c r="A117" s="881">
        <v>57</v>
      </c>
      <c r="B117" s="3374"/>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1.2079</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2986</v>
      </c>
    </row>
    <row r="2" spans="1:5" ht="15.75">
      <c r="A2" s="2910" t="s">
        <v>2978</v>
      </c>
      <c r="B2" s="2911">
        <f ca="1">SUMIF(B6:B13,"&lt;&gt;#ref!",B6:B13)</f>
        <v>7524</v>
      </c>
      <c r="C2" s="2910" t="s">
        <v>2979</v>
      </c>
      <c r="D2" s="2910" t="s">
        <v>2980</v>
      </c>
      <c r="E2" s="2911" t="e">
        <f ca="1">SUM(E6:E13)</f>
        <v>#REF!</v>
      </c>
    </row>
    <row r="3" spans="1:5" ht="15.75">
      <c r="A3" s="2910" t="s">
        <v>2981</v>
      </c>
      <c r="B3" s="2911" t="e">
        <f ca="1">ROUND(B2*10000/E2,0)</f>
        <v>#REF!</v>
      </c>
      <c r="C3" s="2910" t="s">
        <v>2987</v>
      </c>
      <c r="D3" s="2912"/>
      <c r="E3" s="2912"/>
    </row>
    <row r="4" spans="1:5" ht="15.75">
      <c r="A4" s="2913"/>
      <c r="B4" s="2912"/>
      <c r="C4" s="2912"/>
      <c r="D4" s="2912"/>
      <c r="E4" s="2912"/>
    </row>
    <row r="5" spans="1:5" ht="28.5">
      <c r="A5" s="2914" t="s">
        <v>2982</v>
      </c>
      <c r="B5" s="2910" t="s">
        <v>2983</v>
      </c>
      <c r="C5" s="2911"/>
      <c r="D5" s="2912"/>
      <c r="E5" s="2910" t="s">
        <v>2984</v>
      </c>
    </row>
    <row r="6" spans="1:5" ht="15.75">
      <c r="A6" s="2915" t="s">
        <v>2985</v>
      </c>
      <c r="B6" s="2911">
        <f ca="1">SUMIF(INDIRECT("'"&amp;A6&amp;"'"&amp;"!A:A"),"总价",INDIRECT("'"&amp;A6&amp;"'"&amp;"!B:B"))</f>
        <v>7524</v>
      </c>
      <c r="C6" s="2910" t="s">
        <v>2979</v>
      </c>
      <c r="D6" s="2912"/>
      <c r="E6" s="2576">
        <f ca="1">SUMIF(INDIRECT("'"&amp;A6&amp;"'"&amp;"!C:C"),"建筑面积",INDIRECT("'"&amp;A6&amp;"'"&amp;"!D:D"))</f>
        <v>47850.3</v>
      </c>
    </row>
    <row r="7" spans="1:5" ht="15.75">
      <c r="A7" s="2915"/>
      <c r="B7" s="2911" t="e">
        <f ca="1">SUMIF(INDIRECT("'"&amp;A7&amp;"'"&amp;"!A:A"),"总价",INDIRECT("'"&amp;A7&amp;"'"&amp;"!B:B"))</f>
        <v>#REF!</v>
      </c>
      <c r="C7" s="2910" t="s">
        <v>2979</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2979</v>
      </c>
      <c r="D8" s="2912"/>
      <c r="E8" s="2576" t="e">
        <f t="shared" ca="1" si="0"/>
        <v>#REF!</v>
      </c>
    </row>
    <row r="9" spans="1:5" ht="15.75">
      <c r="A9" s="2915"/>
      <c r="B9" s="2911" t="e">
        <f t="shared" ca="1" si="1"/>
        <v>#REF!</v>
      </c>
      <c r="C9" s="2910" t="s">
        <v>2979</v>
      </c>
      <c r="D9" s="2912"/>
      <c r="E9" s="2576" t="e">
        <f t="shared" ca="1" si="0"/>
        <v>#REF!</v>
      </c>
    </row>
    <row r="10" spans="1:5" ht="15.75">
      <c r="A10" s="2915"/>
      <c r="B10" s="2911" t="e">
        <f t="shared" ca="1" si="1"/>
        <v>#REF!</v>
      </c>
      <c r="C10" s="2910" t="s">
        <v>2979</v>
      </c>
      <c r="D10" s="2912"/>
      <c r="E10" s="2576" t="e">
        <f t="shared" ca="1" si="0"/>
        <v>#REF!</v>
      </c>
    </row>
    <row r="11" spans="1:5" ht="15.75">
      <c r="A11" s="2915"/>
      <c r="B11" s="2911" t="e">
        <f t="shared" ca="1" si="1"/>
        <v>#REF!</v>
      </c>
      <c r="C11" s="2910" t="s">
        <v>2979</v>
      </c>
      <c r="D11" s="2912"/>
      <c r="E11" s="2576" t="e">
        <f t="shared" ca="1" si="0"/>
        <v>#REF!</v>
      </c>
    </row>
    <row r="12" spans="1:5" ht="15.75">
      <c r="A12" s="2915"/>
      <c r="B12" s="2911" t="e">
        <f t="shared" ca="1" si="1"/>
        <v>#REF!</v>
      </c>
      <c r="C12" s="2910" t="s">
        <v>2979</v>
      </c>
      <c r="D12" s="2912"/>
      <c r="E12" s="2576" t="e">
        <f t="shared" ca="1" si="0"/>
        <v>#REF!</v>
      </c>
    </row>
    <row r="13" spans="1:5" ht="15.75">
      <c r="A13" s="2915"/>
      <c r="B13" s="2911" t="e">
        <f t="shared" ca="1" si="1"/>
        <v>#REF!</v>
      </c>
      <c r="C13" s="2910" t="s">
        <v>2979</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80" t="s">
        <v>1150</v>
      </c>
      <c r="C1" s="3380"/>
      <c r="D1" s="3380"/>
      <c r="E1" s="3380"/>
      <c r="F1" s="3380"/>
      <c r="G1" s="3376" t="s">
        <v>1151</v>
      </c>
      <c r="H1" s="3376"/>
      <c r="I1" s="3376"/>
      <c r="J1" s="3376"/>
      <c r="K1" s="3376"/>
      <c r="L1" s="3376"/>
      <c r="N1" s="3376" t="s">
        <v>1152</v>
      </c>
      <c r="O1" s="3376"/>
      <c r="P1" s="3376"/>
      <c r="Q1" s="3376"/>
      <c r="R1" s="1448"/>
      <c r="S1" s="3376" t="s">
        <v>1153</v>
      </c>
      <c r="T1" s="3376"/>
      <c r="U1" s="3376"/>
      <c r="V1" s="3376"/>
      <c r="X1" s="3375" t="s">
        <v>1154</v>
      </c>
      <c r="Y1" s="3376"/>
      <c r="Z1" s="3376"/>
      <c r="AA1" s="3376"/>
      <c r="AB1" s="3376"/>
      <c r="AD1" s="3375" t="s">
        <v>1155</v>
      </c>
      <c r="AE1" s="3376"/>
      <c r="AF1" s="3376"/>
      <c r="AG1" s="3376"/>
      <c r="AH1" s="3376"/>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3025</v>
      </c>
      <c r="B3" s="2930"/>
      <c r="C3" s="2930"/>
      <c r="D3" s="2931"/>
      <c r="E3" s="2931"/>
      <c r="F3" s="2930"/>
      <c r="G3" s="2932"/>
      <c r="H3" s="2933"/>
      <c r="I3" s="2934">
        <f>ROUND(AVERAGE($I6:$I21),2)</f>
        <v>2.4500000000000002</v>
      </c>
      <c r="J3" s="2934">
        <f>ROUND(AVERAGE($J6:$J21),2)</f>
        <v>1.65</v>
      </c>
      <c r="K3" s="2934">
        <f>ROUND(AVERAGE($K6:$K21),2)</f>
        <v>2.71</v>
      </c>
      <c r="L3" s="2934">
        <f>ROUND(AVERAGE($L6:$L21),2)</f>
        <v>1.39</v>
      </c>
      <c r="N3" s="2932"/>
      <c r="O3" s="2935"/>
      <c r="P3" s="2935"/>
      <c r="Q3" s="2935"/>
      <c r="R3" s="2935"/>
      <c r="S3" s="2932"/>
      <c r="T3" s="2935"/>
      <c r="U3" s="2935"/>
      <c r="V3" s="2935"/>
      <c r="W3" s="2927"/>
      <c r="X3" s="2936">
        <f>ROUND(SUMPRODUCT(PRODUCT(1+N3:N$20)),4)</f>
        <v>1.4274</v>
      </c>
      <c r="Y3" s="2936">
        <f>ROUND(SUMPRODUCT(PRODUCT(1+O3:O$20)),4)</f>
        <v>1.2685</v>
      </c>
      <c r="Z3" s="2936">
        <f t="shared" ref="Z3:Z18" si="0">Y3</f>
        <v>1.2685</v>
      </c>
      <c r="AA3" s="2936">
        <f>ROUND(SUMPRODUCT(PRODUCT(1+P3:P$20)),4)</f>
        <v>1.4825999999999999</v>
      </c>
      <c r="AB3" s="2936">
        <f>ROUND(SUMPRODUCT(PRODUCT(1+Q3:Q$20)),4)</f>
        <v>1.2309000000000001</v>
      </c>
      <c r="AD3" s="2937">
        <f>ROUND(AVERAGE(I3:I$21)/100,4)</f>
        <v>2.3099999999999999E-2</v>
      </c>
      <c r="AE3" s="2937">
        <f>ROUND(AVERAGE(J3:J$21)/100,4)</f>
        <v>1.5599999999999999E-2</v>
      </c>
      <c r="AF3" s="2937">
        <f t="shared" ref="AF3:AF19" si="1">AE3</f>
        <v>1.5599999999999999E-2</v>
      </c>
      <c r="AG3" s="2937">
        <f>ROUND(AVERAGE(K3:K$21)/100,4)</f>
        <v>2.5600000000000001E-2</v>
      </c>
      <c r="AH3" s="2937">
        <f>ROUND(AVERAGE(L3:L$21)/100,4)</f>
        <v>1.32E-2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3024</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26">
        <v>2018</v>
      </c>
      <c r="H5" s="1732">
        <v>1</v>
      </c>
      <c r="I5" s="2924">
        <v>0</v>
      </c>
      <c r="J5" s="2924">
        <v>0</v>
      </c>
      <c r="K5" s="2924">
        <v>0</v>
      </c>
      <c r="L5" s="2924">
        <v>0</v>
      </c>
      <c r="N5" s="1469">
        <f t="shared" ref="N5:N10" si="7">I5/100</f>
        <v>0</v>
      </c>
      <c r="O5" s="1469">
        <f t="shared" ref="O5" si="8">J5/100</f>
        <v>0</v>
      </c>
      <c r="P5" s="1469">
        <f t="shared" ref="P5" si="9">K5/100</f>
        <v>0</v>
      </c>
      <c r="Q5" s="1469">
        <f t="shared" ref="Q5" si="10">L5/100</f>
        <v>0</v>
      </c>
      <c r="R5" s="1734"/>
      <c r="S5" s="1735"/>
      <c r="T5" s="1734"/>
      <c r="U5" s="1734"/>
      <c r="V5" s="1734"/>
      <c r="W5" s="2928" t="s">
        <v>3026</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3021</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26">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3022</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22"/>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1386</v>
      </c>
      <c r="B8" s="1479">
        <f t="shared" si="21"/>
        <v>419.31181600000002</v>
      </c>
      <c r="C8" s="1479">
        <f t="shared" si="22"/>
        <v>313.95436800000004</v>
      </c>
      <c r="D8" s="1479">
        <f t="shared" si="23"/>
        <v>313.95436800000004</v>
      </c>
      <c r="E8" s="1479">
        <f t="shared" si="24"/>
        <v>596.63028431999999</v>
      </c>
      <c r="F8" s="1479">
        <f t="shared" si="25"/>
        <v>274.74220703999998</v>
      </c>
      <c r="G8" s="2921"/>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1161</v>
      </c>
      <c r="B9" s="1479">
        <f>B10*(1+N9)</f>
        <v>405.524</v>
      </c>
      <c r="C9" s="1479">
        <f>C10*(1+O9)</f>
        <v>307.79840000000002</v>
      </c>
      <c r="D9" s="1479">
        <f>C9</f>
        <v>307.79840000000002</v>
      </c>
      <c r="E9" s="1479">
        <f>E10*(1+P9)</f>
        <v>574.67759999999998</v>
      </c>
      <c r="F9" s="1479">
        <f>F10*(1+Q9)</f>
        <v>270.20280000000002</v>
      </c>
      <c r="G9" s="2922"/>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381">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378"/>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378"/>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379"/>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377">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378"/>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378"/>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379"/>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377">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378"/>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378"/>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379"/>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1162</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1163</v>
      </c>
      <c r="B22" s="1471">
        <v>299</v>
      </c>
      <c r="C22" s="1471">
        <v>252</v>
      </c>
      <c r="D22" s="1471">
        <f t="shared" si="35"/>
        <v>252</v>
      </c>
      <c r="E22" s="1471">
        <v>409</v>
      </c>
      <c r="F22" s="1472">
        <v>227</v>
      </c>
      <c r="G22" s="3382">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1164</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383"/>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1165</v>
      </c>
      <c r="B24" s="1479">
        <f t="shared" si="44"/>
        <v>288.2649053828776</v>
      </c>
      <c r="C24" s="1479">
        <f t="shared" si="44"/>
        <v>243.64564425013293</v>
      </c>
      <c r="D24" s="1479">
        <f t="shared" si="35"/>
        <v>243.64564425013293</v>
      </c>
      <c r="E24" s="1479">
        <f t="shared" si="45"/>
        <v>393.31080825986544</v>
      </c>
      <c r="F24" s="1479">
        <f t="shared" si="45"/>
        <v>223.07903790551154</v>
      </c>
      <c r="G24" s="3383"/>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1166</v>
      </c>
      <c r="B25" s="1479">
        <f t="shared" si="44"/>
        <v>282.50186729015837</v>
      </c>
      <c r="C25" s="1479">
        <f t="shared" si="44"/>
        <v>238.09796174155468</v>
      </c>
      <c r="D25" s="1479">
        <f t="shared" si="35"/>
        <v>238.09796174155468</v>
      </c>
      <c r="E25" s="1479">
        <f t="shared" si="45"/>
        <v>385.33438646014054</v>
      </c>
      <c r="F25" s="1479">
        <f t="shared" si="45"/>
        <v>221.55034055567739</v>
      </c>
      <c r="G25" s="3384"/>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1167</v>
      </c>
      <c r="B26" s="1513">
        <v>278</v>
      </c>
      <c r="C26" s="1513">
        <v>234</v>
      </c>
      <c r="D26" s="1513">
        <f t="shared" si="35"/>
        <v>234</v>
      </c>
      <c r="E26" s="1513">
        <v>379</v>
      </c>
      <c r="F26" s="1514">
        <v>220</v>
      </c>
      <c r="G26" s="3377">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1168</v>
      </c>
      <c r="B27" s="1479">
        <f>B26/(1+N26)</f>
        <v>275.49301357645425</v>
      </c>
      <c r="C27" s="1479">
        <f>C26/(1+O26)</f>
        <v>232.41954707985698</v>
      </c>
      <c r="D27" s="1479">
        <f t="shared" si="35"/>
        <v>232.41954707985698</v>
      </c>
      <c r="E27" s="1479">
        <f t="shared" ref="E27:F29" si="46">E26/(1+P26)</f>
        <v>375.32184591008121</v>
      </c>
      <c r="F27" s="1479">
        <f t="shared" si="46"/>
        <v>218.03766105054513</v>
      </c>
      <c r="G27" s="3378"/>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1169</v>
      </c>
      <c r="B28" s="1479">
        <f>B27/(1+N27)</f>
        <v>275.24529281292263</v>
      </c>
      <c r="C28" s="1479">
        <f>C27/(1+O27)</f>
        <v>231.74747938962707</v>
      </c>
      <c r="D28" s="1479">
        <f t="shared" si="35"/>
        <v>231.74747938962707</v>
      </c>
      <c r="E28" s="1479">
        <f t="shared" si="46"/>
        <v>375.35938184826603</v>
      </c>
      <c r="F28" s="1479">
        <f t="shared" si="46"/>
        <v>216.78033510692495</v>
      </c>
      <c r="G28" s="3378"/>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1170</v>
      </c>
      <c r="B29" s="1479">
        <f>B28/(1+N28)</f>
        <v>275.19025476197027</v>
      </c>
      <c r="C29" s="1515">
        <v>232</v>
      </c>
      <c r="D29" s="1515">
        <f t="shared" si="35"/>
        <v>232</v>
      </c>
      <c r="E29" s="1479">
        <f t="shared" si="46"/>
        <v>375.65990977608692</v>
      </c>
      <c r="F29" s="1479">
        <f t="shared" si="46"/>
        <v>214.12518283971252</v>
      </c>
      <c r="G29" s="3379"/>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1171</v>
      </c>
      <c r="B30" s="1471">
        <v>275</v>
      </c>
      <c r="C30" s="1471">
        <v>232</v>
      </c>
      <c r="D30" s="1471">
        <f t="shared" si="35"/>
        <v>232</v>
      </c>
      <c r="E30" s="1471">
        <v>376</v>
      </c>
      <c r="F30" s="1472">
        <v>213</v>
      </c>
      <c r="G30" s="3377">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1172</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378">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1173</v>
      </c>
      <c r="B32" s="1479">
        <f t="shared" si="47"/>
        <v>275.19335084830601</v>
      </c>
      <c r="C32" s="1479">
        <f t="shared" si="47"/>
        <v>230.18088050139744</v>
      </c>
      <c r="D32" s="1479">
        <f t="shared" si="35"/>
        <v>230.18088050139744</v>
      </c>
      <c r="E32" s="1479">
        <f t="shared" si="48"/>
        <v>377.58482925212331</v>
      </c>
      <c r="F32" s="1479">
        <f t="shared" si="48"/>
        <v>210.90687997847917</v>
      </c>
      <c r="G32" s="3378">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1174</v>
      </c>
      <c r="B33" s="1479">
        <f t="shared" si="47"/>
        <v>276.29854502841971</v>
      </c>
      <c r="C33" s="1479">
        <f t="shared" si="47"/>
        <v>229.79023709833027</v>
      </c>
      <c r="D33" s="1479">
        <f t="shared" si="35"/>
        <v>229.79023709833027</v>
      </c>
      <c r="E33" s="1479">
        <f t="shared" si="48"/>
        <v>379.78759731655936</v>
      </c>
      <c r="F33" s="1479">
        <f t="shared" si="48"/>
        <v>211.32953905659235</v>
      </c>
      <c r="G33" s="3379">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1175</v>
      </c>
      <c r="B34" s="1471">
        <v>269</v>
      </c>
      <c r="C34" s="1471">
        <v>221</v>
      </c>
      <c r="D34" s="1471">
        <f t="shared" si="35"/>
        <v>221</v>
      </c>
      <c r="E34" s="1471">
        <v>373</v>
      </c>
      <c r="F34" s="1472">
        <v>196</v>
      </c>
      <c r="G34" s="3377">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1176</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378">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1177</v>
      </c>
      <c r="B36" s="1479">
        <f t="shared" si="49"/>
        <v>242.95398227588385</v>
      </c>
      <c r="C36" s="1479">
        <f t="shared" si="49"/>
        <v>199.59137053614126</v>
      </c>
      <c r="D36" s="1479">
        <f t="shared" si="35"/>
        <v>199.59137053614126</v>
      </c>
      <c r="E36" s="1479">
        <f t="shared" si="50"/>
        <v>335.92189522342125</v>
      </c>
      <c r="F36" s="1479">
        <f t="shared" si="50"/>
        <v>183.10139991109489</v>
      </c>
      <c r="G36" s="3378">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1178</v>
      </c>
      <c r="B37" s="1479">
        <f t="shared" si="49"/>
        <v>232.06990378821649</v>
      </c>
      <c r="C37" s="1479">
        <f t="shared" si="49"/>
        <v>192.74878854286936</v>
      </c>
      <c r="D37" s="1479">
        <f t="shared" si="35"/>
        <v>192.74878854286936</v>
      </c>
      <c r="E37" s="1479">
        <f t="shared" si="50"/>
        <v>319.71247284992984</v>
      </c>
      <c r="F37" s="1479">
        <f t="shared" si="50"/>
        <v>175.67053622862409</v>
      </c>
      <c r="G37" s="3379">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1179</v>
      </c>
      <c r="B38" s="1471">
        <v>220</v>
      </c>
      <c r="C38" s="1471">
        <v>187</v>
      </c>
      <c r="D38" s="1471">
        <f t="shared" si="35"/>
        <v>187</v>
      </c>
      <c r="E38" s="1471">
        <v>301</v>
      </c>
      <c r="F38" s="1472">
        <v>168</v>
      </c>
      <c r="G38" s="3377">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1180</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378">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1181</v>
      </c>
      <c r="B40" s="1479">
        <f t="shared" si="51"/>
        <v>210.630522469011</v>
      </c>
      <c r="C40" s="1479">
        <f t="shared" si="51"/>
        <v>181.69567812247232</v>
      </c>
      <c r="D40" s="1479">
        <f t="shared" si="35"/>
        <v>181.69567812247232</v>
      </c>
      <c r="E40" s="1479">
        <f t="shared" si="52"/>
        <v>286.13517466736738</v>
      </c>
      <c r="F40" s="1479">
        <f t="shared" si="52"/>
        <v>165.47535084591149</v>
      </c>
      <c r="G40" s="3378">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1182</v>
      </c>
      <c r="B41" s="1479">
        <f t="shared" si="51"/>
        <v>208.83454537875372</v>
      </c>
      <c r="C41" s="1479">
        <f t="shared" si="51"/>
        <v>183.77230517090351</v>
      </c>
      <c r="D41" s="1479">
        <f t="shared" si="35"/>
        <v>183.77230517090351</v>
      </c>
      <c r="E41" s="1479">
        <f t="shared" si="52"/>
        <v>281.10342338870947</v>
      </c>
      <c r="F41" s="1479">
        <f t="shared" si="52"/>
        <v>168.97309388942256</v>
      </c>
      <c r="G41" s="3379">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1183</v>
      </c>
      <c r="B42" s="1513">
        <v>214</v>
      </c>
      <c r="C42" s="1513">
        <v>188</v>
      </c>
      <c r="D42" s="1513">
        <f t="shared" si="35"/>
        <v>188</v>
      </c>
      <c r="E42" s="1513">
        <v>289</v>
      </c>
      <c r="F42" s="1514">
        <v>166</v>
      </c>
      <c r="G42" s="3377">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1184</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378">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1185</v>
      </c>
      <c r="B44" s="1479">
        <f t="shared" si="53"/>
        <v>206.31694671589116</v>
      </c>
      <c r="C44" s="1479">
        <f t="shared" si="53"/>
        <v>183.61041121036101</v>
      </c>
      <c r="D44" s="1479">
        <f t="shared" si="35"/>
        <v>183.61041121036101</v>
      </c>
      <c r="E44" s="1479">
        <f t="shared" si="54"/>
        <v>276.66850301795557</v>
      </c>
      <c r="F44" s="1479">
        <f t="shared" si="54"/>
        <v>165.1360938278614</v>
      </c>
      <c r="G44" s="3378">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1186</v>
      </c>
      <c r="B45" s="1516">
        <f t="shared" si="53"/>
        <v>196.62341248059772</v>
      </c>
      <c r="C45" s="1516">
        <f t="shared" si="53"/>
        <v>170.99125648199012</v>
      </c>
      <c r="D45" s="1516">
        <f t="shared" si="35"/>
        <v>170.99125648199012</v>
      </c>
      <c r="E45" s="1516">
        <f t="shared" si="54"/>
        <v>266.07857570490052</v>
      </c>
      <c r="F45" s="1516">
        <f t="shared" si="54"/>
        <v>154.53499328828505</v>
      </c>
      <c r="G45" s="3379">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1187</v>
      </c>
      <c r="B46" s="1471">
        <v>188</v>
      </c>
      <c r="C46" s="1471">
        <v>165</v>
      </c>
      <c r="D46" s="1471">
        <f t="shared" si="35"/>
        <v>165</v>
      </c>
      <c r="E46" s="1471">
        <v>254</v>
      </c>
      <c r="F46" s="1472">
        <v>148</v>
      </c>
      <c r="G46" s="3377">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1188</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378">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1189</v>
      </c>
      <c r="B48" s="1479">
        <f t="shared" si="57"/>
        <v>168.82017748715555</v>
      </c>
      <c r="C48" s="1479">
        <f t="shared" si="57"/>
        <v>148.06267029972753</v>
      </c>
      <c r="D48" s="1479">
        <f t="shared" si="35"/>
        <v>148.06267029972753</v>
      </c>
      <c r="E48" s="1479">
        <f t="shared" si="58"/>
        <v>216.46288379323747</v>
      </c>
      <c r="F48" s="1479">
        <f t="shared" si="58"/>
        <v>134.23529411764704</v>
      </c>
      <c r="G48" s="3378">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1190</v>
      </c>
      <c r="B49" s="1479">
        <f t="shared" si="57"/>
        <v>163.84913591779542</v>
      </c>
      <c r="C49" s="1479">
        <f t="shared" si="57"/>
        <v>145.0283378746594</v>
      </c>
      <c r="D49" s="1479">
        <f t="shared" si="35"/>
        <v>145.0283378746594</v>
      </c>
      <c r="E49" s="1479">
        <f t="shared" si="58"/>
        <v>204.95180722891567</v>
      </c>
      <c r="F49" s="1479">
        <f t="shared" si="58"/>
        <v>125.95920303605313</v>
      </c>
      <c r="G49" s="3379">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1191</v>
      </c>
      <c r="B50" s="1492">
        <v>159</v>
      </c>
      <c r="C50" s="1492">
        <v>141</v>
      </c>
      <c r="D50" s="1492">
        <f t="shared" si="35"/>
        <v>141</v>
      </c>
      <c r="E50" s="1492">
        <v>195</v>
      </c>
      <c r="F50" s="1493">
        <v>122</v>
      </c>
      <c r="G50" s="3377">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1192</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378">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1193</v>
      </c>
      <c r="B52" s="1479">
        <f t="shared" si="61"/>
        <v>146.57412060301507</v>
      </c>
      <c r="C52" s="1479">
        <f t="shared" si="61"/>
        <v>136.46831955922866</v>
      </c>
      <c r="D52" s="1479">
        <f t="shared" si="35"/>
        <v>136.46831955922866</v>
      </c>
      <c r="E52" s="1479">
        <f t="shared" si="62"/>
        <v>166.73864894795128</v>
      </c>
      <c r="F52" s="1479">
        <f t="shared" si="62"/>
        <v>115.05882352941177</v>
      </c>
      <c r="G52" s="3378">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1194</v>
      </c>
      <c r="B53" s="1479">
        <f t="shared" si="61"/>
        <v>144.04145728643215</v>
      </c>
      <c r="C53" s="1479">
        <f t="shared" si="61"/>
        <v>136.12396694214877</v>
      </c>
      <c r="D53" s="1479">
        <f t="shared" si="35"/>
        <v>136.12396694214877</v>
      </c>
      <c r="E53" s="1479">
        <f t="shared" si="62"/>
        <v>158.32225913621264</v>
      </c>
      <c r="F53" s="1479">
        <f t="shared" si="62"/>
        <v>114.04278074866311</v>
      </c>
      <c r="G53" s="3379">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1195</v>
      </c>
      <c r="B54" s="1492">
        <v>138</v>
      </c>
      <c r="C54" s="1492">
        <v>131</v>
      </c>
      <c r="D54" s="1492">
        <f t="shared" si="35"/>
        <v>131</v>
      </c>
      <c r="E54" s="1492">
        <v>155</v>
      </c>
      <c r="F54" s="1493">
        <v>114</v>
      </c>
      <c r="G54" s="3377">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1196</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378">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1197</v>
      </c>
      <c r="B56" s="1479">
        <f t="shared" si="65"/>
        <v>124.29032258064517</v>
      </c>
      <c r="C56" s="1479">
        <f t="shared" si="65"/>
        <v>123.8968609865471</v>
      </c>
      <c r="D56" s="1479">
        <f t="shared" si="35"/>
        <v>123.8968609865471</v>
      </c>
      <c r="E56" s="1479">
        <f t="shared" si="66"/>
        <v>138.00507614213197</v>
      </c>
      <c r="F56" s="1479">
        <f t="shared" si="66"/>
        <v>107.96106557377048</v>
      </c>
      <c r="G56" s="3378">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1198</v>
      </c>
      <c r="B57" s="1479">
        <f t="shared" si="65"/>
        <v>122.57204301075269</v>
      </c>
      <c r="C57" s="1479">
        <f t="shared" si="65"/>
        <v>123.4932735426009</v>
      </c>
      <c r="D57" s="1479">
        <f t="shared" si="35"/>
        <v>123.4932735426009</v>
      </c>
      <c r="E57" s="1479">
        <f t="shared" si="66"/>
        <v>129.82233502538071</v>
      </c>
      <c r="F57" s="1479">
        <f t="shared" si="66"/>
        <v>107.39446721311475</v>
      </c>
      <c r="G57" s="3379">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1199</v>
      </c>
      <c r="B58" s="1513">
        <v>121</v>
      </c>
      <c r="C58" s="1513">
        <v>122</v>
      </c>
      <c r="D58" s="1513">
        <f t="shared" si="35"/>
        <v>122</v>
      </c>
      <c r="E58" s="1513">
        <v>124</v>
      </c>
      <c r="F58" s="1514">
        <v>107</v>
      </c>
      <c r="G58" s="3377">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1200</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378">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1201</v>
      </c>
      <c r="B60" s="1479">
        <f t="shared" si="69"/>
        <v>116.99099099099099</v>
      </c>
      <c r="C60" s="1479">
        <f t="shared" si="69"/>
        <v>118.84848484848486</v>
      </c>
      <c r="D60" s="1479">
        <f t="shared" si="35"/>
        <v>118.84848484848486</v>
      </c>
      <c r="E60" s="1479">
        <f t="shared" si="70"/>
        <v>117.60960960960961</v>
      </c>
      <c r="F60" s="1479">
        <f t="shared" si="70"/>
        <v>104</v>
      </c>
      <c r="G60" s="3378">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1202</v>
      </c>
      <c r="B61" s="1516">
        <f t="shared" si="69"/>
        <v>112.48648648648648</v>
      </c>
      <c r="C61" s="1516">
        <f t="shared" si="69"/>
        <v>115.21212121212122</v>
      </c>
      <c r="D61" s="1516">
        <f t="shared" si="35"/>
        <v>115.21212121212122</v>
      </c>
      <c r="E61" s="1516">
        <f t="shared" si="70"/>
        <v>110.4024024024024</v>
      </c>
      <c r="F61" s="1516">
        <f t="shared" si="70"/>
        <v>104</v>
      </c>
      <c r="G61" s="3379">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1203</v>
      </c>
      <c r="B62" s="1534">
        <v>111</v>
      </c>
      <c r="C62" s="1534">
        <v>114</v>
      </c>
      <c r="D62" s="1534">
        <f t="shared" si="35"/>
        <v>114</v>
      </c>
      <c r="E62" s="1534">
        <v>108</v>
      </c>
      <c r="F62" s="1535">
        <v>104</v>
      </c>
      <c r="G62" s="3377">
        <v>2003</v>
      </c>
      <c r="H62" s="1524">
        <v>4</v>
      </c>
      <c r="I62" s="1536"/>
      <c r="J62" s="1536"/>
      <c r="K62" s="1536"/>
      <c r="L62" s="1536"/>
      <c r="N62" s="1537"/>
      <c r="O62" s="1536"/>
      <c r="P62" s="1536"/>
      <c r="Q62" s="1536"/>
      <c r="S62" s="1537"/>
      <c r="T62" s="1536"/>
      <c r="U62" s="1536"/>
      <c r="V62" s="1536"/>
      <c r="X62" s="1528"/>
      <c r="Y62" s="1528"/>
      <c r="Z62" s="1528"/>
    </row>
    <row r="63" spans="1:26">
      <c r="A63" s="1463" t="s">
        <v>1204</v>
      </c>
      <c r="B63" s="1538">
        <f t="shared" ref="B63:C65" si="71">B64+(B$62-B$66)/4</f>
        <v>109.75</v>
      </c>
      <c r="C63" s="1538">
        <f t="shared" si="71"/>
        <v>112.25</v>
      </c>
      <c r="D63" s="1538">
        <f t="shared" si="35"/>
        <v>112.25</v>
      </c>
      <c r="E63" s="1538">
        <f t="shared" ref="E63:F65" si="72">E64+(E$62-E$66)/4</f>
        <v>107.25</v>
      </c>
      <c r="F63" s="1538">
        <f t="shared" si="72"/>
        <v>103.5</v>
      </c>
      <c r="G63" s="3378">
        <v>2003</v>
      </c>
      <c r="H63" s="1489">
        <v>3</v>
      </c>
      <c r="I63" s="1536"/>
      <c r="J63" s="1536"/>
      <c r="K63" s="1536"/>
      <c r="L63" s="1536"/>
      <c r="X63" s="1528"/>
      <c r="Y63" s="1528"/>
      <c r="Z63" s="1528"/>
    </row>
    <row r="64" spans="1:26">
      <c r="A64" s="1463" t="s">
        <v>1205</v>
      </c>
      <c r="B64" s="1538">
        <f t="shared" si="71"/>
        <v>108.5</v>
      </c>
      <c r="C64" s="1538">
        <f t="shared" si="71"/>
        <v>110.5</v>
      </c>
      <c r="D64" s="1538">
        <f t="shared" si="35"/>
        <v>110.5</v>
      </c>
      <c r="E64" s="1538">
        <f t="shared" si="72"/>
        <v>106.5</v>
      </c>
      <c r="F64" s="1538">
        <f t="shared" si="72"/>
        <v>103</v>
      </c>
      <c r="G64" s="3378">
        <v>2003</v>
      </c>
      <c r="H64" s="1467">
        <v>2</v>
      </c>
      <c r="I64" s="1536"/>
      <c r="J64" s="1536"/>
      <c r="K64" s="1536"/>
      <c r="L64" s="1536"/>
      <c r="X64" s="1528"/>
      <c r="Y64" s="1528"/>
      <c r="Z64" s="1528"/>
    </row>
    <row r="65" spans="1:26" ht="13.5" thickBot="1">
      <c r="A65" s="1463" t="s">
        <v>1206</v>
      </c>
      <c r="B65" s="1538">
        <f t="shared" si="71"/>
        <v>107.25</v>
      </c>
      <c r="C65" s="1538">
        <f t="shared" si="71"/>
        <v>108.75</v>
      </c>
      <c r="D65" s="1538">
        <f t="shared" si="35"/>
        <v>108.75</v>
      </c>
      <c r="E65" s="1538">
        <f t="shared" si="72"/>
        <v>105.75</v>
      </c>
      <c r="F65" s="1538">
        <f t="shared" si="72"/>
        <v>102.5</v>
      </c>
      <c r="G65" s="3379">
        <v>2003</v>
      </c>
      <c r="H65" s="1539">
        <v>1</v>
      </c>
      <c r="I65" s="1536"/>
      <c r="J65" s="1536"/>
      <c r="K65" s="1536"/>
      <c r="L65" s="1536"/>
      <c r="S65" s="1474"/>
      <c r="T65" s="1475"/>
      <c r="U65" s="1475"/>
      <c r="X65" s="1528"/>
      <c r="Y65" s="1528"/>
      <c r="Z65" s="1528"/>
    </row>
    <row r="66" spans="1:26" ht="13.5" thickBot="1">
      <c r="A66" s="1463" t="s">
        <v>1207</v>
      </c>
      <c r="B66" s="1540">
        <v>106</v>
      </c>
      <c r="C66" s="1540">
        <v>107</v>
      </c>
      <c r="D66" s="1540">
        <f t="shared" si="35"/>
        <v>107</v>
      </c>
      <c r="E66" s="1540">
        <v>105</v>
      </c>
      <c r="F66" s="1541">
        <v>102</v>
      </c>
      <c r="G66" s="3377">
        <v>2002</v>
      </c>
      <c r="H66" s="1484">
        <v>4</v>
      </c>
      <c r="I66" s="1536"/>
      <c r="J66" s="1536"/>
      <c r="K66" s="1536"/>
      <c r="L66" s="1536"/>
      <c r="N66" s="1537"/>
      <c r="O66" s="1536"/>
      <c r="P66" s="1536"/>
      <c r="Q66" s="1536"/>
      <c r="S66" s="1537"/>
      <c r="T66" s="1536"/>
      <c r="U66" s="1536"/>
      <c r="V66" s="1536"/>
      <c r="X66" s="1528"/>
      <c r="Y66" s="1528"/>
      <c r="Z66" s="1528"/>
    </row>
    <row r="67" spans="1:26">
      <c r="A67" s="1463" t="s">
        <v>1208</v>
      </c>
      <c r="B67" s="1538">
        <f t="shared" ref="B67:C69" si="73">B68+(B$66-B$70)/4</f>
        <v>105</v>
      </c>
      <c r="C67" s="1538">
        <f t="shared" si="73"/>
        <v>106</v>
      </c>
      <c r="D67" s="1538">
        <f t="shared" si="35"/>
        <v>106</v>
      </c>
      <c r="E67" s="1538">
        <f t="shared" ref="E67:F69" si="74">E68+(E$66-E$70)/4</f>
        <v>104.5</v>
      </c>
      <c r="F67" s="1538">
        <f t="shared" si="74"/>
        <v>101.5</v>
      </c>
      <c r="G67" s="3378">
        <v>2002</v>
      </c>
      <c r="H67" s="1489">
        <v>3</v>
      </c>
      <c r="I67" s="1536"/>
      <c r="J67" s="1536"/>
      <c r="K67" s="1536"/>
      <c r="L67" s="1536"/>
      <c r="X67" s="1528"/>
      <c r="Y67" s="1528"/>
      <c r="Z67" s="1528"/>
    </row>
    <row r="68" spans="1:26">
      <c r="A68" s="1463" t="s">
        <v>1209</v>
      </c>
      <c r="B68" s="1538">
        <f t="shared" si="73"/>
        <v>104</v>
      </c>
      <c r="C68" s="1538">
        <f t="shared" si="73"/>
        <v>105</v>
      </c>
      <c r="D68" s="1538">
        <f t="shared" si="35"/>
        <v>105</v>
      </c>
      <c r="E68" s="1538">
        <f t="shared" si="74"/>
        <v>104</v>
      </c>
      <c r="F68" s="1538">
        <f t="shared" si="74"/>
        <v>101</v>
      </c>
      <c r="G68" s="3378">
        <v>2002</v>
      </c>
      <c r="H68" s="1467">
        <v>2</v>
      </c>
      <c r="I68" s="1536"/>
      <c r="J68" s="1536"/>
      <c r="K68" s="1536"/>
      <c r="L68" s="1536"/>
      <c r="X68" s="1528"/>
      <c r="Y68" s="1528"/>
      <c r="Z68" s="1528"/>
    </row>
    <row r="69" spans="1:26" s="1500" customFormat="1" ht="13.5" thickBot="1">
      <c r="A69" s="1496" t="s">
        <v>1210</v>
      </c>
      <c r="B69" s="1542">
        <f t="shared" si="73"/>
        <v>103</v>
      </c>
      <c r="C69" s="1542">
        <f t="shared" si="73"/>
        <v>104</v>
      </c>
      <c r="D69" s="1542">
        <f t="shared" si="35"/>
        <v>104</v>
      </c>
      <c r="E69" s="1542">
        <f t="shared" si="74"/>
        <v>103.5</v>
      </c>
      <c r="F69" s="1542">
        <f t="shared" si="74"/>
        <v>100.5</v>
      </c>
      <c r="G69" s="3379">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1211</v>
      </c>
      <c r="G72" s="1552"/>
      <c r="N72" s="1552"/>
      <c r="S72" s="1552"/>
    </row>
    <row r="73" spans="1:26" s="1551" customFormat="1">
      <c r="A73" s="1551" t="s">
        <v>1212</v>
      </c>
      <c r="G73" s="1552"/>
      <c r="N73" s="1552"/>
      <c r="S73" s="1552"/>
    </row>
    <row r="74" spans="1:26" s="1551" customFormat="1">
      <c r="A74" s="1551" t="s">
        <v>1213</v>
      </c>
      <c r="G74" s="1552"/>
      <c r="I74" s="1553"/>
      <c r="J74" s="1553"/>
      <c r="K74" s="1553"/>
      <c r="L74" s="1553"/>
      <c r="N74" s="1554"/>
      <c r="O74" s="1553"/>
      <c r="P74" s="1553"/>
      <c r="Q74" s="1553"/>
      <c r="S74" s="1554"/>
      <c r="T74" s="1553"/>
      <c r="U74" s="1553"/>
      <c r="V74" s="1553"/>
    </row>
    <row r="75" spans="1:26" s="1551" customFormat="1">
      <c r="A75" s="1551" t="s">
        <v>1214</v>
      </c>
      <c r="G75" s="1552"/>
      <c r="N75" s="1552"/>
      <c r="S75" s="1552"/>
    </row>
    <row r="82" spans="7:22" ht="13.5" thickBot="1"/>
    <row r="83" spans="7:22">
      <c r="G83" s="1473"/>
      <c r="S83" s="1555" t="s">
        <v>1215</v>
      </c>
      <c r="T83" s="1556" t="s">
        <v>1216</v>
      </c>
      <c r="U83" s="1556" t="s">
        <v>1217</v>
      </c>
      <c r="V83" s="1556" t="s">
        <v>1218</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2988</v>
      </c>
      <c r="C1" s="3386" t="s">
        <v>2989</v>
      </c>
      <c r="D1" s="3387"/>
      <c r="E1" s="3387"/>
      <c r="F1" s="3387"/>
      <c r="G1" s="3387"/>
      <c r="H1" s="3387"/>
      <c r="I1" s="3387"/>
      <c r="J1" s="3387"/>
      <c r="K1" s="3387"/>
      <c r="L1" s="3387"/>
      <c r="M1" s="3387"/>
      <c r="N1" s="3387"/>
      <c r="O1" s="3387"/>
      <c r="P1" s="3387"/>
      <c r="Q1" s="3387"/>
      <c r="R1" s="3387"/>
      <c r="S1" s="3388"/>
      <c r="T1" s="1206" t="s">
        <v>2990</v>
      </c>
    </row>
    <row r="2" spans="1:45" s="706" customFormat="1">
      <c r="A2" s="1207"/>
      <c r="B2" s="702" t="s">
        <v>2991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2992</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2993</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2994</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2995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2996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2997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2998</v>
      </c>
      <c r="B17" s="2917" t="s">
        <v>2999</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8" t="s">
        <v>3000</v>
      </c>
      <c r="E19" s="1794"/>
      <c r="F19" s="1794"/>
      <c r="G19" s="1794"/>
      <c r="H19" s="1282"/>
      <c r="I19" s="167"/>
      <c r="J19" s="167"/>
      <c r="K19" s="167"/>
      <c r="L19" s="167"/>
      <c r="M19" s="167"/>
      <c r="N19" s="167"/>
      <c r="O19" s="167"/>
      <c r="P19" s="167"/>
      <c r="Q19" s="167"/>
      <c r="R19" s="787"/>
      <c r="S19" s="137"/>
    </row>
    <row r="20" spans="1:45" ht="16.5" thickBot="1">
      <c r="A20" s="714" t="s">
        <v>3001</v>
      </c>
      <c r="B20" s="337" t="e">
        <f ca="1">IF(D20="——",S22,S22-F20)</f>
        <v>#REF!</v>
      </c>
      <c r="C20" s="167"/>
      <c r="D20" s="2919" t="s">
        <v>3002</v>
      </c>
      <c r="E20" s="1795"/>
      <c r="F20" s="1206" t="e">
        <f ca="1">SUMIF(INDIRECT("'"&amp;H20&amp;"'"&amp;"!A:A"),"承租人权益价值",INDIRECT("'"&amp;H20&amp;"'"&amp;"!c:c"))</f>
        <v>#REF!</v>
      </c>
      <c r="G20" s="1206" t="s">
        <v>3003</v>
      </c>
      <c r="H20" s="2920"/>
      <c r="I20" s="167"/>
      <c r="J20" s="167"/>
      <c r="K20" s="167"/>
      <c r="L20" s="167"/>
      <c r="M20" s="167"/>
      <c r="N20" s="167"/>
      <c r="O20" s="167"/>
      <c r="P20" s="167"/>
      <c r="Q20" s="167"/>
      <c r="R20" s="787"/>
      <c r="S20" s="137"/>
    </row>
    <row r="21" spans="1:45" ht="15.75">
      <c r="A21" s="714" t="s">
        <v>3004</v>
      </c>
      <c r="B21" s="337">
        <f>R22</f>
        <v>10000</v>
      </c>
      <c r="C21" s="167"/>
      <c r="D21" s="167"/>
      <c r="E21" s="167"/>
      <c r="F21" s="167"/>
      <c r="G21" s="167"/>
      <c r="H21" s="167"/>
      <c r="I21" s="167"/>
      <c r="J21" s="167"/>
      <c r="K21" s="167"/>
      <c r="L21" s="167"/>
      <c r="M21" s="167"/>
      <c r="N21" s="167"/>
      <c r="O21" s="167"/>
      <c r="P21" s="167"/>
      <c r="Q21" s="167"/>
      <c r="R21" s="787"/>
      <c r="S21" s="137"/>
    </row>
    <row r="22" spans="1:45">
      <c r="A22" s="360" t="s">
        <v>3005</v>
      </c>
      <c r="B22" s="24">
        <f>SUM(B24:B10000)</f>
        <v>100</v>
      </c>
      <c r="C22" s="3167" t="s">
        <v>33</v>
      </c>
      <c r="D22" s="3168"/>
      <c r="E22" s="3168"/>
      <c r="F22" s="3168"/>
      <c r="G22" s="3168"/>
      <c r="H22" s="3168"/>
      <c r="I22" s="3168"/>
      <c r="J22" s="3168"/>
      <c r="K22" s="3168"/>
      <c r="L22" s="3168"/>
      <c r="M22" s="3168"/>
      <c r="N22" s="3168"/>
      <c r="O22" s="3168"/>
      <c r="P22" s="3168"/>
      <c r="Q22" s="3385"/>
      <c r="R22" s="715">
        <f>ROUND(S22*10000/B22,0)</f>
        <v>10000</v>
      </c>
      <c r="S22" s="24">
        <f>SUM(S24:S10000)</f>
        <v>100</v>
      </c>
    </row>
    <row r="23" spans="1:45" s="12" customFormat="1" ht="24">
      <c r="A23" s="11" t="s">
        <v>3006</v>
      </c>
      <c r="B23" s="11" t="s">
        <v>3007</v>
      </c>
      <c r="C23" s="11" t="s">
        <v>3008</v>
      </c>
      <c r="D23" s="11" t="str">
        <f>B5</f>
        <v>修正项2</v>
      </c>
      <c r="E23" s="11" t="s">
        <v>3008</v>
      </c>
      <c r="F23" s="11" t="str">
        <f>B7</f>
        <v>修正项3</v>
      </c>
      <c r="G23" s="11" t="s">
        <v>3008</v>
      </c>
      <c r="H23" s="11" t="str">
        <f>B9</f>
        <v>修正项4</v>
      </c>
      <c r="I23" s="11" t="s">
        <v>3008</v>
      </c>
      <c r="J23" s="11" t="str">
        <f>B11</f>
        <v>修正项5</v>
      </c>
      <c r="K23" s="11" t="s">
        <v>3008</v>
      </c>
      <c r="L23" s="11" t="str">
        <f>B13</f>
        <v>修正项6</v>
      </c>
      <c r="M23" s="11" t="s">
        <v>3008</v>
      </c>
      <c r="N23" s="11" t="str">
        <f>B15</f>
        <v>修正项7</v>
      </c>
      <c r="O23" s="11" t="s">
        <v>3008</v>
      </c>
      <c r="P23" s="11" t="str">
        <f>B17</f>
        <v>楼层</v>
      </c>
      <c r="Q23" s="11" t="s">
        <v>3008</v>
      </c>
      <c r="R23" s="716" t="s">
        <v>3009</v>
      </c>
      <c r="S23" s="11" t="s">
        <v>3010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30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1"/>
      <c r="C2" s="3071"/>
      <c r="D2" s="3071"/>
      <c r="E2" s="3071"/>
    </row>
    <row r="3" spans="1:5" ht="18">
      <c r="A3" s="3072" t="str">
        <f>IF(项目基本情况!B9="房地产市场价值","估价结果一览表（市场价值不需“结果表-1”）","估价结果一览表")</f>
        <v>估价结果一览表</v>
      </c>
      <c r="B3" s="3072"/>
      <c r="C3" s="3072"/>
      <c r="D3" s="3072"/>
      <c r="E3" s="3072"/>
    </row>
    <row r="4" spans="1:5" ht="19.5" thickBot="1">
      <c r="A4" s="1963"/>
      <c r="B4" s="3070" t="s">
        <v>1629</v>
      </c>
      <c r="C4" s="3070"/>
      <c r="D4" s="3070"/>
      <c r="E4" s="1963"/>
    </row>
    <row r="5" spans="1:5" ht="16.5" thickTop="1">
      <c r="A5" s="1961"/>
      <c r="B5" s="3068" t="s">
        <v>1621</v>
      </c>
      <c r="C5" s="1964" t="s">
        <v>1622</v>
      </c>
      <c r="D5" s="1042">
        <f ca="1">结果表!H101</f>
        <v>81054</v>
      </c>
      <c r="E5" s="1961"/>
    </row>
    <row r="6" spans="1:5" ht="15.75">
      <c r="A6" s="1961"/>
      <c r="B6" s="3068"/>
      <c r="C6" s="1964" t="s">
        <v>1623</v>
      </c>
      <c r="D6" s="1042" t="str">
        <f ca="1">NUMBERSTRING(INT(D5*10000),2)&amp;"元整"</f>
        <v>捌亿壹仟零伍拾肆万元整</v>
      </c>
      <c r="E6" s="1961"/>
    </row>
    <row r="7" spans="1:5" ht="15.75">
      <c r="A7" s="1961"/>
      <c r="B7" s="3073"/>
      <c r="C7" s="1965" t="s">
        <v>1624</v>
      </c>
      <c r="D7" s="1043">
        <f ca="1">结果表!H102</f>
        <v>16939</v>
      </c>
      <c r="E7" s="1961"/>
    </row>
    <row r="8" spans="1:5" ht="15.75">
      <c r="A8" s="1961"/>
      <c r="B8" s="3074" t="str">
        <f>结果表!E103</f>
        <v>2.估价师知悉的除抵押担保权以外的法定优先受偿款</v>
      </c>
      <c r="C8" s="1966" t="s">
        <v>1625</v>
      </c>
      <c r="D8" s="1043">
        <f>结果表!H103</f>
        <v>0</v>
      </c>
      <c r="E8" s="1961"/>
    </row>
    <row r="9" spans="1:5" ht="15.75">
      <c r="A9" s="1961"/>
      <c r="B9" s="3076"/>
      <c r="C9" s="1964" t="s">
        <v>1623</v>
      </c>
      <c r="D9" s="1042" t="str">
        <f>NUMBERSTRING(INT(D8*10000),2)&amp;"元整"</f>
        <v>零元整</v>
      </c>
      <c r="E9" s="1961"/>
    </row>
    <row r="10" spans="1:5" ht="15">
      <c r="A10" s="1961"/>
      <c r="B10" s="1967" t="s">
        <v>1628</v>
      </c>
      <c r="C10" s="1968" t="s">
        <v>1626</v>
      </c>
      <c r="D10" s="1044">
        <f>结果表!H104</f>
        <v>55000</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3067" t="str">
        <f>结果表!E107</f>
        <v>——</v>
      </c>
      <c r="C13" s="1969" t="s">
        <v>1622</v>
      </c>
      <c r="D13" s="1045" t="str">
        <f>结果表!H107</f>
        <v>——</v>
      </c>
      <c r="E13" s="1961"/>
    </row>
    <row r="14" spans="1:5" ht="15.75">
      <c r="A14" s="1961"/>
      <c r="B14" s="3068"/>
      <c r="C14" s="1964" t="s">
        <v>1623</v>
      </c>
      <c r="D14" s="1042" t="e">
        <f>NUMBERSTRING(INT(D13*10000),2)&amp;"元整"</f>
        <v>#VALUE!</v>
      </c>
      <c r="E14" s="1961"/>
    </row>
    <row r="15" spans="1:5" ht="15">
      <c r="A15" s="1961"/>
      <c r="B15" s="3073"/>
      <c r="C15" s="1965" t="s">
        <v>1633</v>
      </c>
      <c r="D15" s="1054" t="e">
        <f>结果表!H108</f>
        <v>#VALUE!</v>
      </c>
      <c r="E15" s="1961"/>
    </row>
    <row r="16" spans="1:5" ht="15">
      <c r="A16" s="1961"/>
      <c r="B16" s="3074" t="str">
        <f>结果表!E109</f>
        <v>3.抵押担保权已注销时的房地产抵押价值</v>
      </c>
      <c r="C16" s="1969" t="s">
        <v>1634</v>
      </c>
      <c r="D16" s="1970">
        <f ca="1">结果表!H109</f>
        <v>81054</v>
      </c>
      <c r="E16" s="1961"/>
    </row>
    <row r="17" spans="1:5" ht="15.75">
      <c r="A17" s="1961"/>
      <c r="B17" s="3075"/>
      <c r="C17" s="1964" t="s">
        <v>1635</v>
      </c>
      <c r="D17" s="1042" t="str">
        <f ca="1">NUMBERSTRING(INT(D16*10000),2)&amp;"元整"</f>
        <v>捌亿壹仟零伍拾肆万元整</v>
      </c>
      <c r="E17" s="1961"/>
    </row>
    <row r="18" spans="1:5" ht="15">
      <c r="A18" s="1961"/>
      <c r="B18" s="3076"/>
      <c r="C18" s="1965" t="s">
        <v>1624</v>
      </c>
      <c r="D18" s="1054">
        <f ca="1">结果表!H110</f>
        <v>16939</v>
      </c>
      <c r="E18" s="1961"/>
    </row>
    <row r="19" spans="1:5" ht="15.75">
      <c r="A19" s="1961"/>
      <c r="B19" s="3067" t="str">
        <f>结果表!E111</f>
        <v>——</v>
      </c>
      <c r="C19" s="1969" t="s">
        <v>1622</v>
      </c>
      <c r="D19" s="1043" t="str">
        <f>结果表!H111</f>
        <v>——</v>
      </c>
      <c r="E19" s="1961"/>
    </row>
    <row r="20" spans="1:5" ht="15.75">
      <c r="A20" s="1961"/>
      <c r="B20" s="3068"/>
      <c r="C20" s="1964" t="s">
        <v>1635</v>
      </c>
      <c r="D20" s="1042" t="e">
        <f>NUMBERSTRING(INT(D19*10000),2)&amp;"元整"</f>
        <v>#VALUE!</v>
      </c>
      <c r="E20" s="1961"/>
    </row>
    <row r="21" spans="1:5" ht="15.75" thickBot="1">
      <c r="A21" s="1961"/>
      <c r="B21" s="3069"/>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52482</v>
      </c>
      <c r="C2" s="2" t="s">
        <v>133</v>
      </c>
      <c r="D2" s="242"/>
      <c r="E2" s="242"/>
      <c r="F2" s="242"/>
      <c r="G2" s="242"/>
    </row>
    <row r="3" spans="1:7" s="243" customFormat="1" ht="18" customHeight="1" thickBot="1">
      <c r="A3" s="246" t="s">
        <v>85</v>
      </c>
      <c r="B3" s="247">
        <f ca="1">ROUND(B2*10000/'数据-汇总表'!E3,0)</f>
        <v>10968</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957</v>
      </c>
      <c r="D10" s="1034">
        <f>'数据-汇总表'!E6</f>
        <v>47850.3</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957</v>
      </c>
      <c r="D19" s="1038">
        <f>'数据-汇总表'!E3</f>
        <v>47850.3</v>
      </c>
      <c r="E19" s="254">
        <f>'数据-取费表'!B31</f>
        <v>200</v>
      </c>
      <c r="F19" s="274"/>
      <c r="G19" s="1" t="s">
        <v>1074</v>
      </c>
    </row>
    <row r="20" spans="1:7" s="257" customFormat="1" ht="13.5" customHeight="1">
      <c r="A20" s="950" t="s">
        <v>1057</v>
      </c>
      <c r="B20" s="253" t="s">
        <v>104</v>
      </c>
      <c r="C20" s="275">
        <f>ROUND((C5+C19)*F20,0)</f>
        <v>431</v>
      </c>
      <c r="D20" s="275"/>
      <c r="E20" s="275"/>
      <c r="F20" s="276">
        <f>'数据-取费表'!B37</f>
        <v>0.02</v>
      </c>
      <c r="G20" s="1291"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6">
        <f ca="1">ROUND(SUM(C23:C25),0)</f>
        <v>1570</v>
      </c>
      <c r="D22" s="278">
        <f ca="1">C26</f>
        <v>6.9999999999999999E-4</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1486</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69</v>
      </c>
      <c r="D24" s="281"/>
      <c r="E24" s="281"/>
      <c r="F24" s="282"/>
      <c r="G24" s="283" t="s">
        <v>109</v>
      </c>
    </row>
    <row r="25" spans="1:7" s="257" customFormat="1" ht="24">
      <c r="A25" s="953" t="s">
        <v>793</v>
      </c>
      <c r="B25" s="258" t="s">
        <v>1058</v>
      </c>
      <c r="C25" s="1357">
        <f ca="1">ROUND(IF('数据-取费表'!B22&lt;=1,C20*F22*'数据-取费表'!B23/2,C20*(POWER((1+F22),'数据-取费表'!B23/2)-1)),0)</f>
        <v>15</v>
      </c>
      <c r="D25" s="281"/>
      <c r="E25" s="284"/>
      <c r="F25" s="282"/>
      <c r="G25" s="285" t="s">
        <v>110</v>
      </c>
    </row>
    <row r="26" spans="1:7" s="257" customFormat="1">
      <c r="A26" s="953" t="s">
        <v>795</v>
      </c>
      <c r="B26" s="258" t="s">
        <v>1060</v>
      </c>
      <c r="C26" s="281">
        <f ca="1">ROUND(IF('数据-取费表'!B22&lt;=1,F21*F22*'数据-取费表'!B23/2,F21*(POWER((1+F22),'数据-取费表'!B23/2)-1)),4)</f>
        <v>6.9999999999999999E-4</v>
      </c>
      <c r="D26" s="281"/>
      <c r="E26" s="284"/>
      <c r="F26" s="282"/>
      <c r="G26" s="286"/>
    </row>
    <row r="27" spans="1:7" s="257" customFormat="1" ht="24.75">
      <c r="A27" s="950" t="s">
        <v>787</v>
      </c>
      <c r="B27" s="287" t="s">
        <v>112</v>
      </c>
      <c r="C27" s="288">
        <f>C28</f>
        <v>4400</v>
      </c>
      <c r="D27" s="278">
        <f>C29</f>
        <v>4.0000000000000001E-3</v>
      </c>
      <c r="E27" s="279" t="s">
        <v>126</v>
      </c>
      <c r="F27" s="289">
        <f>'数据-取费表'!Q16</f>
        <v>0.2</v>
      </c>
      <c r="G27" s="290" t="s">
        <v>1069</v>
      </c>
    </row>
    <row r="28" spans="1:7" s="257" customFormat="1" ht="13.5" customHeight="1">
      <c r="A28" s="953" t="s">
        <v>794</v>
      </c>
      <c r="B28" s="291" t="s">
        <v>1062</v>
      </c>
      <c r="C28" s="292">
        <f>ROUND((C5+C19+C20)*F27*'数据-取费表'!B21/'数据-取费表'!B20,0)</f>
        <v>4400</v>
      </c>
      <c r="D28" s="278"/>
      <c r="E28" s="279"/>
      <c r="F28" s="289"/>
      <c r="G28" s="290"/>
    </row>
    <row r="29" spans="1:7" s="257" customFormat="1" ht="13.5" customHeight="1">
      <c r="A29" s="953" t="s">
        <v>792</v>
      </c>
      <c r="B29" s="291" t="s">
        <v>1063</v>
      </c>
      <c r="C29" s="281">
        <f>ROUND(C21*F27*'数据-取费表'!B21/'数据-取费表'!B20,4)</f>
        <v>4.0000000000000001E-3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30304</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18458</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16748</v>
      </c>
      <c r="D34" s="260"/>
      <c r="E34" s="263"/>
      <c r="F34" s="300">
        <f>IF('数据-取费表'!B24=0,1,'数据-取费表'!N16)</f>
        <v>1</v>
      </c>
      <c r="G34" s="262" t="s">
        <v>116</v>
      </c>
    </row>
    <row r="35" spans="1:7" ht="13.5" customHeight="1">
      <c r="A35" s="953" t="s">
        <v>796</v>
      </c>
      <c r="B35" s="258" t="s">
        <v>60</v>
      </c>
      <c r="C35" s="263">
        <f>ROUND(C34*F35,0)</f>
        <v>502</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957</v>
      </c>
      <c r="D37" s="260">
        <f>'数据-汇总表'!E3</f>
        <v>47850.3</v>
      </c>
      <c r="E37" s="292">
        <f>'数据-取费表'!B35</f>
        <v>200</v>
      </c>
      <c r="F37" s="302"/>
      <c r="G37" s="304" t="s">
        <v>119</v>
      </c>
    </row>
    <row r="38" spans="1:7" ht="13.5" customHeight="1">
      <c r="A38" s="953" t="s">
        <v>799</v>
      </c>
      <c r="B38" s="258" t="s">
        <v>63</v>
      </c>
      <c r="C38" s="263">
        <f>ROUND(C34*F38,0)</f>
        <v>251</v>
      </c>
      <c r="D38" s="263"/>
      <c r="E38" s="263"/>
      <c r="F38" s="302">
        <f>'数据-取费表'!B36</f>
        <v>1.4999999999999999E-2</v>
      </c>
      <c r="G38" s="262" t="s">
        <v>117</v>
      </c>
    </row>
    <row r="39" spans="1:7" s="257" customFormat="1" ht="13.5" customHeight="1">
      <c r="A39" s="950" t="s">
        <v>783</v>
      </c>
      <c r="B39" s="253" t="s">
        <v>104</v>
      </c>
      <c r="C39" s="275">
        <f>ROUND(C33*F20,0)</f>
        <v>369</v>
      </c>
      <c r="D39" s="275"/>
      <c r="E39" s="275"/>
      <c r="F39" s="276"/>
      <c r="G39" s="1291"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667</v>
      </c>
      <c r="D41" s="278">
        <f ca="1">C44</f>
        <v>6.9999999999999999E-4</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654</v>
      </c>
      <c r="D42" s="281"/>
      <c r="E42" s="281"/>
      <c r="F42" s="282"/>
      <c r="G42" s="3272" t="s">
        <v>121</v>
      </c>
    </row>
    <row r="43" spans="1:7" ht="13.5" customHeight="1">
      <c r="A43" s="953" t="s">
        <v>792</v>
      </c>
      <c r="B43" s="258" t="s">
        <v>1064</v>
      </c>
      <c r="C43" s="281">
        <f ca="1">ROUND(IF('数据-取费表'!B22&lt;=1,C39*F22*'数据-取费表'!B21/2,C39*(POWER((1+F22),'数据-取费表'!B21/2)-1)),0)</f>
        <v>13</v>
      </c>
      <c r="D43" s="281"/>
      <c r="E43" s="281"/>
      <c r="F43" s="282"/>
      <c r="G43" s="3273"/>
    </row>
    <row r="44" spans="1:7" ht="13.5" customHeight="1">
      <c r="A44" s="953" t="s">
        <v>793</v>
      </c>
      <c r="B44" s="258" t="s">
        <v>1066</v>
      </c>
      <c r="C44" s="281">
        <f ca="1">ROUND(IF('数据-取费表'!B22&lt;=1,C40*F22*'数据-取费表'!B21/2,C40*(POWER((1+F22),'数据-取费表'!B21/2)-1)),4)</f>
        <v>6.9999999999999999E-4</v>
      </c>
      <c r="D44" s="281"/>
      <c r="E44" s="281"/>
      <c r="F44" s="282"/>
      <c r="G44" s="3274"/>
    </row>
    <row r="45" spans="1:7" s="257" customFormat="1" ht="13.5" customHeight="1">
      <c r="A45" s="950" t="s">
        <v>786</v>
      </c>
      <c r="B45" s="287" t="s">
        <v>112</v>
      </c>
      <c r="C45" s="288">
        <f>C46</f>
        <v>3765</v>
      </c>
      <c r="D45" s="278">
        <f>C47</f>
        <v>4.0000000000000001E-3</v>
      </c>
      <c r="E45" s="279" t="s">
        <v>129</v>
      </c>
      <c r="F45" s="289"/>
      <c r="G45" s="290" t="s">
        <v>1072</v>
      </c>
    </row>
    <row r="46" spans="1:7" s="257" customFormat="1" ht="13.5" customHeight="1">
      <c r="A46" s="953" t="s">
        <v>794</v>
      </c>
      <c r="B46" s="291" t="s">
        <v>1065</v>
      </c>
      <c r="C46" s="292">
        <f>ROUND((C33+C39)*F27,0)</f>
        <v>3765</v>
      </c>
      <c r="D46" s="306"/>
      <c r="E46" s="279"/>
      <c r="F46" s="289"/>
      <c r="G46" s="290"/>
    </row>
    <row r="47" spans="1:7" s="257" customFormat="1" ht="13.5" customHeight="1">
      <c r="A47" s="953" t="s">
        <v>792</v>
      </c>
      <c r="B47" s="291" t="s">
        <v>1067</v>
      </c>
      <c r="C47" s="281">
        <f>ROUND(C40*F27,4)</f>
        <v>4.0000000000000001E-3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25202</v>
      </c>
      <c r="D49" s="275"/>
      <c r="E49" s="275"/>
      <c r="F49" s="307"/>
      <c r="G49" s="277" t="s">
        <v>1073</v>
      </c>
    </row>
    <row r="50" spans="1:7" s="301" customFormat="1" ht="24">
      <c r="A50" s="950" t="s">
        <v>789</v>
      </c>
      <c r="B50" s="253" t="s">
        <v>124</v>
      </c>
      <c r="C50" s="275"/>
      <c r="D50" s="275"/>
      <c r="E50" s="275"/>
      <c r="F50" s="307">
        <f>IF('数据-取费表'!B24=0,'数据-取费表'!N16,1)</f>
        <v>0.88</v>
      </c>
      <c r="G50" s="290" t="s">
        <v>125</v>
      </c>
    </row>
    <row r="51" spans="1:7" ht="16.5" customHeight="1">
      <c r="A51" s="950" t="s">
        <v>790</v>
      </c>
      <c r="B51" s="253" t="s">
        <v>132</v>
      </c>
      <c r="C51" s="275">
        <f ca="1">ROUND(C49*F50,0)</f>
        <v>22178</v>
      </c>
      <c r="D51" s="275"/>
      <c r="E51" s="275"/>
      <c r="F51" s="307"/>
      <c r="G51" s="277" t="s">
        <v>64</v>
      </c>
    </row>
    <row r="52" spans="1:7" s="251" customFormat="1" ht="16.5" thickBot="1">
      <c r="A52" s="308" t="s">
        <v>65</v>
      </c>
      <c r="B52" s="309"/>
      <c r="C52" s="310">
        <f ca="1">C31+C51</f>
        <v>52482</v>
      </c>
      <c r="D52" s="309"/>
      <c r="E52" s="309"/>
      <c r="F52" s="309"/>
      <c r="G52" s="311"/>
    </row>
    <row r="55" spans="1:7" ht="15">
      <c r="B55" s="313" t="s">
        <v>66</v>
      </c>
      <c r="C55" s="314"/>
    </row>
    <row r="56" spans="1:7">
      <c r="B56" s="316" t="s">
        <v>67</v>
      </c>
      <c r="C56" s="317">
        <f ca="1">ROUND(C51/C52,3)</f>
        <v>0.42299999999999999</v>
      </c>
    </row>
    <row r="57" spans="1:7">
      <c r="B57" s="316" t="s">
        <v>68</v>
      </c>
      <c r="C57" s="318">
        <f ca="1">1-C56</f>
        <v>0.57699999999999996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89" t="s">
        <v>156</v>
      </c>
      <c r="B1" s="3389"/>
      <c r="C1" s="3389"/>
      <c r="D1" s="3389"/>
      <c r="E1" s="3389"/>
      <c r="F1" s="338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90" t="s">
        <v>169</v>
      </c>
      <c r="B2" s="3390"/>
      <c r="C2" s="3390"/>
      <c r="D2" s="3390"/>
      <c r="E2" s="3390"/>
      <c r="F2" s="339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9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9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89" t="s">
        <v>871</v>
      </c>
      <c r="B1" s="3389"/>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43116</v>
      </c>
      <c r="D1" s="1702" t="s">
        <v>1301</v>
      </c>
      <c r="E1" s="1697">
        <f>'数据-取费表'!B22</f>
        <v>1.5</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7"/>
  <sheetViews>
    <sheetView workbookViewId="0">
      <selection activeCell="I28" sqref="I28"/>
    </sheetView>
  </sheetViews>
  <sheetFormatPr defaultRowHeight="13.5"/>
  <cols>
    <col min="8" max="8" width="12.125" customWidth="1"/>
  </cols>
  <sheetData>
    <row r="2" spans="1:15">
      <c r="A2" s="2943"/>
      <c r="B2" s="3403" t="s">
        <v>3059</v>
      </c>
      <c r="C2" s="3403"/>
      <c r="D2" s="3403"/>
      <c r="E2" s="3403"/>
      <c r="F2" s="3403"/>
      <c r="G2" s="3403"/>
      <c r="H2" s="3403"/>
      <c r="I2" s="3403"/>
      <c r="J2" s="3403"/>
      <c r="K2" s="3403"/>
      <c r="L2" s="3403"/>
      <c r="M2" s="3403"/>
    </row>
    <row r="3" spans="1:15">
      <c r="A3" s="2943"/>
      <c r="B3" s="3403" t="s">
        <v>3060</v>
      </c>
      <c r="C3" s="3404"/>
      <c r="D3" s="2944" t="s">
        <v>3061</v>
      </c>
      <c r="E3" s="2944" t="s">
        <v>3062</v>
      </c>
      <c r="F3" s="2944" t="s">
        <v>3063</v>
      </c>
      <c r="G3" s="2944" t="s">
        <v>37</v>
      </c>
      <c r="H3" s="2944" t="s">
        <v>3064</v>
      </c>
      <c r="I3" s="2944" t="s">
        <v>3065</v>
      </c>
      <c r="J3" s="2944" t="s">
        <v>3066</v>
      </c>
      <c r="K3" s="2944" t="s">
        <v>3067</v>
      </c>
      <c r="L3" s="2944" t="s">
        <v>3058</v>
      </c>
      <c r="M3" s="2944" t="s">
        <v>3068</v>
      </c>
      <c r="N3" s="2944" t="s">
        <v>3058</v>
      </c>
      <c r="O3" s="2944" t="s">
        <v>3068</v>
      </c>
    </row>
    <row r="4" spans="1:15">
      <c r="A4" s="2943"/>
      <c r="B4" s="3401" t="s">
        <v>3069</v>
      </c>
      <c r="C4" s="3401"/>
      <c r="D4" s="2945">
        <v>1</v>
      </c>
      <c r="E4" s="2946" t="s">
        <v>27</v>
      </c>
      <c r="F4" s="2946" t="s">
        <v>27</v>
      </c>
      <c r="G4" s="2945">
        <f>H4+I4</f>
        <v>0</v>
      </c>
      <c r="H4" s="2945">
        <v>0</v>
      </c>
      <c r="I4" s="2945">
        <v>0</v>
      </c>
      <c r="J4" s="2946" t="s">
        <v>3070</v>
      </c>
      <c r="K4" s="3402">
        <v>2005</v>
      </c>
      <c r="L4" s="3060" t="s">
        <v>3282</v>
      </c>
      <c r="M4" s="3393">
        <f>L6</f>
        <v>0.75</v>
      </c>
      <c r="N4" s="3060" t="s">
        <v>3282</v>
      </c>
      <c r="O4" s="3393">
        <f>N6</f>
        <v>0.47</v>
      </c>
    </row>
    <row r="5" spans="1:15">
      <c r="A5" s="2943"/>
      <c r="B5" s="3401"/>
      <c r="C5" s="3401"/>
      <c r="D5" s="2945">
        <v>2</v>
      </c>
      <c r="E5" s="2946" t="s">
        <v>27</v>
      </c>
      <c r="F5" s="2946" t="s">
        <v>3071</v>
      </c>
      <c r="G5" s="2945">
        <f t="shared" ref="G5" si="0">H5+I5</f>
        <v>0</v>
      </c>
      <c r="H5" s="2945">
        <v>0</v>
      </c>
      <c r="I5" s="2945">
        <v>0</v>
      </c>
      <c r="J5" s="2946" t="s">
        <v>3072</v>
      </c>
      <c r="K5" s="3402"/>
      <c r="L5" s="3060" t="s">
        <v>3284</v>
      </c>
      <c r="M5" s="3394"/>
      <c r="N5" s="3060" t="s">
        <v>3283</v>
      </c>
      <c r="O5" s="3394"/>
    </row>
    <row r="6" spans="1:15">
      <c r="A6" s="2943"/>
      <c r="B6" s="3401"/>
      <c r="C6" s="3401"/>
      <c r="D6" s="2945">
        <v>6</v>
      </c>
      <c r="E6" s="2946" t="s">
        <v>27</v>
      </c>
      <c r="F6" s="2946" t="s">
        <v>27</v>
      </c>
      <c r="G6" s="2945">
        <f>'数据-基础表'!I16</f>
        <v>2386.0100000000002</v>
      </c>
      <c r="H6" s="2945">
        <v>0</v>
      </c>
      <c r="I6" s="2945">
        <v>0</v>
      </c>
      <c r="J6" s="2946" t="s">
        <v>3305</v>
      </c>
      <c r="K6" s="3402"/>
      <c r="L6" s="2947">
        <f>ROUND(1-(2018-$K$4)*(1-$G$22)/$F$22,2)</f>
        <v>0.75</v>
      </c>
      <c r="M6" s="3395"/>
      <c r="N6" s="2947">
        <f>ROUND(1-(2032-$K$4)*(1-$G$22)/$F$22,2)</f>
        <v>0.47</v>
      </c>
      <c r="O6" s="3395"/>
    </row>
    <row r="7" spans="1:15">
      <c r="A7" s="2943"/>
      <c r="B7" s="3403" t="s">
        <v>40</v>
      </c>
      <c r="C7" s="3403"/>
      <c r="D7" s="2944" t="s">
        <v>70</v>
      </c>
      <c r="E7" s="2944" t="s">
        <v>70</v>
      </c>
      <c r="F7" s="2944" t="s">
        <v>70</v>
      </c>
      <c r="G7" s="2948">
        <f>G4+G5+G6</f>
        <v>2386.0100000000002</v>
      </c>
      <c r="H7" s="2949">
        <f t="shared" ref="H7:I7" si="1">H4+H5+H6</f>
        <v>0</v>
      </c>
      <c r="I7" s="2948">
        <f t="shared" si="1"/>
        <v>0</v>
      </c>
      <c r="J7" s="2944" t="s">
        <v>70</v>
      </c>
      <c r="K7" s="2950" t="s">
        <v>70</v>
      </c>
      <c r="L7" s="2951" t="s">
        <v>70</v>
      </c>
      <c r="M7" s="2944" t="s">
        <v>70</v>
      </c>
      <c r="N7" s="2951" t="s">
        <v>70</v>
      </c>
      <c r="O7" s="2944" t="s">
        <v>70</v>
      </c>
    </row>
    <row r="8" spans="1:15">
      <c r="A8" s="2943"/>
      <c r="B8" s="3401" t="s">
        <v>3073</v>
      </c>
      <c r="C8" s="3401"/>
      <c r="D8" s="2945">
        <v>4</v>
      </c>
      <c r="E8" s="2946" t="s">
        <v>3074</v>
      </c>
      <c r="F8" s="2946" t="s">
        <v>3075</v>
      </c>
      <c r="G8" s="2945">
        <v>3307.32</v>
      </c>
      <c r="H8" s="2945">
        <v>3307.32</v>
      </c>
      <c r="I8" s="2945">
        <v>0</v>
      </c>
      <c r="J8" s="2946" t="s">
        <v>3070</v>
      </c>
      <c r="K8" s="3402">
        <v>2009</v>
      </c>
      <c r="L8" s="2947">
        <f>ROUND(1-(2018-$K$8)*(1-$G$21)/$F$21,2)</f>
        <v>0.85</v>
      </c>
      <c r="M8" s="3396">
        <f>L8</f>
        <v>0.85</v>
      </c>
      <c r="N8" s="2947">
        <f>ROUND(1-(2032-$K$8)*(1-$G$21)/$F$21,2)</f>
        <v>0.62</v>
      </c>
      <c r="O8" s="3396">
        <f>N8</f>
        <v>0.62</v>
      </c>
    </row>
    <row r="9" spans="1:15">
      <c r="A9" s="2943"/>
      <c r="B9" s="3401"/>
      <c r="C9" s="3401"/>
      <c r="D9" s="2945">
        <v>9</v>
      </c>
      <c r="E9" s="2946" t="s">
        <v>3074</v>
      </c>
      <c r="F9" s="2946" t="s">
        <v>3075</v>
      </c>
      <c r="G9" s="2945">
        <v>4770.8</v>
      </c>
      <c r="H9" s="2945">
        <v>4770.8</v>
      </c>
      <c r="I9" s="2945">
        <v>0</v>
      </c>
      <c r="J9" s="2946" t="s">
        <v>3070</v>
      </c>
      <c r="K9" s="3402"/>
      <c r="L9" s="2947">
        <f>ROUND(1-(2018-$K$8)*(1-$G$21)/$F$21,2)</f>
        <v>0.85</v>
      </c>
      <c r="M9" s="3397"/>
      <c r="N9" s="2947">
        <f>ROUND(1-(2032-$K$8)*(1-$G$21)/$F$21,2)</f>
        <v>0.62</v>
      </c>
      <c r="O9" s="3397"/>
    </row>
    <row r="10" spans="1:15">
      <c r="A10" s="2943"/>
      <c r="B10" s="3403" t="s">
        <v>40</v>
      </c>
      <c r="C10" s="3403"/>
      <c r="D10" s="2944" t="s">
        <v>70</v>
      </c>
      <c r="E10" s="2944" t="s">
        <v>70</v>
      </c>
      <c r="F10" s="2944" t="s">
        <v>70</v>
      </c>
      <c r="G10" s="2948">
        <f t="shared" ref="G10:I10" si="2">G8+G9</f>
        <v>8078.1200000000008</v>
      </c>
      <c r="H10" s="2948">
        <f t="shared" si="2"/>
        <v>8078.1200000000008</v>
      </c>
      <c r="I10" s="2948">
        <f t="shared" si="2"/>
        <v>0</v>
      </c>
      <c r="J10" s="2944" t="s">
        <v>70</v>
      </c>
      <c r="K10" s="2950" t="s">
        <v>70</v>
      </c>
      <c r="L10" s="2951" t="s">
        <v>70</v>
      </c>
      <c r="M10" s="2944" t="s">
        <v>70</v>
      </c>
      <c r="N10" s="2951" t="s">
        <v>70</v>
      </c>
      <c r="O10" s="2944" t="s">
        <v>70</v>
      </c>
    </row>
    <row r="11" spans="1:15">
      <c r="A11" s="2943"/>
      <c r="B11" s="3401" t="s">
        <v>3076</v>
      </c>
      <c r="C11" s="3401"/>
      <c r="D11" s="2945">
        <v>10</v>
      </c>
      <c r="E11" s="2946" t="s">
        <v>3077</v>
      </c>
      <c r="F11" s="2946" t="s">
        <v>3078</v>
      </c>
      <c r="G11" s="2945">
        <f t="shared" ref="G11:G15" si="3">H11+I11</f>
        <v>5409.18</v>
      </c>
      <c r="H11" s="2945">
        <v>5409.18</v>
      </c>
      <c r="I11" s="2945">
        <v>0</v>
      </c>
      <c r="J11" s="2946" t="s">
        <v>3070</v>
      </c>
      <c r="K11" s="3402">
        <v>2012</v>
      </c>
      <c r="L11" s="2947">
        <f>ROUND(1-(2018-$K$11)*(1-$G$21)/$F$21,2)</f>
        <v>0.9</v>
      </c>
      <c r="M11" s="3396">
        <f>L11</f>
        <v>0.9</v>
      </c>
      <c r="N11" s="2947">
        <f>ROUND(1-(2032-$K$11)*(1-$G$21)/$F$21,2)</f>
        <v>0.67</v>
      </c>
      <c r="O11" s="3396">
        <f>N11</f>
        <v>0.67</v>
      </c>
    </row>
    <row r="12" spans="1:15">
      <c r="A12" s="2943"/>
      <c r="B12" s="3401"/>
      <c r="C12" s="3401"/>
      <c r="D12" s="2945">
        <v>11</v>
      </c>
      <c r="E12" s="2946" t="s">
        <v>3077</v>
      </c>
      <c r="F12" s="2946" t="s">
        <v>3079</v>
      </c>
      <c r="G12" s="2945">
        <f t="shared" si="3"/>
        <v>9607.86</v>
      </c>
      <c r="H12" s="2945">
        <v>9607.86</v>
      </c>
      <c r="I12" s="2945">
        <v>0</v>
      </c>
      <c r="J12" s="2946" t="s">
        <v>3070</v>
      </c>
      <c r="K12" s="3402"/>
      <c r="L12" s="2947">
        <f>ROUND(1-(2018-$K$11)*(1-$G$21)/$F$21,2)</f>
        <v>0.9</v>
      </c>
      <c r="M12" s="3398"/>
      <c r="N12" s="2947">
        <f>ROUND(1-(2032-$K$11)*(1-$G$21)/$F$21,2)</f>
        <v>0.67</v>
      </c>
      <c r="O12" s="3398"/>
    </row>
    <row r="13" spans="1:15">
      <c r="A13" s="2943"/>
      <c r="B13" s="3401"/>
      <c r="C13" s="3401"/>
      <c r="D13" s="2945">
        <v>12</v>
      </c>
      <c r="E13" s="2946" t="s">
        <v>3077</v>
      </c>
      <c r="F13" s="2946" t="s">
        <v>3080</v>
      </c>
      <c r="G13" s="2945">
        <f t="shared" si="3"/>
        <v>9963.0300000000007</v>
      </c>
      <c r="H13" s="2945">
        <v>9963.0300000000007</v>
      </c>
      <c r="I13" s="2945">
        <v>0</v>
      </c>
      <c r="J13" s="2946" t="s">
        <v>3070</v>
      </c>
      <c r="K13" s="3402"/>
      <c r="L13" s="2947">
        <f>ROUND(1-(2018-$K$11)*(1-$G$21)/$F$21,2)</f>
        <v>0.9</v>
      </c>
      <c r="M13" s="3398"/>
      <c r="N13" s="2947">
        <f>ROUND(1-(2032-$K$11)*(1-$G$21)/$F$21,2)</f>
        <v>0.67</v>
      </c>
      <c r="O13" s="3398"/>
    </row>
    <row r="14" spans="1:15">
      <c r="A14" s="2943"/>
      <c r="B14" s="3401"/>
      <c r="C14" s="3401"/>
      <c r="D14" s="2945">
        <v>13</v>
      </c>
      <c r="E14" s="2946" t="s">
        <v>3077</v>
      </c>
      <c r="F14" s="2946" t="s">
        <v>3079</v>
      </c>
      <c r="G14" s="2945">
        <f t="shared" si="3"/>
        <v>6905.82</v>
      </c>
      <c r="H14" s="2945">
        <v>6905.82</v>
      </c>
      <c r="I14" s="2945">
        <v>0</v>
      </c>
      <c r="J14" s="2946" t="s">
        <v>3070</v>
      </c>
      <c r="K14" s="3402"/>
      <c r="L14" s="2947">
        <f>ROUND(1-(2018-$K$11)*(1-$G$21)/$F$21,2)</f>
        <v>0.9</v>
      </c>
      <c r="M14" s="3398"/>
      <c r="N14" s="2947">
        <f>ROUND(1-(2032-$K$11)*(1-$G$21)/$F$21,2)</f>
        <v>0.67</v>
      </c>
      <c r="O14" s="3398"/>
    </row>
    <row r="15" spans="1:15">
      <c r="A15" s="2943"/>
      <c r="B15" s="3401"/>
      <c r="C15" s="3401"/>
      <c r="D15" s="2945">
        <v>14</v>
      </c>
      <c r="E15" s="2946" t="s">
        <v>3077</v>
      </c>
      <c r="F15" s="2946" t="s">
        <v>3081</v>
      </c>
      <c r="G15" s="2945">
        <f t="shared" si="3"/>
        <v>4655.76</v>
      </c>
      <c r="H15" s="2945">
        <v>4655.76</v>
      </c>
      <c r="I15" s="2945">
        <v>0</v>
      </c>
      <c r="J15" s="2946" t="s">
        <v>3070</v>
      </c>
      <c r="K15" s="3402"/>
      <c r="L15" s="2947">
        <f>ROUND(1-(2018-$K$11)*(1-$G$21)/$F$21,2)</f>
        <v>0.9</v>
      </c>
      <c r="M15" s="3397"/>
      <c r="N15" s="2947">
        <f>ROUND(1-(2032-$K$11)*(1-$G$21)/$F$21,2)</f>
        <v>0.67</v>
      </c>
      <c r="O15" s="3397"/>
    </row>
    <row r="16" spans="1:15">
      <c r="A16" s="2943"/>
      <c r="B16" s="3403" t="s">
        <v>40</v>
      </c>
      <c r="C16" s="3403"/>
      <c r="D16" s="2944" t="s">
        <v>70</v>
      </c>
      <c r="E16" s="2944" t="s">
        <v>70</v>
      </c>
      <c r="F16" s="2944" t="s">
        <v>70</v>
      </c>
      <c r="G16" s="2948">
        <f t="shared" ref="G16:I16" si="4">G11+G12+G13+G14+G15</f>
        <v>36541.65</v>
      </c>
      <c r="H16" s="2948">
        <f t="shared" si="4"/>
        <v>36541.65</v>
      </c>
      <c r="I16" s="2948">
        <f t="shared" si="4"/>
        <v>0</v>
      </c>
      <c r="J16" s="2944" t="s">
        <v>70</v>
      </c>
      <c r="K16" s="2944" t="s">
        <v>70</v>
      </c>
      <c r="L16" s="2951" t="s">
        <v>70</v>
      </c>
      <c r="M16" s="2944" t="s">
        <v>70</v>
      </c>
      <c r="N16" s="2951" t="s">
        <v>70</v>
      </c>
      <c r="O16" s="2944" t="s">
        <v>70</v>
      </c>
    </row>
    <row r="17" spans="1:15">
      <c r="A17" s="2943"/>
      <c r="B17" s="3403" t="s">
        <v>3082</v>
      </c>
      <c r="C17" s="3404"/>
      <c r="D17" s="2944" t="s">
        <v>70</v>
      </c>
      <c r="E17" s="2944" t="s">
        <v>70</v>
      </c>
      <c r="F17" s="2944" t="s">
        <v>70</v>
      </c>
      <c r="G17" s="2952">
        <f>G7+G10+G16</f>
        <v>47005.78</v>
      </c>
      <c r="H17" s="2953">
        <f t="shared" ref="H17:I17" si="5">H7+H10+H16</f>
        <v>44619.770000000004</v>
      </c>
      <c r="I17" s="2952">
        <f t="shared" si="5"/>
        <v>0</v>
      </c>
      <c r="J17" s="2944" t="s">
        <v>70</v>
      </c>
      <c r="K17" s="2944" t="s">
        <v>70</v>
      </c>
      <c r="L17" s="2951" t="s">
        <v>70</v>
      </c>
      <c r="M17" s="2944" t="s">
        <v>70</v>
      </c>
      <c r="N17" s="2951" t="s">
        <v>70</v>
      </c>
      <c r="O17" s="2944" t="s">
        <v>70</v>
      </c>
    </row>
    <row r="18" spans="1:15">
      <c r="M18">
        <f>ROUND(G7/G17*M4+G10/G17*M8+G16/G17*M11,2)</f>
        <v>0.88</v>
      </c>
      <c r="O18">
        <f>ROUND(G7/G17*O4+G10/G17*O8+G16/G17*O11,2)</f>
        <v>0.65</v>
      </c>
    </row>
    <row r="19" spans="1:15" ht="14.25">
      <c r="B19" s="3405" t="s">
        <v>3083</v>
      </c>
      <c r="C19" s="3405"/>
      <c r="D19" s="2954" t="s">
        <v>3084</v>
      </c>
      <c r="E19" s="2954" t="s">
        <v>3085</v>
      </c>
      <c r="F19" s="2954" t="s">
        <v>3086</v>
      </c>
      <c r="G19" s="2954" t="s">
        <v>3087</v>
      </c>
    </row>
    <row r="20" spans="1:15" ht="14.25">
      <c r="B20" s="3399" t="s">
        <v>3088</v>
      </c>
      <c r="C20" s="3399"/>
      <c r="D20" s="2955">
        <v>70</v>
      </c>
      <c r="E20" s="2955">
        <v>50</v>
      </c>
      <c r="F20" s="2954">
        <v>80</v>
      </c>
      <c r="G20" s="2956">
        <v>0.02</v>
      </c>
    </row>
    <row r="21" spans="1:15" ht="14.25">
      <c r="B21" s="3399" t="s">
        <v>3089</v>
      </c>
      <c r="C21" s="3399"/>
      <c r="D21" s="2955">
        <v>50</v>
      </c>
      <c r="E21" s="2955">
        <v>35</v>
      </c>
      <c r="F21" s="2954">
        <v>60</v>
      </c>
      <c r="G21" s="2955">
        <v>0</v>
      </c>
    </row>
    <row r="22" spans="1:15" ht="14.25">
      <c r="B22" s="3406" t="s">
        <v>3090</v>
      </c>
      <c r="C22" s="2957" t="s">
        <v>3091</v>
      </c>
      <c r="D22" s="2955">
        <v>40</v>
      </c>
      <c r="E22" s="2955">
        <v>30</v>
      </c>
      <c r="F22" s="2954">
        <v>50</v>
      </c>
      <c r="G22" s="2956">
        <v>0.02</v>
      </c>
    </row>
    <row r="23" spans="1:15" ht="14.25">
      <c r="B23" s="3406"/>
      <c r="C23" s="2957" t="s">
        <v>3092</v>
      </c>
      <c r="D23" s="2955">
        <v>40</v>
      </c>
      <c r="E23" s="2955">
        <v>30</v>
      </c>
      <c r="F23" s="2954">
        <v>50</v>
      </c>
      <c r="G23" s="2956">
        <v>0.02</v>
      </c>
    </row>
    <row r="24" spans="1:15" ht="14.25">
      <c r="B24" s="3399" t="s">
        <v>3093</v>
      </c>
      <c r="C24" s="2955" t="s">
        <v>3091</v>
      </c>
      <c r="D24" s="3399">
        <v>30</v>
      </c>
      <c r="E24" s="3399">
        <v>20</v>
      </c>
      <c r="F24" s="3400">
        <v>40</v>
      </c>
      <c r="G24" s="2956">
        <v>0.06</v>
      </c>
    </row>
    <row r="25" spans="1:15" ht="14.25">
      <c r="B25" s="3399"/>
      <c r="C25" s="2955" t="s">
        <v>3092</v>
      </c>
      <c r="D25" s="3399"/>
      <c r="E25" s="3399"/>
      <c r="F25" s="3400"/>
      <c r="G25" s="2956">
        <v>0.04</v>
      </c>
    </row>
    <row r="26" spans="1:15" ht="14.25">
      <c r="B26" s="3399"/>
      <c r="C26" s="2955" t="s">
        <v>3094</v>
      </c>
      <c r="D26" s="3399"/>
      <c r="E26" s="3399"/>
      <c r="F26" s="3400"/>
      <c r="G26" s="2956">
        <v>0.03</v>
      </c>
    </row>
    <row r="27" spans="1:15" ht="14.25">
      <c r="B27" s="3399" t="s">
        <v>3095</v>
      </c>
      <c r="C27" s="3399"/>
      <c r="D27" s="3399">
        <v>10</v>
      </c>
      <c r="E27" s="3399"/>
      <c r="F27" s="3399"/>
      <c r="G27" s="2955">
        <v>0</v>
      </c>
    </row>
  </sheetData>
  <mergeCells count="28">
    <mergeCell ref="B2:M2"/>
    <mergeCell ref="B3:C3"/>
    <mergeCell ref="B4:C6"/>
    <mergeCell ref="K4:K6"/>
    <mergeCell ref="M4:M6"/>
    <mergeCell ref="B27:C27"/>
    <mergeCell ref="D27:F27"/>
    <mergeCell ref="B16:C16"/>
    <mergeCell ref="B17:C17"/>
    <mergeCell ref="B19:C19"/>
    <mergeCell ref="B20:C20"/>
    <mergeCell ref="B21:C21"/>
    <mergeCell ref="B22:B23"/>
    <mergeCell ref="O4:O6"/>
    <mergeCell ref="O8:O9"/>
    <mergeCell ref="O11:O15"/>
    <mergeCell ref="B24:B26"/>
    <mergeCell ref="D24:D26"/>
    <mergeCell ref="E24:E26"/>
    <mergeCell ref="F24:F26"/>
    <mergeCell ref="B8:C9"/>
    <mergeCell ref="K8:K9"/>
    <mergeCell ref="M8:M9"/>
    <mergeCell ref="B10:C10"/>
    <mergeCell ref="B11:C15"/>
    <mergeCell ref="K11:K15"/>
    <mergeCell ref="M11:M15"/>
    <mergeCell ref="B7:C7"/>
  </mergeCells>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2"/>
  <sheetViews>
    <sheetView zoomScaleSheetLayoutView="100" workbookViewId="0">
      <pane xSplit="3" ySplit="1" topLeftCell="M23" activePane="bottomRight" state="frozen"/>
      <selection pane="topRight"/>
      <selection pane="bottomLeft"/>
      <selection pane="bottomRight" activeCell="N31" sqref="N31"/>
    </sheetView>
  </sheetViews>
  <sheetFormatPr defaultRowHeight="18.75"/>
  <cols>
    <col min="1" max="1" width="7.375" style="2960" customWidth="1"/>
    <col min="2" max="2" width="20.375" style="2960" customWidth="1"/>
    <col min="3" max="3" width="9.75" style="2960" customWidth="1"/>
    <col min="4" max="4" width="10.625" style="2960" customWidth="1"/>
    <col min="5" max="5" width="9.125" style="2960" customWidth="1"/>
    <col min="6" max="6" width="9.25" style="2960" customWidth="1"/>
    <col min="7" max="7" width="6.625" style="2960" customWidth="1"/>
    <col min="8" max="8" width="5.5" style="2960" bestFit="1" customWidth="1"/>
    <col min="9" max="9" width="16.875" style="2960" customWidth="1"/>
    <col min="10" max="10" width="4.875" style="2960" customWidth="1"/>
    <col min="11" max="11" width="21.625" style="2960" customWidth="1"/>
    <col min="12" max="12" width="21.625" style="2960" hidden="1" customWidth="1"/>
    <col min="13" max="13" width="12" style="2993" customWidth="1"/>
    <col min="14" max="14" width="12.25" style="3045" customWidth="1"/>
    <col min="15" max="15" width="25.25" style="2960" customWidth="1"/>
    <col min="16" max="16" width="9.5" style="2960" bestFit="1" customWidth="1"/>
    <col min="17" max="17" width="20.5" style="2960" bestFit="1" customWidth="1"/>
    <col min="18" max="18" width="16.125" style="2960" bestFit="1" customWidth="1"/>
    <col min="19" max="259" width="9" style="2960"/>
    <col min="260" max="260" width="7.375" style="2960" customWidth="1"/>
    <col min="261" max="261" width="25.625" style="2960" customWidth="1"/>
    <col min="262" max="262" width="9.75" style="2960" customWidth="1"/>
    <col min="263" max="263" width="19.75" style="2960" bestFit="1" customWidth="1"/>
    <col min="264" max="264" width="9.25" style="2960" customWidth="1"/>
    <col min="265" max="265" width="6.625" style="2960" customWidth="1"/>
    <col min="266" max="266" width="5.5" style="2960" bestFit="1" customWidth="1"/>
    <col min="267" max="267" width="16.875" style="2960" customWidth="1"/>
    <col min="268" max="268" width="4.875" style="2960" customWidth="1"/>
    <col min="269" max="269" width="21.625" style="2960" customWidth="1"/>
    <col min="270" max="270" width="19.125" style="2960" bestFit="1" customWidth="1"/>
    <col min="271" max="271" width="25.25" style="2960" customWidth="1"/>
    <col min="272" max="272" width="9.5" style="2960" bestFit="1" customWidth="1"/>
    <col min="273" max="273" width="20.5" style="2960" bestFit="1" customWidth="1"/>
    <col min="274" max="515" width="9" style="2960"/>
    <col min="516" max="516" width="7.375" style="2960" customWidth="1"/>
    <col min="517" max="517" width="25.625" style="2960" customWidth="1"/>
    <col min="518" max="518" width="9.75" style="2960" customWidth="1"/>
    <col min="519" max="519" width="19.75" style="2960" bestFit="1" customWidth="1"/>
    <col min="520" max="520" width="9.25" style="2960" customWidth="1"/>
    <col min="521" max="521" width="6.625" style="2960" customWidth="1"/>
    <col min="522" max="522" width="5.5" style="2960" bestFit="1" customWidth="1"/>
    <col min="523" max="523" width="16.875" style="2960" customWidth="1"/>
    <col min="524" max="524" width="4.875" style="2960" customWidth="1"/>
    <col min="525" max="525" width="21.625" style="2960" customWidth="1"/>
    <col min="526" max="526" width="19.125" style="2960" bestFit="1" customWidth="1"/>
    <col min="527" max="527" width="25.25" style="2960" customWidth="1"/>
    <col min="528" max="528" width="9.5" style="2960" bestFit="1" customWidth="1"/>
    <col min="529" max="529" width="20.5" style="2960" bestFit="1" customWidth="1"/>
    <col min="530" max="771" width="9" style="2960"/>
    <col min="772" max="772" width="7.375" style="2960" customWidth="1"/>
    <col min="773" max="773" width="25.625" style="2960" customWidth="1"/>
    <col min="774" max="774" width="9.75" style="2960" customWidth="1"/>
    <col min="775" max="775" width="19.75" style="2960" bestFit="1" customWidth="1"/>
    <col min="776" max="776" width="9.25" style="2960" customWidth="1"/>
    <col min="777" max="777" width="6.625" style="2960" customWidth="1"/>
    <col min="778" max="778" width="5.5" style="2960" bestFit="1" customWidth="1"/>
    <col min="779" max="779" width="16.875" style="2960" customWidth="1"/>
    <col min="780" max="780" width="4.875" style="2960" customWidth="1"/>
    <col min="781" max="781" width="21.625" style="2960" customWidth="1"/>
    <col min="782" max="782" width="19.125" style="2960" bestFit="1" customWidth="1"/>
    <col min="783" max="783" width="25.25" style="2960" customWidth="1"/>
    <col min="784" max="784" width="9.5" style="2960" bestFit="1" customWidth="1"/>
    <col min="785" max="785" width="20.5" style="2960" bestFit="1" customWidth="1"/>
    <col min="786" max="1027" width="9" style="2960"/>
    <col min="1028" max="1028" width="7.375" style="2960" customWidth="1"/>
    <col min="1029" max="1029" width="25.625" style="2960" customWidth="1"/>
    <col min="1030" max="1030" width="9.75" style="2960" customWidth="1"/>
    <col min="1031" max="1031" width="19.75" style="2960" bestFit="1" customWidth="1"/>
    <col min="1032" max="1032" width="9.25" style="2960" customWidth="1"/>
    <col min="1033" max="1033" width="6.625" style="2960" customWidth="1"/>
    <col min="1034" max="1034" width="5.5" style="2960" bestFit="1" customWidth="1"/>
    <col min="1035" max="1035" width="16.875" style="2960" customWidth="1"/>
    <col min="1036" max="1036" width="4.875" style="2960" customWidth="1"/>
    <col min="1037" max="1037" width="21.625" style="2960" customWidth="1"/>
    <col min="1038" max="1038" width="19.125" style="2960" bestFit="1" customWidth="1"/>
    <col min="1039" max="1039" width="25.25" style="2960" customWidth="1"/>
    <col min="1040" max="1040" width="9.5" style="2960" bestFit="1" customWidth="1"/>
    <col min="1041" max="1041" width="20.5" style="2960" bestFit="1" customWidth="1"/>
    <col min="1042" max="1283" width="9" style="2960"/>
    <col min="1284" max="1284" width="7.375" style="2960" customWidth="1"/>
    <col min="1285" max="1285" width="25.625" style="2960" customWidth="1"/>
    <col min="1286" max="1286" width="9.75" style="2960" customWidth="1"/>
    <col min="1287" max="1287" width="19.75" style="2960" bestFit="1" customWidth="1"/>
    <col min="1288" max="1288" width="9.25" style="2960" customWidth="1"/>
    <col min="1289" max="1289" width="6.625" style="2960" customWidth="1"/>
    <col min="1290" max="1290" width="5.5" style="2960" bestFit="1" customWidth="1"/>
    <col min="1291" max="1291" width="16.875" style="2960" customWidth="1"/>
    <col min="1292" max="1292" width="4.875" style="2960" customWidth="1"/>
    <col min="1293" max="1293" width="21.625" style="2960" customWidth="1"/>
    <col min="1294" max="1294" width="19.125" style="2960" bestFit="1" customWidth="1"/>
    <col min="1295" max="1295" width="25.25" style="2960" customWidth="1"/>
    <col min="1296" max="1296" width="9.5" style="2960" bestFit="1" customWidth="1"/>
    <col min="1297" max="1297" width="20.5" style="2960" bestFit="1" customWidth="1"/>
    <col min="1298" max="1539" width="9" style="2960"/>
    <col min="1540" max="1540" width="7.375" style="2960" customWidth="1"/>
    <col min="1541" max="1541" width="25.625" style="2960" customWidth="1"/>
    <col min="1542" max="1542" width="9.75" style="2960" customWidth="1"/>
    <col min="1543" max="1543" width="19.75" style="2960" bestFit="1" customWidth="1"/>
    <col min="1544" max="1544" width="9.25" style="2960" customWidth="1"/>
    <col min="1545" max="1545" width="6.625" style="2960" customWidth="1"/>
    <col min="1546" max="1546" width="5.5" style="2960" bestFit="1" customWidth="1"/>
    <col min="1547" max="1547" width="16.875" style="2960" customWidth="1"/>
    <col min="1548" max="1548" width="4.875" style="2960" customWidth="1"/>
    <col min="1549" max="1549" width="21.625" style="2960" customWidth="1"/>
    <col min="1550" max="1550" width="19.125" style="2960" bestFit="1" customWidth="1"/>
    <col min="1551" max="1551" width="25.25" style="2960" customWidth="1"/>
    <col min="1552" max="1552" width="9.5" style="2960" bestFit="1" customWidth="1"/>
    <col min="1553" max="1553" width="20.5" style="2960" bestFit="1" customWidth="1"/>
    <col min="1554" max="1795" width="9" style="2960"/>
    <col min="1796" max="1796" width="7.375" style="2960" customWidth="1"/>
    <col min="1797" max="1797" width="25.625" style="2960" customWidth="1"/>
    <col min="1798" max="1798" width="9.75" style="2960" customWidth="1"/>
    <col min="1799" max="1799" width="19.75" style="2960" bestFit="1" customWidth="1"/>
    <col min="1800" max="1800" width="9.25" style="2960" customWidth="1"/>
    <col min="1801" max="1801" width="6.625" style="2960" customWidth="1"/>
    <col min="1802" max="1802" width="5.5" style="2960" bestFit="1" customWidth="1"/>
    <col min="1803" max="1803" width="16.875" style="2960" customWidth="1"/>
    <col min="1804" max="1804" width="4.875" style="2960" customWidth="1"/>
    <col min="1805" max="1805" width="21.625" style="2960" customWidth="1"/>
    <col min="1806" max="1806" width="19.125" style="2960" bestFit="1" customWidth="1"/>
    <col min="1807" max="1807" width="25.25" style="2960" customWidth="1"/>
    <col min="1808" max="1808" width="9.5" style="2960" bestFit="1" customWidth="1"/>
    <col min="1809" max="1809" width="20.5" style="2960" bestFit="1" customWidth="1"/>
    <col min="1810" max="2051" width="9" style="2960"/>
    <col min="2052" max="2052" width="7.375" style="2960" customWidth="1"/>
    <col min="2053" max="2053" width="25.625" style="2960" customWidth="1"/>
    <col min="2054" max="2054" width="9.75" style="2960" customWidth="1"/>
    <col min="2055" max="2055" width="19.75" style="2960" bestFit="1" customWidth="1"/>
    <col min="2056" max="2056" width="9.25" style="2960" customWidth="1"/>
    <col min="2057" max="2057" width="6.625" style="2960" customWidth="1"/>
    <col min="2058" max="2058" width="5.5" style="2960" bestFit="1" customWidth="1"/>
    <col min="2059" max="2059" width="16.875" style="2960" customWidth="1"/>
    <col min="2060" max="2060" width="4.875" style="2960" customWidth="1"/>
    <col min="2061" max="2061" width="21.625" style="2960" customWidth="1"/>
    <col min="2062" max="2062" width="19.125" style="2960" bestFit="1" customWidth="1"/>
    <col min="2063" max="2063" width="25.25" style="2960" customWidth="1"/>
    <col min="2064" max="2064" width="9.5" style="2960" bestFit="1" customWidth="1"/>
    <col min="2065" max="2065" width="20.5" style="2960" bestFit="1" customWidth="1"/>
    <col min="2066" max="2307" width="9" style="2960"/>
    <col min="2308" max="2308" width="7.375" style="2960" customWidth="1"/>
    <col min="2309" max="2309" width="25.625" style="2960" customWidth="1"/>
    <col min="2310" max="2310" width="9.75" style="2960" customWidth="1"/>
    <col min="2311" max="2311" width="19.75" style="2960" bestFit="1" customWidth="1"/>
    <col min="2312" max="2312" width="9.25" style="2960" customWidth="1"/>
    <col min="2313" max="2313" width="6.625" style="2960" customWidth="1"/>
    <col min="2314" max="2314" width="5.5" style="2960" bestFit="1" customWidth="1"/>
    <col min="2315" max="2315" width="16.875" style="2960" customWidth="1"/>
    <col min="2316" max="2316" width="4.875" style="2960" customWidth="1"/>
    <col min="2317" max="2317" width="21.625" style="2960" customWidth="1"/>
    <col min="2318" max="2318" width="19.125" style="2960" bestFit="1" customWidth="1"/>
    <col min="2319" max="2319" width="25.25" style="2960" customWidth="1"/>
    <col min="2320" max="2320" width="9.5" style="2960" bestFit="1" customWidth="1"/>
    <col min="2321" max="2321" width="20.5" style="2960" bestFit="1" customWidth="1"/>
    <col min="2322" max="2563" width="9" style="2960"/>
    <col min="2564" max="2564" width="7.375" style="2960" customWidth="1"/>
    <col min="2565" max="2565" width="25.625" style="2960" customWidth="1"/>
    <col min="2566" max="2566" width="9.75" style="2960" customWidth="1"/>
    <col min="2567" max="2567" width="19.75" style="2960" bestFit="1" customWidth="1"/>
    <col min="2568" max="2568" width="9.25" style="2960" customWidth="1"/>
    <col min="2569" max="2569" width="6.625" style="2960" customWidth="1"/>
    <col min="2570" max="2570" width="5.5" style="2960" bestFit="1" customWidth="1"/>
    <col min="2571" max="2571" width="16.875" style="2960" customWidth="1"/>
    <col min="2572" max="2572" width="4.875" style="2960" customWidth="1"/>
    <col min="2573" max="2573" width="21.625" style="2960" customWidth="1"/>
    <col min="2574" max="2574" width="19.125" style="2960" bestFit="1" customWidth="1"/>
    <col min="2575" max="2575" width="25.25" style="2960" customWidth="1"/>
    <col min="2576" max="2576" width="9.5" style="2960" bestFit="1" customWidth="1"/>
    <col min="2577" max="2577" width="20.5" style="2960" bestFit="1" customWidth="1"/>
    <col min="2578" max="2819" width="9" style="2960"/>
    <col min="2820" max="2820" width="7.375" style="2960" customWidth="1"/>
    <col min="2821" max="2821" width="25.625" style="2960" customWidth="1"/>
    <col min="2822" max="2822" width="9.75" style="2960" customWidth="1"/>
    <col min="2823" max="2823" width="19.75" style="2960" bestFit="1" customWidth="1"/>
    <col min="2824" max="2824" width="9.25" style="2960" customWidth="1"/>
    <col min="2825" max="2825" width="6.625" style="2960" customWidth="1"/>
    <col min="2826" max="2826" width="5.5" style="2960" bestFit="1" customWidth="1"/>
    <col min="2827" max="2827" width="16.875" style="2960" customWidth="1"/>
    <col min="2828" max="2828" width="4.875" style="2960" customWidth="1"/>
    <col min="2829" max="2829" width="21.625" style="2960" customWidth="1"/>
    <col min="2830" max="2830" width="19.125" style="2960" bestFit="1" customWidth="1"/>
    <col min="2831" max="2831" width="25.25" style="2960" customWidth="1"/>
    <col min="2832" max="2832" width="9.5" style="2960" bestFit="1" customWidth="1"/>
    <col min="2833" max="2833" width="20.5" style="2960" bestFit="1" customWidth="1"/>
    <col min="2834" max="3075" width="9" style="2960"/>
    <col min="3076" max="3076" width="7.375" style="2960" customWidth="1"/>
    <col min="3077" max="3077" width="25.625" style="2960" customWidth="1"/>
    <col min="3078" max="3078" width="9.75" style="2960" customWidth="1"/>
    <col min="3079" max="3079" width="19.75" style="2960" bestFit="1" customWidth="1"/>
    <col min="3080" max="3080" width="9.25" style="2960" customWidth="1"/>
    <col min="3081" max="3081" width="6.625" style="2960" customWidth="1"/>
    <col min="3082" max="3082" width="5.5" style="2960" bestFit="1" customWidth="1"/>
    <col min="3083" max="3083" width="16.875" style="2960" customWidth="1"/>
    <col min="3084" max="3084" width="4.875" style="2960" customWidth="1"/>
    <col min="3085" max="3085" width="21.625" style="2960" customWidth="1"/>
    <col min="3086" max="3086" width="19.125" style="2960" bestFit="1" customWidth="1"/>
    <col min="3087" max="3087" width="25.25" style="2960" customWidth="1"/>
    <col min="3088" max="3088" width="9.5" style="2960" bestFit="1" customWidth="1"/>
    <col min="3089" max="3089" width="20.5" style="2960" bestFit="1" customWidth="1"/>
    <col min="3090" max="3331" width="9" style="2960"/>
    <col min="3332" max="3332" width="7.375" style="2960" customWidth="1"/>
    <col min="3333" max="3333" width="25.625" style="2960" customWidth="1"/>
    <col min="3334" max="3334" width="9.75" style="2960" customWidth="1"/>
    <col min="3335" max="3335" width="19.75" style="2960" bestFit="1" customWidth="1"/>
    <col min="3336" max="3336" width="9.25" style="2960" customWidth="1"/>
    <col min="3337" max="3337" width="6.625" style="2960" customWidth="1"/>
    <col min="3338" max="3338" width="5.5" style="2960" bestFit="1" customWidth="1"/>
    <col min="3339" max="3339" width="16.875" style="2960" customWidth="1"/>
    <col min="3340" max="3340" width="4.875" style="2960" customWidth="1"/>
    <col min="3341" max="3341" width="21.625" style="2960" customWidth="1"/>
    <col min="3342" max="3342" width="19.125" style="2960" bestFit="1" customWidth="1"/>
    <col min="3343" max="3343" width="25.25" style="2960" customWidth="1"/>
    <col min="3344" max="3344" width="9.5" style="2960" bestFit="1" customWidth="1"/>
    <col min="3345" max="3345" width="20.5" style="2960" bestFit="1" customWidth="1"/>
    <col min="3346" max="3587" width="9" style="2960"/>
    <col min="3588" max="3588" width="7.375" style="2960" customWidth="1"/>
    <col min="3589" max="3589" width="25.625" style="2960" customWidth="1"/>
    <col min="3590" max="3590" width="9.75" style="2960" customWidth="1"/>
    <col min="3591" max="3591" width="19.75" style="2960" bestFit="1" customWidth="1"/>
    <col min="3592" max="3592" width="9.25" style="2960" customWidth="1"/>
    <col min="3593" max="3593" width="6.625" style="2960" customWidth="1"/>
    <col min="3594" max="3594" width="5.5" style="2960" bestFit="1" customWidth="1"/>
    <col min="3595" max="3595" width="16.875" style="2960" customWidth="1"/>
    <col min="3596" max="3596" width="4.875" style="2960" customWidth="1"/>
    <col min="3597" max="3597" width="21.625" style="2960" customWidth="1"/>
    <col min="3598" max="3598" width="19.125" style="2960" bestFit="1" customWidth="1"/>
    <col min="3599" max="3599" width="25.25" style="2960" customWidth="1"/>
    <col min="3600" max="3600" width="9.5" style="2960" bestFit="1" customWidth="1"/>
    <col min="3601" max="3601" width="20.5" style="2960" bestFit="1" customWidth="1"/>
    <col min="3602" max="3843" width="9" style="2960"/>
    <col min="3844" max="3844" width="7.375" style="2960" customWidth="1"/>
    <col min="3845" max="3845" width="25.625" style="2960" customWidth="1"/>
    <col min="3846" max="3846" width="9.75" style="2960" customWidth="1"/>
    <col min="3847" max="3847" width="19.75" style="2960" bestFit="1" customWidth="1"/>
    <col min="3848" max="3848" width="9.25" style="2960" customWidth="1"/>
    <col min="3849" max="3849" width="6.625" style="2960" customWidth="1"/>
    <col min="3850" max="3850" width="5.5" style="2960" bestFit="1" customWidth="1"/>
    <col min="3851" max="3851" width="16.875" style="2960" customWidth="1"/>
    <col min="3852" max="3852" width="4.875" style="2960" customWidth="1"/>
    <col min="3853" max="3853" width="21.625" style="2960" customWidth="1"/>
    <col min="3854" max="3854" width="19.125" style="2960" bestFit="1" customWidth="1"/>
    <col min="3855" max="3855" width="25.25" style="2960" customWidth="1"/>
    <col min="3856" max="3856" width="9.5" style="2960" bestFit="1" customWidth="1"/>
    <col min="3857" max="3857" width="20.5" style="2960" bestFit="1" customWidth="1"/>
    <col min="3858" max="4099" width="9" style="2960"/>
    <col min="4100" max="4100" width="7.375" style="2960" customWidth="1"/>
    <col min="4101" max="4101" width="25.625" style="2960" customWidth="1"/>
    <col min="4102" max="4102" width="9.75" style="2960" customWidth="1"/>
    <col min="4103" max="4103" width="19.75" style="2960" bestFit="1" customWidth="1"/>
    <col min="4104" max="4104" width="9.25" style="2960" customWidth="1"/>
    <col min="4105" max="4105" width="6.625" style="2960" customWidth="1"/>
    <col min="4106" max="4106" width="5.5" style="2960" bestFit="1" customWidth="1"/>
    <col min="4107" max="4107" width="16.875" style="2960" customWidth="1"/>
    <col min="4108" max="4108" width="4.875" style="2960" customWidth="1"/>
    <col min="4109" max="4109" width="21.625" style="2960" customWidth="1"/>
    <col min="4110" max="4110" width="19.125" style="2960" bestFit="1" customWidth="1"/>
    <col min="4111" max="4111" width="25.25" style="2960" customWidth="1"/>
    <col min="4112" max="4112" width="9.5" style="2960" bestFit="1" customWidth="1"/>
    <col min="4113" max="4113" width="20.5" style="2960" bestFit="1" customWidth="1"/>
    <col min="4114" max="4355" width="9" style="2960"/>
    <col min="4356" max="4356" width="7.375" style="2960" customWidth="1"/>
    <col min="4357" max="4357" width="25.625" style="2960" customWidth="1"/>
    <col min="4358" max="4358" width="9.75" style="2960" customWidth="1"/>
    <col min="4359" max="4359" width="19.75" style="2960" bestFit="1" customWidth="1"/>
    <col min="4360" max="4360" width="9.25" style="2960" customWidth="1"/>
    <col min="4361" max="4361" width="6.625" style="2960" customWidth="1"/>
    <col min="4362" max="4362" width="5.5" style="2960" bestFit="1" customWidth="1"/>
    <col min="4363" max="4363" width="16.875" style="2960" customWidth="1"/>
    <col min="4364" max="4364" width="4.875" style="2960" customWidth="1"/>
    <col min="4365" max="4365" width="21.625" style="2960" customWidth="1"/>
    <col min="4366" max="4366" width="19.125" style="2960" bestFit="1" customWidth="1"/>
    <col min="4367" max="4367" width="25.25" style="2960" customWidth="1"/>
    <col min="4368" max="4368" width="9.5" style="2960" bestFit="1" customWidth="1"/>
    <col min="4369" max="4369" width="20.5" style="2960" bestFit="1" customWidth="1"/>
    <col min="4370" max="4611" width="9" style="2960"/>
    <col min="4612" max="4612" width="7.375" style="2960" customWidth="1"/>
    <col min="4613" max="4613" width="25.625" style="2960" customWidth="1"/>
    <col min="4614" max="4614" width="9.75" style="2960" customWidth="1"/>
    <col min="4615" max="4615" width="19.75" style="2960" bestFit="1" customWidth="1"/>
    <col min="4616" max="4616" width="9.25" style="2960" customWidth="1"/>
    <col min="4617" max="4617" width="6.625" style="2960" customWidth="1"/>
    <col min="4618" max="4618" width="5.5" style="2960" bestFit="1" customWidth="1"/>
    <col min="4619" max="4619" width="16.875" style="2960" customWidth="1"/>
    <col min="4620" max="4620" width="4.875" style="2960" customWidth="1"/>
    <col min="4621" max="4621" width="21.625" style="2960" customWidth="1"/>
    <col min="4622" max="4622" width="19.125" style="2960" bestFit="1" customWidth="1"/>
    <col min="4623" max="4623" width="25.25" style="2960" customWidth="1"/>
    <col min="4624" max="4624" width="9.5" style="2960" bestFit="1" customWidth="1"/>
    <col min="4625" max="4625" width="20.5" style="2960" bestFit="1" customWidth="1"/>
    <col min="4626" max="4867" width="9" style="2960"/>
    <col min="4868" max="4868" width="7.375" style="2960" customWidth="1"/>
    <col min="4869" max="4869" width="25.625" style="2960" customWidth="1"/>
    <col min="4870" max="4870" width="9.75" style="2960" customWidth="1"/>
    <col min="4871" max="4871" width="19.75" style="2960" bestFit="1" customWidth="1"/>
    <col min="4872" max="4872" width="9.25" style="2960" customWidth="1"/>
    <col min="4873" max="4873" width="6.625" style="2960" customWidth="1"/>
    <col min="4874" max="4874" width="5.5" style="2960" bestFit="1" customWidth="1"/>
    <col min="4875" max="4875" width="16.875" style="2960" customWidth="1"/>
    <col min="4876" max="4876" width="4.875" style="2960" customWidth="1"/>
    <col min="4877" max="4877" width="21.625" style="2960" customWidth="1"/>
    <col min="4878" max="4878" width="19.125" style="2960" bestFit="1" customWidth="1"/>
    <col min="4879" max="4879" width="25.25" style="2960" customWidth="1"/>
    <col min="4880" max="4880" width="9.5" style="2960" bestFit="1" customWidth="1"/>
    <col min="4881" max="4881" width="20.5" style="2960" bestFit="1" customWidth="1"/>
    <col min="4882" max="5123" width="9" style="2960"/>
    <col min="5124" max="5124" width="7.375" style="2960" customWidth="1"/>
    <col min="5125" max="5125" width="25.625" style="2960" customWidth="1"/>
    <col min="5126" max="5126" width="9.75" style="2960" customWidth="1"/>
    <col min="5127" max="5127" width="19.75" style="2960" bestFit="1" customWidth="1"/>
    <col min="5128" max="5128" width="9.25" style="2960" customWidth="1"/>
    <col min="5129" max="5129" width="6.625" style="2960" customWidth="1"/>
    <col min="5130" max="5130" width="5.5" style="2960" bestFit="1" customWidth="1"/>
    <col min="5131" max="5131" width="16.875" style="2960" customWidth="1"/>
    <col min="5132" max="5132" width="4.875" style="2960" customWidth="1"/>
    <col min="5133" max="5133" width="21.625" style="2960" customWidth="1"/>
    <col min="5134" max="5134" width="19.125" style="2960" bestFit="1" customWidth="1"/>
    <col min="5135" max="5135" width="25.25" style="2960" customWidth="1"/>
    <col min="5136" max="5136" width="9.5" style="2960" bestFit="1" customWidth="1"/>
    <col min="5137" max="5137" width="20.5" style="2960" bestFit="1" customWidth="1"/>
    <col min="5138" max="5379" width="9" style="2960"/>
    <col min="5380" max="5380" width="7.375" style="2960" customWidth="1"/>
    <col min="5381" max="5381" width="25.625" style="2960" customWidth="1"/>
    <col min="5382" max="5382" width="9.75" style="2960" customWidth="1"/>
    <col min="5383" max="5383" width="19.75" style="2960" bestFit="1" customWidth="1"/>
    <col min="5384" max="5384" width="9.25" style="2960" customWidth="1"/>
    <col min="5385" max="5385" width="6.625" style="2960" customWidth="1"/>
    <col min="5386" max="5386" width="5.5" style="2960" bestFit="1" customWidth="1"/>
    <col min="5387" max="5387" width="16.875" style="2960" customWidth="1"/>
    <col min="5388" max="5388" width="4.875" style="2960" customWidth="1"/>
    <col min="5389" max="5389" width="21.625" style="2960" customWidth="1"/>
    <col min="5390" max="5390" width="19.125" style="2960" bestFit="1" customWidth="1"/>
    <col min="5391" max="5391" width="25.25" style="2960" customWidth="1"/>
    <col min="5392" max="5392" width="9.5" style="2960" bestFit="1" customWidth="1"/>
    <col min="5393" max="5393" width="20.5" style="2960" bestFit="1" customWidth="1"/>
    <col min="5394" max="5635" width="9" style="2960"/>
    <col min="5636" max="5636" width="7.375" style="2960" customWidth="1"/>
    <col min="5637" max="5637" width="25.625" style="2960" customWidth="1"/>
    <col min="5638" max="5638" width="9.75" style="2960" customWidth="1"/>
    <col min="5639" max="5639" width="19.75" style="2960" bestFit="1" customWidth="1"/>
    <col min="5640" max="5640" width="9.25" style="2960" customWidth="1"/>
    <col min="5641" max="5641" width="6.625" style="2960" customWidth="1"/>
    <col min="5642" max="5642" width="5.5" style="2960" bestFit="1" customWidth="1"/>
    <col min="5643" max="5643" width="16.875" style="2960" customWidth="1"/>
    <col min="5644" max="5644" width="4.875" style="2960" customWidth="1"/>
    <col min="5645" max="5645" width="21.625" style="2960" customWidth="1"/>
    <col min="5646" max="5646" width="19.125" style="2960" bestFit="1" customWidth="1"/>
    <col min="5647" max="5647" width="25.25" style="2960" customWidth="1"/>
    <col min="5648" max="5648" width="9.5" style="2960" bestFit="1" customWidth="1"/>
    <col min="5649" max="5649" width="20.5" style="2960" bestFit="1" customWidth="1"/>
    <col min="5650" max="5891" width="9" style="2960"/>
    <col min="5892" max="5892" width="7.375" style="2960" customWidth="1"/>
    <col min="5893" max="5893" width="25.625" style="2960" customWidth="1"/>
    <col min="5894" max="5894" width="9.75" style="2960" customWidth="1"/>
    <col min="5895" max="5895" width="19.75" style="2960" bestFit="1" customWidth="1"/>
    <col min="5896" max="5896" width="9.25" style="2960" customWidth="1"/>
    <col min="5897" max="5897" width="6.625" style="2960" customWidth="1"/>
    <col min="5898" max="5898" width="5.5" style="2960" bestFit="1" customWidth="1"/>
    <col min="5899" max="5899" width="16.875" style="2960" customWidth="1"/>
    <col min="5900" max="5900" width="4.875" style="2960" customWidth="1"/>
    <col min="5901" max="5901" width="21.625" style="2960" customWidth="1"/>
    <col min="5902" max="5902" width="19.125" style="2960" bestFit="1" customWidth="1"/>
    <col min="5903" max="5903" width="25.25" style="2960" customWidth="1"/>
    <col min="5904" max="5904" width="9.5" style="2960" bestFit="1" customWidth="1"/>
    <col min="5905" max="5905" width="20.5" style="2960" bestFit="1" customWidth="1"/>
    <col min="5906" max="6147" width="9" style="2960"/>
    <col min="6148" max="6148" width="7.375" style="2960" customWidth="1"/>
    <col min="6149" max="6149" width="25.625" style="2960" customWidth="1"/>
    <col min="6150" max="6150" width="9.75" style="2960" customWidth="1"/>
    <col min="6151" max="6151" width="19.75" style="2960" bestFit="1" customWidth="1"/>
    <col min="6152" max="6152" width="9.25" style="2960" customWidth="1"/>
    <col min="6153" max="6153" width="6.625" style="2960" customWidth="1"/>
    <col min="6154" max="6154" width="5.5" style="2960" bestFit="1" customWidth="1"/>
    <col min="6155" max="6155" width="16.875" style="2960" customWidth="1"/>
    <col min="6156" max="6156" width="4.875" style="2960" customWidth="1"/>
    <col min="6157" max="6157" width="21.625" style="2960" customWidth="1"/>
    <col min="6158" max="6158" width="19.125" style="2960" bestFit="1" customWidth="1"/>
    <col min="6159" max="6159" width="25.25" style="2960" customWidth="1"/>
    <col min="6160" max="6160" width="9.5" style="2960" bestFit="1" customWidth="1"/>
    <col min="6161" max="6161" width="20.5" style="2960" bestFit="1" customWidth="1"/>
    <col min="6162" max="6403" width="9" style="2960"/>
    <col min="6404" max="6404" width="7.375" style="2960" customWidth="1"/>
    <col min="6405" max="6405" width="25.625" style="2960" customWidth="1"/>
    <col min="6406" max="6406" width="9.75" style="2960" customWidth="1"/>
    <col min="6407" max="6407" width="19.75" style="2960" bestFit="1" customWidth="1"/>
    <col min="6408" max="6408" width="9.25" style="2960" customWidth="1"/>
    <col min="6409" max="6409" width="6.625" style="2960" customWidth="1"/>
    <col min="6410" max="6410" width="5.5" style="2960" bestFit="1" customWidth="1"/>
    <col min="6411" max="6411" width="16.875" style="2960" customWidth="1"/>
    <col min="6412" max="6412" width="4.875" style="2960" customWidth="1"/>
    <col min="6413" max="6413" width="21.625" style="2960" customWidth="1"/>
    <col min="6414" max="6414" width="19.125" style="2960" bestFit="1" customWidth="1"/>
    <col min="6415" max="6415" width="25.25" style="2960" customWidth="1"/>
    <col min="6416" max="6416" width="9.5" style="2960" bestFit="1" customWidth="1"/>
    <col min="6417" max="6417" width="20.5" style="2960" bestFit="1" customWidth="1"/>
    <col min="6418" max="6659" width="9" style="2960"/>
    <col min="6660" max="6660" width="7.375" style="2960" customWidth="1"/>
    <col min="6661" max="6661" width="25.625" style="2960" customWidth="1"/>
    <col min="6662" max="6662" width="9.75" style="2960" customWidth="1"/>
    <col min="6663" max="6663" width="19.75" style="2960" bestFit="1" customWidth="1"/>
    <col min="6664" max="6664" width="9.25" style="2960" customWidth="1"/>
    <col min="6665" max="6665" width="6.625" style="2960" customWidth="1"/>
    <col min="6666" max="6666" width="5.5" style="2960" bestFit="1" customWidth="1"/>
    <col min="6667" max="6667" width="16.875" style="2960" customWidth="1"/>
    <col min="6668" max="6668" width="4.875" style="2960" customWidth="1"/>
    <col min="6669" max="6669" width="21.625" style="2960" customWidth="1"/>
    <col min="6670" max="6670" width="19.125" style="2960" bestFit="1" customWidth="1"/>
    <col min="6671" max="6671" width="25.25" style="2960" customWidth="1"/>
    <col min="6672" max="6672" width="9.5" style="2960" bestFit="1" customWidth="1"/>
    <col min="6673" max="6673" width="20.5" style="2960" bestFit="1" customWidth="1"/>
    <col min="6674" max="6915" width="9" style="2960"/>
    <col min="6916" max="6916" width="7.375" style="2960" customWidth="1"/>
    <col min="6917" max="6917" width="25.625" style="2960" customWidth="1"/>
    <col min="6918" max="6918" width="9.75" style="2960" customWidth="1"/>
    <col min="6919" max="6919" width="19.75" style="2960" bestFit="1" customWidth="1"/>
    <col min="6920" max="6920" width="9.25" style="2960" customWidth="1"/>
    <col min="6921" max="6921" width="6.625" style="2960" customWidth="1"/>
    <col min="6922" max="6922" width="5.5" style="2960" bestFit="1" customWidth="1"/>
    <col min="6923" max="6923" width="16.875" style="2960" customWidth="1"/>
    <col min="6924" max="6924" width="4.875" style="2960" customWidth="1"/>
    <col min="6925" max="6925" width="21.625" style="2960" customWidth="1"/>
    <col min="6926" max="6926" width="19.125" style="2960" bestFit="1" customWidth="1"/>
    <col min="6927" max="6927" width="25.25" style="2960" customWidth="1"/>
    <col min="6928" max="6928" width="9.5" style="2960" bestFit="1" customWidth="1"/>
    <col min="6929" max="6929" width="20.5" style="2960" bestFit="1" customWidth="1"/>
    <col min="6930" max="7171" width="9" style="2960"/>
    <col min="7172" max="7172" width="7.375" style="2960" customWidth="1"/>
    <col min="7173" max="7173" width="25.625" style="2960" customWidth="1"/>
    <col min="7174" max="7174" width="9.75" style="2960" customWidth="1"/>
    <col min="7175" max="7175" width="19.75" style="2960" bestFit="1" customWidth="1"/>
    <col min="7176" max="7176" width="9.25" style="2960" customWidth="1"/>
    <col min="7177" max="7177" width="6.625" style="2960" customWidth="1"/>
    <col min="7178" max="7178" width="5.5" style="2960" bestFit="1" customWidth="1"/>
    <col min="7179" max="7179" width="16.875" style="2960" customWidth="1"/>
    <col min="7180" max="7180" width="4.875" style="2960" customWidth="1"/>
    <col min="7181" max="7181" width="21.625" style="2960" customWidth="1"/>
    <col min="7182" max="7182" width="19.125" style="2960" bestFit="1" customWidth="1"/>
    <col min="7183" max="7183" width="25.25" style="2960" customWidth="1"/>
    <col min="7184" max="7184" width="9.5" style="2960" bestFit="1" customWidth="1"/>
    <col min="7185" max="7185" width="20.5" style="2960" bestFit="1" customWidth="1"/>
    <col min="7186" max="7427" width="9" style="2960"/>
    <col min="7428" max="7428" width="7.375" style="2960" customWidth="1"/>
    <col min="7429" max="7429" width="25.625" style="2960" customWidth="1"/>
    <col min="7430" max="7430" width="9.75" style="2960" customWidth="1"/>
    <col min="7431" max="7431" width="19.75" style="2960" bestFit="1" customWidth="1"/>
    <col min="7432" max="7432" width="9.25" style="2960" customWidth="1"/>
    <col min="7433" max="7433" width="6.625" style="2960" customWidth="1"/>
    <col min="7434" max="7434" width="5.5" style="2960" bestFit="1" customWidth="1"/>
    <col min="7435" max="7435" width="16.875" style="2960" customWidth="1"/>
    <col min="7436" max="7436" width="4.875" style="2960" customWidth="1"/>
    <col min="7437" max="7437" width="21.625" style="2960" customWidth="1"/>
    <col min="7438" max="7438" width="19.125" style="2960" bestFit="1" customWidth="1"/>
    <col min="7439" max="7439" width="25.25" style="2960" customWidth="1"/>
    <col min="7440" max="7440" width="9.5" style="2960" bestFit="1" customWidth="1"/>
    <col min="7441" max="7441" width="20.5" style="2960" bestFit="1" customWidth="1"/>
    <col min="7442" max="7683" width="9" style="2960"/>
    <col min="7684" max="7684" width="7.375" style="2960" customWidth="1"/>
    <col min="7685" max="7685" width="25.625" style="2960" customWidth="1"/>
    <col min="7686" max="7686" width="9.75" style="2960" customWidth="1"/>
    <col min="7687" max="7687" width="19.75" style="2960" bestFit="1" customWidth="1"/>
    <col min="7688" max="7688" width="9.25" style="2960" customWidth="1"/>
    <col min="7689" max="7689" width="6.625" style="2960" customWidth="1"/>
    <col min="7690" max="7690" width="5.5" style="2960" bestFit="1" customWidth="1"/>
    <col min="7691" max="7691" width="16.875" style="2960" customWidth="1"/>
    <col min="7692" max="7692" width="4.875" style="2960" customWidth="1"/>
    <col min="7693" max="7693" width="21.625" style="2960" customWidth="1"/>
    <col min="7694" max="7694" width="19.125" style="2960" bestFit="1" customWidth="1"/>
    <col min="7695" max="7695" width="25.25" style="2960" customWidth="1"/>
    <col min="7696" max="7696" width="9.5" style="2960" bestFit="1" customWidth="1"/>
    <col min="7697" max="7697" width="20.5" style="2960" bestFit="1" customWidth="1"/>
    <col min="7698" max="7939" width="9" style="2960"/>
    <col min="7940" max="7940" width="7.375" style="2960" customWidth="1"/>
    <col min="7941" max="7941" width="25.625" style="2960" customWidth="1"/>
    <col min="7942" max="7942" width="9.75" style="2960" customWidth="1"/>
    <col min="7943" max="7943" width="19.75" style="2960" bestFit="1" customWidth="1"/>
    <col min="7944" max="7944" width="9.25" style="2960" customWidth="1"/>
    <col min="7945" max="7945" width="6.625" style="2960" customWidth="1"/>
    <col min="7946" max="7946" width="5.5" style="2960" bestFit="1" customWidth="1"/>
    <col min="7947" max="7947" width="16.875" style="2960" customWidth="1"/>
    <col min="7948" max="7948" width="4.875" style="2960" customWidth="1"/>
    <col min="7949" max="7949" width="21.625" style="2960" customWidth="1"/>
    <col min="7950" max="7950" width="19.125" style="2960" bestFit="1" customWidth="1"/>
    <col min="7951" max="7951" width="25.25" style="2960" customWidth="1"/>
    <col min="7952" max="7952" width="9.5" style="2960" bestFit="1" customWidth="1"/>
    <col min="7953" max="7953" width="20.5" style="2960" bestFit="1" customWidth="1"/>
    <col min="7954" max="8195" width="9" style="2960"/>
    <col min="8196" max="8196" width="7.375" style="2960" customWidth="1"/>
    <col min="8197" max="8197" width="25.625" style="2960" customWidth="1"/>
    <col min="8198" max="8198" width="9.75" style="2960" customWidth="1"/>
    <col min="8199" max="8199" width="19.75" style="2960" bestFit="1" customWidth="1"/>
    <col min="8200" max="8200" width="9.25" style="2960" customWidth="1"/>
    <col min="8201" max="8201" width="6.625" style="2960" customWidth="1"/>
    <col min="8202" max="8202" width="5.5" style="2960" bestFit="1" customWidth="1"/>
    <col min="8203" max="8203" width="16.875" style="2960" customWidth="1"/>
    <col min="8204" max="8204" width="4.875" style="2960" customWidth="1"/>
    <col min="8205" max="8205" width="21.625" style="2960" customWidth="1"/>
    <col min="8206" max="8206" width="19.125" style="2960" bestFit="1" customWidth="1"/>
    <col min="8207" max="8207" width="25.25" style="2960" customWidth="1"/>
    <col min="8208" max="8208" width="9.5" style="2960" bestFit="1" customWidth="1"/>
    <col min="8209" max="8209" width="20.5" style="2960" bestFit="1" customWidth="1"/>
    <col min="8210" max="8451" width="9" style="2960"/>
    <col min="8452" max="8452" width="7.375" style="2960" customWidth="1"/>
    <col min="8453" max="8453" width="25.625" style="2960" customWidth="1"/>
    <col min="8454" max="8454" width="9.75" style="2960" customWidth="1"/>
    <col min="8455" max="8455" width="19.75" style="2960" bestFit="1" customWidth="1"/>
    <col min="8456" max="8456" width="9.25" style="2960" customWidth="1"/>
    <col min="8457" max="8457" width="6.625" style="2960" customWidth="1"/>
    <col min="8458" max="8458" width="5.5" style="2960" bestFit="1" customWidth="1"/>
    <col min="8459" max="8459" width="16.875" style="2960" customWidth="1"/>
    <col min="8460" max="8460" width="4.875" style="2960" customWidth="1"/>
    <col min="8461" max="8461" width="21.625" style="2960" customWidth="1"/>
    <col min="8462" max="8462" width="19.125" style="2960" bestFit="1" customWidth="1"/>
    <col min="8463" max="8463" width="25.25" style="2960" customWidth="1"/>
    <col min="8464" max="8464" width="9.5" style="2960" bestFit="1" customWidth="1"/>
    <col min="8465" max="8465" width="20.5" style="2960" bestFit="1" customWidth="1"/>
    <col min="8466" max="8707" width="9" style="2960"/>
    <col min="8708" max="8708" width="7.375" style="2960" customWidth="1"/>
    <col min="8709" max="8709" width="25.625" style="2960" customWidth="1"/>
    <col min="8710" max="8710" width="9.75" style="2960" customWidth="1"/>
    <col min="8711" max="8711" width="19.75" style="2960" bestFit="1" customWidth="1"/>
    <col min="8712" max="8712" width="9.25" style="2960" customWidth="1"/>
    <col min="8713" max="8713" width="6.625" style="2960" customWidth="1"/>
    <col min="8714" max="8714" width="5.5" style="2960" bestFit="1" customWidth="1"/>
    <col min="8715" max="8715" width="16.875" style="2960" customWidth="1"/>
    <col min="8716" max="8716" width="4.875" style="2960" customWidth="1"/>
    <col min="8717" max="8717" width="21.625" style="2960" customWidth="1"/>
    <col min="8718" max="8718" width="19.125" style="2960" bestFit="1" customWidth="1"/>
    <col min="8719" max="8719" width="25.25" style="2960" customWidth="1"/>
    <col min="8720" max="8720" width="9.5" style="2960" bestFit="1" customWidth="1"/>
    <col min="8721" max="8721" width="20.5" style="2960" bestFit="1" customWidth="1"/>
    <col min="8722" max="8963" width="9" style="2960"/>
    <col min="8964" max="8964" width="7.375" style="2960" customWidth="1"/>
    <col min="8965" max="8965" width="25.625" style="2960" customWidth="1"/>
    <col min="8966" max="8966" width="9.75" style="2960" customWidth="1"/>
    <col min="8967" max="8967" width="19.75" style="2960" bestFit="1" customWidth="1"/>
    <col min="8968" max="8968" width="9.25" style="2960" customWidth="1"/>
    <col min="8969" max="8969" width="6.625" style="2960" customWidth="1"/>
    <col min="8970" max="8970" width="5.5" style="2960" bestFit="1" customWidth="1"/>
    <col min="8971" max="8971" width="16.875" style="2960" customWidth="1"/>
    <col min="8972" max="8972" width="4.875" style="2960" customWidth="1"/>
    <col min="8973" max="8973" width="21.625" style="2960" customWidth="1"/>
    <col min="8974" max="8974" width="19.125" style="2960" bestFit="1" customWidth="1"/>
    <col min="8975" max="8975" width="25.25" style="2960" customWidth="1"/>
    <col min="8976" max="8976" width="9.5" style="2960" bestFit="1" customWidth="1"/>
    <col min="8977" max="8977" width="20.5" style="2960" bestFit="1" customWidth="1"/>
    <col min="8978" max="9219" width="9" style="2960"/>
    <col min="9220" max="9220" width="7.375" style="2960" customWidth="1"/>
    <col min="9221" max="9221" width="25.625" style="2960" customWidth="1"/>
    <col min="9222" max="9222" width="9.75" style="2960" customWidth="1"/>
    <col min="9223" max="9223" width="19.75" style="2960" bestFit="1" customWidth="1"/>
    <col min="9224" max="9224" width="9.25" style="2960" customWidth="1"/>
    <col min="9225" max="9225" width="6.625" style="2960" customWidth="1"/>
    <col min="9226" max="9226" width="5.5" style="2960" bestFit="1" customWidth="1"/>
    <col min="9227" max="9227" width="16.875" style="2960" customWidth="1"/>
    <col min="9228" max="9228" width="4.875" style="2960" customWidth="1"/>
    <col min="9229" max="9229" width="21.625" style="2960" customWidth="1"/>
    <col min="9230" max="9230" width="19.125" style="2960" bestFit="1" customWidth="1"/>
    <col min="9231" max="9231" width="25.25" style="2960" customWidth="1"/>
    <col min="9232" max="9232" width="9.5" style="2960" bestFit="1" customWidth="1"/>
    <col min="9233" max="9233" width="20.5" style="2960" bestFit="1" customWidth="1"/>
    <col min="9234" max="9475" width="9" style="2960"/>
    <col min="9476" max="9476" width="7.375" style="2960" customWidth="1"/>
    <col min="9477" max="9477" width="25.625" style="2960" customWidth="1"/>
    <col min="9478" max="9478" width="9.75" style="2960" customWidth="1"/>
    <col min="9479" max="9479" width="19.75" style="2960" bestFit="1" customWidth="1"/>
    <col min="9480" max="9480" width="9.25" style="2960" customWidth="1"/>
    <col min="9481" max="9481" width="6.625" style="2960" customWidth="1"/>
    <col min="9482" max="9482" width="5.5" style="2960" bestFit="1" customWidth="1"/>
    <col min="9483" max="9483" width="16.875" style="2960" customWidth="1"/>
    <col min="9484" max="9484" width="4.875" style="2960" customWidth="1"/>
    <col min="9485" max="9485" width="21.625" style="2960" customWidth="1"/>
    <col min="9486" max="9486" width="19.125" style="2960" bestFit="1" customWidth="1"/>
    <col min="9487" max="9487" width="25.25" style="2960" customWidth="1"/>
    <col min="9488" max="9488" width="9.5" style="2960" bestFit="1" customWidth="1"/>
    <col min="9489" max="9489" width="20.5" style="2960" bestFit="1" customWidth="1"/>
    <col min="9490" max="9731" width="9" style="2960"/>
    <col min="9732" max="9732" width="7.375" style="2960" customWidth="1"/>
    <col min="9733" max="9733" width="25.625" style="2960" customWidth="1"/>
    <col min="9734" max="9734" width="9.75" style="2960" customWidth="1"/>
    <col min="9735" max="9735" width="19.75" style="2960" bestFit="1" customWidth="1"/>
    <col min="9736" max="9736" width="9.25" style="2960" customWidth="1"/>
    <col min="9737" max="9737" width="6.625" style="2960" customWidth="1"/>
    <col min="9738" max="9738" width="5.5" style="2960" bestFit="1" customWidth="1"/>
    <col min="9739" max="9739" width="16.875" style="2960" customWidth="1"/>
    <col min="9740" max="9740" width="4.875" style="2960" customWidth="1"/>
    <col min="9741" max="9741" width="21.625" style="2960" customWidth="1"/>
    <col min="9742" max="9742" width="19.125" style="2960" bestFit="1" customWidth="1"/>
    <col min="9743" max="9743" width="25.25" style="2960" customWidth="1"/>
    <col min="9744" max="9744" width="9.5" style="2960" bestFit="1" customWidth="1"/>
    <col min="9745" max="9745" width="20.5" style="2960" bestFit="1" customWidth="1"/>
    <col min="9746" max="9987" width="9" style="2960"/>
    <col min="9988" max="9988" width="7.375" style="2960" customWidth="1"/>
    <col min="9989" max="9989" width="25.625" style="2960" customWidth="1"/>
    <col min="9990" max="9990" width="9.75" style="2960" customWidth="1"/>
    <col min="9991" max="9991" width="19.75" style="2960" bestFit="1" customWidth="1"/>
    <col min="9992" max="9992" width="9.25" style="2960" customWidth="1"/>
    <col min="9993" max="9993" width="6.625" style="2960" customWidth="1"/>
    <col min="9994" max="9994" width="5.5" style="2960" bestFit="1" customWidth="1"/>
    <col min="9995" max="9995" width="16.875" style="2960" customWidth="1"/>
    <col min="9996" max="9996" width="4.875" style="2960" customWidth="1"/>
    <col min="9997" max="9997" width="21.625" style="2960" customWidth="1"/>
    <col min="9998" max="9998" width="19.125" style="2960" bestFit="1" customWidth="1"/>
    <col min="9999" max="9999" width="25.25" style="2960" customWidth="1"/>
    <col min="10000" max="10000" width="9.5" style="2960" bestFit="1" customWidth="1"/>
    <col min="10001" max="10001" width="20.5" style="2960" bestFit="1" customWidth="1"/>
    <col min="10002" max="10243" width="9" style="2960"/>
    <col min="10244" max="10244" width="7.375" style="2960" customWidth="1"/>
    <col min="10245" max="10245" width="25.625" style="2960" customWidth="1"/>
    <col min="10246" max="10246" width="9.75" style="2960" customWidth="1"/>
    <col min="10247" max="10247" width="19.75" style="2960" bestFit="1" customWidth="1"/>
    <col min="10248" max="10248" width="9.25" style="2960" customWidth="1"/>
    <col min="10249" max="10249" width="6.625" style="2960" customWidth="1"/>
    <col min="10250" max="10250" width="5.5" style="2960" bestFit="1" customWidth="1"/>
    <col min="10251" max="10251" width="16.875" style="2960" customWidth="1"/>
    <col min="10252" max="10252" width="4.875" style="2960" customWidth="1"/>
    <col min="10253" max="10253" width="21.625" style="2960" customWidth="1"/>
    <col min="10254" max="10254" width="19.125" style="2960" bestFit="1" customWidth="1"/>
    <col min="10255" max="10255" width="25.25" style="2960" customWidth="1"/>
    <col min="10256" max="10256" width="9.5" style="2960" bestFit="1" customWidth="1"/>
    <col min="10257" max="10257" width="20.5" style="2960" bestFit="1" customWidth="1"/>
    <col min="10258" max="10499" width="9" style="2960"/>
    <col min="10500" max="10500" width="7.375" style="2960" customWidth="1"/>
    <col min="10501" max="10501" width="25.625" style="2960" customWidth="1"/>
    <col min="10502" max="10502" width="9.75" style="2960" customWidth="1"/>
    <col min="10503" max="10503" width="19.75" style="2960" bestFit="1" customWidth="1"/>
    <col min="10504" max="10504" width="9.25" style="2960" customWidth="1"/>
    <col min="10505" max="10505" width="6.625" style="2960" customWidth="1"/>
    <col min="10506" max="10506" width="5.5" style="2960" bestFit="1" customWidth="1"/>
    <col min="10507" max="10507" width="16.875" style="2960" customWidth="1"/>
    <col min="10508" max="10508" width="4.875" style="2960" customWidth="1"/>
    <col min="10509" max="10509" width="21.625" style="2960" customWidth="1"/>
    <col min="10510" max="10510" width="19.125" style="2960" bestFit="1" customWidth="1"/>
    <col min="10511" max="10511" width="25.25" style="2960" customWidth="1"/>
    <col min="10512" max="10512" width="9.5" style="2960" bestFit="1" customWidth="1"/>
    <col min="10513" max="10513" width="20.5" style="2960" bestFit="1" customWidth="1"/>
    <col min="10514" max="10755" width="9" style="2960"/>
    <col min="10756" max="10756" width="7.375" style="2960" customWidth="1"/>
    <col min="10757" max="10757" width="25.625" style="2960" customWidth="1"/>
    <col min="10758" max="10758" width="9.75" style="2960" customWidth="1"/>
    <col min="10759" max="10759" width="19.75" style="2960" bestFit="1" customWidth="1"/>
    <col min="10760" max="10760" width="9.25" style="2960" customWidth="1"/>
    <col min="10761" max="10761" width="6.625" style="2960" customWidth="1"/>
    <col min="10762" max="10762" width="5.5" style="2960" bestFit="1" customWidth="1"/>
    <col min="10763" max="10763" width="16.875" style="2960" customWidth="1"/>
    <col min="10764" max="10764" width="4.875" style="2960" customWidth="1"/>
    <col min="10765" max="10765" width="21.625" style="2960" customWidth="1"/>
    <col min="10766" max="10766" width="19.125" style="2960" bestFit="1" customWidth="1"/>
    <col min="10767" max="10767" width="25.25" style="2960" customWidth="1"/>
    <col min="10768" max="10768" width="9.5" style="2960" bestFit="1" customWidth="1"/>
    <col min="10769" max="10769" width="20.5" style="2960" bestFit="1" customWidth="1"/>
    <col min="10770" max="11011" width="9" style="2960"/>
    <col min="11012" max="11012" width="7.375" style="2960" customWidth="1"/>
    <col min="11013" max="11013" width="25.625" style="2960" customWidth="1"/>
    <col min="11014" max="11014" width="9.75" style="2960" customWidth="1"/>
    <col min="11015" max="11015" width="19.75" style="2960" bestFit="1" customWidth="1"/>
    <col min="11016" max="11016" width="9.25" style="2960" customWidth="1"/>
    <col min="11017" max="11017" width="6.625" style="2960" customWidth="1"/>
    <col min="11018" max="11018" width="5.5" style="2960" bestFit="1" customWidth="1"/>
    <col min="11019" max="11019" width="16.875" style="2960" customWidth="1"/>
    <col min="11020" max="11020" width="4.875" style="2960" customWidth="1"/>
    <col min="11021" max="11021" width="21.625" style="2960" customWidth="1"/>
    <col min="11022" max="11022" width="19.125" style="2960" bestFit="1" customWidth="1"/>
    <col min="11023" max="11023" width="25.25" style="2960" customWidth="1"/>
    <col min="11024" max="11024" width="9.5" style="2960" bestFit="1" customWidth="1"/>
    <col min="11025" max="11025" width="20.5" style="2960" bestFit="1" customWidth="1"/>
    <col min="11026" max="11267" width="9" style="2960"/>
    <col min="11268" max="11268" width="7.375" style="2960" customWidth="1"/>
    <col min="11269" max="11269" width="25.625" style="2960" customWidth="1"/>
    <col min="11270" max="11270" width="9.75" style="2960" customWidth="1"/>
    <col min="11271" max="11271" width="19.75" style="2960" bestFit="1" customWidth="1"/>
    <col min="11272" max="11272" width="9.25" style="2960" customWidth="1"/>
    <col min="11273" max="11273" width="6.625" style="2960" customWidth="1"/>
    <col min="11274" max="11274" width="5.5" style="2960" bestFit="1" customWidth="1"/>
    <col min="11275" max="11275" width="16.875" style="2960" customWidth="1"/>
    <col min="11276" max="11276" width="4.875" style="2960" customWidth="1"/>
    <col min="11277" max="11277" width="21.625" style="2960" customWidth="1"/>
    <col min="11278" max="11278" width="19.125" style="2960" bestFit="1" customWidth="1"/>
    <col min="11279" max="11279" width="25.25" style="2960" customWidth="1"/>
    <col min="11280" max="11280" width="9.5" style="2960" bestFit="1" customWidth="1"/>
    <col min="11281" max="11281" width="20.5" style="2960" bestFit="1" customWidth="1"/>
    <col min="11282" max="11523" width="9" style="2960"/>
    <col min="11524" max="11524" width="7.375" style="2960" customWidth="1"/>
    <col min="11525" max="11525" width="25.625" style="2960" customWidth="1"/>
    <col min="11526" max="11526" width="9.75" style="2960" customWidth="1"/>
    <col min="11527" max="11527" width="19.75" style="2960" bestFit="1" customWidth="1"/>
    <col min="11528" max="11528" width="9.25" style="2960" customWidth="1"/>
    <col min="11529" max="11529" width="6.625" style="2960" customWidth="1"/>
    <col min="11530" max="11530" width="5.5" style="2960" bestFit="1" customWidth="1"/>
    <col min="11531" max="11531" width="16.875" style="2960" customWidth="1"/>
    <col min="11532" max="11532" width="4.875" style="2960" customWidth="1"/>
    <col min="11533" max="11533" width="21.625" style="2960" customWidth="1"/>
    <col min="11534" max="11534" width="19.125" style="2960" bestFit="1" customWidth="1"/>
    <col min="11535" max="11535" width="25.25" style="2960" customWidth="1"/>
    <col min="11536" max="11536" width="9.5" style="2960" bestFit="1" customWidth="1"/>
    <col min="11537" max="11537" width="20.5" style="2960" bestFit="1" customWidth="1"/>
    <col min="11538" max="11779" width="9" style="2960"/>
    <col min="11780" max="11780" width="7.375" style="2960" customWidth="1"/>
    <col min="11781" max="11781" width="25.625" style="2960" customWidth="1"/>
    <col min="11782" max="11782" width="9.75" style="2960" customWidth="1"/>
    <col min="11783" max="11783" width="19.75" style="2960" bestFit="1" customWidth="1"/>
    <col min="11784" max="11784" width="9.25" style="2960" customWidth="1"/>
    <col min="11785" max="11785" width="6.625" style="2960" customWidth="1"/>
    <col min="11786" max="11786" width="5.5" style="2960" bestFit="1" customWidth="1"/>
    <col min="11787" max="11787" width="16.875" style="2960" customWidth="1"/>
    <col min="11788" max="11788" width="4.875" style="2960" customWidth="1"/>
    <col min="11789" max="11789" width="21.625" style="2960" customWidth="1"/>
    <col min="11790" max="11790" width="19.125" style="2960" bestFit="1" customWidth="1"/>
    <col min="11791" max="11791" width="25.25" style="2960" customWidth="1"/>
    <col min="11792" max="11792" width="9.5" style="2960" bestFit="1" customWidth="1"/>
    <col min="11793" max="11793" width="20.5" style="2960" bestFit="1" customWidth="1"/>
    <col min="11794" max="12035" width="9" style="2960"/>
    <col min="12036" max="12036" width="7.375" style="2960" customWidth="1"/>
    <col min="12037" max="12037" width="25.625" style="2960" customWidth="1"/>
    <col min="12038" max="12038" width="9.75" style="2960" customWidth="1"/>
    <col min="12039" max="12039" width="19.75" style="2960" bestFit="1" customWidth="1"/>
    <col min="12040" max="12040" width="9.25" style="2960" customWidth="1"/>
    <col min="12041" max="12041" width="6.625" style="2960" customWidth="1"/>
    <col min="12042" max="12042" width="5.5" style="2960" bestFit="1" customWidth="1"/>
    <col min="12043" max="12043" width="16.875" style="2960" customWidth="1"/>
    <col min="12044" max="12044" width="4.875" style="2960" customWidth="1"/>
    <col min="12045" max="12045" width="21.625" style="2960" customWidth="1"/>
    <col min="12046" max="12046" width="19.125" style="2960" bestFit="1" customWidth="1"/>
    <col min="12047" max="12047" width="25.25" style="2960" customWidth="1"/>
    <col min="12048" max="12048" width="9.5" style="2960" bestFit="1" customWidth="1"/>
    <col min="12049" max="12049" width="20.5" style="2960" bestFit="1" customWidth="1"/>
    <col min="12050" max="12291" width="9" style="2960"/>
    <col min="12292" max="12292" width="7.375" style="2960" customWidth="1"/>
    <col min="12293" max="12293" width="25.625" style="2960" customWidth="1"/>
    <col min="12294" max="12294" width="9.75" style="2960" customWidth="1"/>
    <col min="12295" max="12295" width="19.75" style="2960" bestFit="1" customWidth="1"/>
    <col min="12296" max="12296" width="9.25" style="2960" customWidth="1"/>
    <col min="12297" max="12297" width="6.625" style="2960" customWidth="1"/>
    <col min="12298" max="12298" width="5.5" style="2960" bestFit="1" customWidth="1"/>
    <col min="12299" max="12299" width="16.875" style="2960" customWidth="1"/>
    <col min="12300" max="12300" width="4.875" style="2960" customWidth="1"/>
    <col min="12301" max="12301" width="21.625" style="2960" customWidth="1"/>
    <col min="12302" max="12302" width="19.125" style="2960" bestFit="1" customWidth="1"/>
    <col min="12303" max="12303" width="25.25" style="2960" customWidth="1"/>
    <col min="12304" max="12304" width="9.5" style="2960" bestFit="1" customWidth="1"/>
    <col min="12305" max="12305" width="20.5" style="2960" bestFit="1" customWidth="1"/>
    <col min="12306" max="12547" width="9" style="2960"/>
    <col min="12548" max="12548" width="7.375" style="2960" customWidth="1"/>
    <col min="12549" max="12549" width="25.625" style="2960" customWidth="1"/>
    <col min="12550" max="12550" width="9.75" style="2960" customWidth="1"/>
    <col min="12551" max="12551" width="19.75" style="2960" bestFit="1" customWidth="1"/>
    <col min="12552" max="12552" width="9.25" style="2960" customWidth="1"/>
    <col min="12553" max="12553" width="6.625" style="2960" customWidth="1"/>
    <col min="12554" max="12554" width="5.5" style="2960" bestFit="1" customWidth="1"/>
    <col min="12555" max="12555" width="16.875" style="2960" customWidth="1"/>
    <col min="12556" max="12556" width="4.875" style="2960" customWidth="1"/>
    <col min="12557" max="12557" width="21.625" style="2960" customWidth="1"/>
    <col min="12558" max="12558" width="19.125" style="2960" bestFit="1" customWidth="1"/>
    <col min="12559" max="12559" width="25.25" style="2960" customWidth="1"/>
    <col min="12560" max="12560" width="9.5" style="2960" bestFit="1" customWidth="1"/>
    <col min="12561" max="12561" width="20.5" style="2960" bestFit="1" customWidth="1"/>
    <col min="12562" max="12803" width="9" style="2960"/>
    <col min="12804" max="12804" width="7.375" style="2960" customWidth="1"/>
    <col min="12805" max="12805" width="25.625" style="2960" customWidth="1"/>
    <col min="12806" max="12806" width="9.75" style="2960" customWidth="1"/>
    <col min="12807" max="12807" width="19.75" style="2960" bestFit="1" customWidth="1"/>
    <col min="12808" max="12808" width="9.25" style="2960" customWidth="1"/>
    <col min="12809" max="12809" width="6.625" style="2960" customWidth="1"/>
    <col min="12810" max="12810" width="5.5" style="2960" bestFit="1" customWidth="1"/>
    <col min="12811" max="12811" width="16.875" style="2960" customWidth="1"/>
    <col min="12812" max="12812" width="4.875" style="2960" customWidth="1"/>
    <col min="12813" max="12813" width="21.625" style="2960" customWidth="1"/>
    <col min="12814" max="12814" width="19.125" style="2960" bestFit="1" customWidth="1"/>
    <col min="12815" max="12815" width="25.25" style="2960" customWidth="1"/>
    <col min="12816" max="12816" width="9.5" style="2960" bestFit="1" customWidth="1"/>
    <col min="12817" max="12817" width="20.5" style="2960" bestFit="1" customWidth="1"/>
    <col min="12818" max="13059" width="9" style="2960"/>
    <col min="13060" max="13060" width="7.375" style="2960" customWidth="1"/>
    <col min="13061" max="13061" width="25.625" style="2960" customWidth="1"/>
    <col min="13062" max="13062" width="9.75" style="2960" customWidth="1"/>
    <col min="13063" max="13063" width="19.75" style="2960" bestFit="1" customWidth="1"/>
    <col min="13064" max="13064" width="9.25" style="2960" customWidth="1"/>
    <col min="13065" max="13065" width="6.625" style="2960" customWidth="1"/>
    <col min="13066" max="13066" width="5.5" style="2960" bestFit="1" customWidth="1"/>
    <col min="13067" max="13067" width="16.875" style="2960" customWidth="1"/>
    <col min="13068" max="13068" width="4.875" style="2960" customWidth="1"/>
    <col min="13069" max="13069" width="21.625" style="2960" customWidth="1"/>
    <col min="13070" max="13070" width="19.125" style="2960" bestFit="1" customWidth="1"/>
    <col min="13071" max="13071" width="25.25" style="2960" customWidth="1"/>
    <col min="13072" max="13072" width="9.5" style="2960" bestFit="1" customWidth="1"/>
    <col min="13073" max="13073" width="20.5" style="2960" bestFit="1" customWidth="1"/>
    <col min="13074" max="13315" width="9" style="2960"/>
    <col min="13316" max="13316" width="7.375" style="2960" customWidth="1"/>
    <col min="13317" max="13317" width="25.625" style="2960" customWidth="1"/>
    <col min="13318" max="13318" width="9.75" style="2960" customWidth="1"/>
    <col min="13319" max="13319" width="19.75" style="2960" bestFit="1" customWidth="1"/>
    <col min="13320" max="13320" width="9.25" style="2960" customWidth="1"/>
    <col min="13321" max="13321" width="6.625" style="2960" customWidth="1"/>
    <col min="13322" max="13322" width="5.5" style="2960" bestFit="1" customWidth="1"/>
    <col min="13323" max="13323" width="16.875" style="2960" customWidth="1"/>
    <col min="13324" max="13324" width="4.875" style="2960" customWidth="1"/>
    <col min="13325" max="13325" width="21.625" style="2960" customWidth="1"/>
    <col min="13326" max="13326" width="19.125" style="2960" bestFit="1" customWidth="1"/>
    <col min="13327" max="13327" width="25.25" style="2960" customWidth="1"/>
    <col min="13328" max="13328" width="9.5" style="2960" bestFit="1" customWidth="1"/>
    <col min="13329" max="13329" width="20.5" style="2960" bestFit="1" customWidth="1"/>
    <col min="13330" max="13571" width="9" style="2960"/>
    <col min="13572" max="13572" width="7.375" style="2960" customWidth="1"/>
    <col min="13573" max="13573" width="25.625" style="2960" customWidth="1"/>
    <col min="13574" max="13574" width="9.75" style="2960" customWidth="1"/>
    <col min="13575" max="13575" width="19.75" style="2960" bestFit="1" customWidth="1"/>
    <col min="13576" max="13576" width="9.25" style="2960" customWidth="1"/>
    <col min="13577" max="13577" width="6.625" style="2960" customWidth="1"/>
    <col min="13578" max="13578" width="5.5" style="2960" bestFit="1" customWidth="1"/>
    <col min="13579" max="13579" width="16.875" style="2960" customWidth="1"/>
    <col min="13580" max="13580" width="4.875" style="2960" customWidth="1"/>
    <col min="13581" max="13581" width="21.625" style="2960" customWidth="1"/>
    <col min="13582" max="13582" width="19.125" style="2960" bestFit="1" customWidth="1"/>
    <col min="13583" max="13583" width="25.25" style="2960" customWidth="1"/>
    <col min="13584" max="13584" width="9.5" style="2960" bestFit="1" customWidth="1"/>
    <col min="13585" max="13585" width="20.5" style="2960" bestFit="1" customWidth="1"/>
    <col min="13586" max="13827" width="9" style="2960"/>
    <col min="13828" max="13828" width="7.375" style="2960" customWidth="1"/>
    <col min="13829" max="13829" width="25.625" style="2960" customWidth="1"/>
    <col min="13830" max="13830" width="9.75" style="2960" customWidth="1"/>
    <col min="13831" max="13831" width="19.75" style="2960" bestFit="1" customWidth="1"/>
    <col min="13832" max="13832" width="9.25" style="2960" customWidth="1"/>
    <col min="13833" max="13833" width="6.625" style="2960" customWidth="1"/>
    <col min="13834" max="13834" width="5.5" style="2960" bestFit="1" customWidth="1"/>
    <col min="13835" max="13835" width="16.875" style="2960" customWidth="1"/>
    <col min="13836" max="13836" width="4.875" style="2960" customWidth="1"/>
    <col min="13837" max="13837" width="21.625" style="2960" customWidth="1"/>
    <col min="13838" max="13838" width="19.125" style="2960" bestFit="1" customWidth="1"/>
    <col min="13839" max="13839" width="25.25" style="2960" customWidth="1"/>
    <col min="13840" max="13840" width="9.5" style="2960" bestFit="1" customWidth="1"/>
    <col min="13841" max="13841" width="20.5" style="2960" bestFit="1" customWidth="1"/>
    <col min="13842" max="14083" width="9" style="2960"/>
    <col min="14084" max="14084" width="7.375" style="2960" customWidth="1"/>
    <col min="14085" max="14085" width="25.625" style="2960" customWidth="1"/>
    <col min="14086" max="14086" width="9.75" style="2960" customWidth="1"/>
    <col min="14087" max="14087" width="19.75" style="2960" bestFit="1" customWidth="1"/>
    <col min="14088" max="14088" width="9.25" style="2960" customWidth="1"/>
    <col min="14089" max="14089" width="6.625" style="2960" customWidth="1"/>
    <col min="14090" max="14090" width="5.5" style="2960" bestFit="1" customWidth="1"/>
    <col min="14091" max="14091" width="16.875" style="2960" customWidth="1"/>
    <col min="14092" max="14092" width="4.875" style="2960" customWidth="1"/>
    <col min="14093" max="14093" width="21.625" style="2960" customWidth="1"/>
    <col min="14094" max="14094" width="19.125" style="2960" bestFit="1" customWidth="1"/>
    <col min="14095" max="14095" width="25.25" style="2960" customWidth="1"/>
    <col min="14096" max="14096" width="9.5" style="2960" bestFit="1" customWidth="1"/>
    <col min="14097" max="14097" width="20.5" style="2960" bestFit="1" customWidth="1"/>
    <col min="14098" max="14339" width="9" style="2960"/>
    <col min="14340" max="14340" width="7.375" style="2960" customWidth="1"/>
    <col min="14341" max="14341" width="25.625" style="2960" customWidth="1"/>
    <col min="14342" max="14342" width="9.75" style="2960" customWidth="1"/>
    <col min="14343" max="14343" width="19.75" style="2960" bestFit="1" customWidth="1"/>
    <col min="14344" max="14344" width="9.25" style="2960" customWidth="1"/>
    <col min="14345" max="14345" width="6.625" style="2960" customWidth="1"/>
    <col min="14346" max="14346" width="5.5" style="2960" bestFit="1" customWidth="1"/>
    <col min="14347" max="14347" width="16.875" style="2960" customWidth="1"/>
    <col min="14348" max="14348" width="4.875" style="2960" customWidth="1"/>
    <col min="14349" max="14349" width="21.625" style="2960" customWidth="1"/>
    <col min="14350" max="14350" width="19.125" style="2960" bestFit="1" customWidth="1"/>
    <col min="14351" max="14351" width="25.25" style="2960" customWidth="1"/>
    <col min="14352" max="14352" width="9.5" style="2960" bestFit="1" customWidth="1"/>
    <col min="14353" max="14353" width="20.5" style="2960" bestFit="1" customWidth="1"/>
    <col min="14354" max="14595" width="9" style="2960"/>
    <col min="14596" max="14596" width="7.375" style="2960" customWidth="1"/>
    <col min="14597" max="14597" width="25.625" style="2960" customWidth="1"/>
    <col min="14598" max="14598" width="9.75" style="2960" customWidth="1"/>
    <col min="14599" max="14599" width="19.75" style="2960" bestFit="1" customWidth="1"/>
    <col min="14600" max="14600" width="9.25" style="2960" customWidth="1"/>
    <col min="14601" max="14601" width="6.625" style="2960" customWidth="1"/>
    <col min="14602" max="14602" width="5.5" style="2960" bestFit="1" customWidth="1"/>
    <col min="14603" max="14603" width="16.875" style="2960" customWidth="1"/>
    <col min="14604" max="14604" width="4.875" style="2960" customWidth="1"/>
    <col min="14605" max="14605" width="21.625" style="2960" customWidth="1"/>
    <col min="14606" max="14606" width="19.125" style="2960" bestFit="1" customWidth="1"/>
    <col min="14607" max="14607" width="25.25" style="2960" customWidth="1"/>
    <col min="14608" max="14608" width="9.5" style="2960" bestFit="1" customWidth="1"/>
    <col min="14609" max="14609" width="20.5" style="2960" bestFit="1" customWidth="1"/>
    <col min="14610" max="14851" width="9" style="2960"/>
    <col min="14852" max="14852" width="7.375" style="2960" customWidth="1"/>
    <col min="14853" max="14853" width="25.625" style="2960" customWidth="1"/>
    <col min="14854" max="14854" width="9.75" style="2960" customWidth="1"/>
    <col min="14855" max="14855" width="19.75" style="2960" bestFit="1" customWidth="1"/>
    <col min="14856" max="14856" width="9.25" style="2960" customWidth="1"/>
    <col min="14857" max="14857" width="6.625" style="2960" customWidth="1"/>
    <col min="14858" max="14858" width="5.5" style="2960" bestFit="1" customWidth="1"/>
    <col min="14859" max="14859" width="16.875" style="2960" customWidth="1"/>
    <col min="14860" max="14860" width="4.875" style="2960" customWidth="1"/>
    <col min="14861" max="14861" width="21.625" style="2960" customWidth="1"/>
    <col min="14862" max="14862" width="19.125" style="2960" bestFit="1" customWidth="1"/>
    <col min="14863" max="14863" width="25.25" style="2960" customWidth="1"/>
    <col min="14864" max="14864" width="9.5" style="2960" bestFit="1" customWidth="1"/>
    <col min="14865" max="14865" width="20.5" style="2960" bestFit="1" customWidth="1"/>
    <col min="14866" max="15107" width="9" style="2960"/>
    <col min="15108" max="15108" width="7.375" style="2960" customWidth="1"/>
    <col min="15109" max="15109" width="25.625" style="2960" customWidth="1"/>
    <col min="15110" max="15110" width="9.75" style="2960" customWidth="1"/>
    <col min="15111" max="15111" width="19.75" style="2960" bestFit="1" customWidth="1"/>
    <col min="15112" max="15112" width="9.25" style="2960" customWidth="1"/>
    <col min="15113" max="15113" width="6.625" style="2960" customWidth="1"/>
    <col min="15114" max="15114" width="5.5" style="2960" bestFit="1" customWidth="1"/>
    <col min="15115" max="15115" width="16.875" style="2960" customWidth="1"/>
    <col min="15116" max="15116" width="4.875" style="2960" customWidth="1"/>
    <col min="15117" max="15117" width="21.625" style="2960" customWidth="1"/>
    <col min="15118" max="15118" width="19.125" style="2960" bestFit="1" customWidth="1"/>
    <col min="15119" max="15119" width="25.25" style="2960" customWidth="1"/>
    <col min="15120" max="15120" width="9.5" style="2960" bestFit="1" customWidth="1"/>
    <col min="15121" max="15121" width="20.5" style="2960" bestFit="1" customWidth="1"/>
    <col min="15122" max="15363" width="9" style="2960"/>
    <col min="15364" max="15364" width="7.375" style="2960" customWidth="1"/>
    <col min="15365" max="15365" width="25.625" style="2960" customWidth="1"/>
    <col min="15366" max="15366" width="9.75" style="2960" customWidth="1"/>
    <col min="15367" max="15367" width="19.75" style="2960" bestFit="1" customWidth="1"/>
    <col min="15368" max="15368" width="9.25" style="2960" customWidth="1"/>
    <col min="15369" max="15369" width="6.625" style="2960" customWidth="1"/>
    <col min="15370" max="15370" width="5.5" style="2960" bestFit="1" customWidth="1"/>
    <col min="15371" max="15371" width="16.875" style="2960" customWidth="1"/>
    <col min="15372" max="15372" width="4.875" style="2960" customWidth="1"/>
    <col min="15373" max="15373" width="21.625" style="2960" customWidth="1"/>
    <col min="15374" max="15374" width="19.125" style="2960" bestFit="1" customWidth="1"/>
    <col min="15375" max="15375" width="25.25" style="2960" customWidth="1"/>
    <col min="15376" max="15376" width="9.5" style="2960" bestFit="1" customWidth="1"/>
    <col min="15377" max="15377" width="20.5" style="2960" bestFit="1" customWidth="1"/>
    <col min="15378" max="15619" width="9" style="2960"/>
    <col min="15620" max="15620" width="7.375" style="2960" customWidth="1"/>
    <col min="15621" max="15621" width="25.625" style="2960" customWidth="1"/>
    <col min="15622" max="15622" width="9.75" style="2960" customWidth="1"/>
    <col min="15623" max="15623" width="19.75" style="2960" bestFit="1" customWidth="1"/>
    <col min="15624" max="15624" width="9.25" style="2960" customWidth="1"/>
    <col min="15625" max="15625" width="6.625" style="2960" customWidth="1"/>
    <col min="15626" max="15626" width="5.5" style="2960" bestFit="1" customWidth="1"/>
    <col min="15627" max="15627" width="16.875" style="2960" customWidth="1"/>
    <col min="15628" max="15628" width="4.875" style="2960" customWidth="1"/>
    <col min="15629" max="15629" width="21.625" style="2960" customWidth="1"/>
    <col min="15630" max="15630" width="19.125" style="2960" bestFit="1" customWidth="1"/>
    <col min="15631" max="15631" width="25.25" style="2960" customWidth="1"/>
    <col min="15632" max="15632" width="9.5" style="2960" bestFit="1" customWidth="1"/>
    <col min="15633" max="15633" width="20.5" style="2960" bestFit="1" customWidth="1"/>
    <col min="15634" max="15875" width="9" style="2960"/>
    <col min="15876" max="15876" width="7.375" style="2960" customWidth="1"/>
    <col min="15877" max="15877" width="25.625" style="2960" customWidth="1"/>
    <col min="15878" max="15878" width="9.75" style="2960" customWidth="1"/>
    <col min="15879" max="15879" width="19.75" style="2960" bestFit="1" customWidth="1"/>
    <col min="15880" max="15880" width="9.25" style="2960" customWidth="1"/>
    <col min="15881" max="15881" width="6.625" style="2960" customWidth="1"/>
    <col min="15882" max="15882" width="5.5" style="2960" bestFit="1" customWidth="1"/>
    <col min="15883" max="15883" width="16.875" style="2960" customWidth="1"/>
    <col min="15884" max="15884" width="4.875" style="2960" customWidth="1"/>
    <col min="15885" max="15885" width="21.625" style="2960" customWidth="1"/>
    <col min="15886" max="15886" width="19.125" style="2960" bestFit="1" customWidth="1"/>
    <col min="15887" max="15887" width="25.25" style="2960" customWidth="1"/>
    <col min="15888" max="15888" width="9.5" style="2960" bestFit="1" customWidth="1"/>
    <col min="15889" max="15889" width="20.5" style="2960" bestFit="1" customWidth="1"/>
    <col min="15890" max="16131" width="9" style="2960"/>
    <col min="16132" max="16132" width="7.375" style="2960" customWidth="1"/>
    <col min="16133" max="16133" width="25.625" style="2960" customWidth="1"/>
    <col min="16134" max="16134" width="9.75" style="2960" customWidth="1"/>
    <col min="16135" max="16135" width="19.75" style="2960" bestFit="1" customWidth="1"/>
    <col min="16136" max="16136" width="9.25" style="2960" customWidth="1"/>
    <col min="16137" max="16137" width="6.625" style="2960" customWidth="1"/>
    <col min="16138" max="16138" width="5.5" style="2960" bestFit="1" customWidth="1"/>
    <col min="16139" max="16139" width="16.875" style="2960" customWidth="1"/>
    <col min="16140" max="16140" width="4.875" style="2960" customWidth="1"/>
    <col min="16141" max="16141" width="21.625" style="2960" customWidth="1"/>
    <col min="16142" max="16142" width="19.125" style="2960" bestFit="1" customWidth="1"/>
    <col min="16143" max="16143" width="25.25" style="2960" customWidth="1"/>
    <col min="16144" max="16144" width="9.5" style="2960" bestFit="1" customWidth="1"/>
    <col min="16145" max="16145" width="20.5" style="2960" bestFit="1" customWidth="1"/>
    <col min="16146" max="16384" width="9" style="2960"/>
  </cols>
  <sheetData>
    <row r="1" spans="1:19" ht="31.5" customHeight="1">
      <c r="A1" s="2958"/>
      <c r="B1" s="3410" t="s">
        <v>3304</v>
      </c>
      <c r="C1" s="3411"/>
      <c r="D1" s="3411"/>
      <c r="E1" s="3411"/>
      <c r="F1" s="3411"/>
      <c r="G1" s="3411"/>
      <c r="H1" s="3411"/>
      <c r="I1" s="3411"/>
      <c r="J1" s="3411"/>
      <c r="K1" s="3411"/>
      <c r="L1" s="3411"/>
      <c r="M1" s="3411"/>
      <c r="N1" s="3411"/>
      <c r="O1" s="3411"/>
      <c r="P1" s="3411"/>
      <c r="Q1" s="3411"/>
      <c r="R1" s="2959"/>
      <c r="S1" s="2959"/>
    </row>
    <row r="2" spans="1:19">
      <c r="A2" s="2961" t="s">
        <v>3097</v>
      </c>
      <c r="B2" s="2962" t="s">
        <v>3098</v>
      </c>
      <c r="C2" s="2962" t="s">
        <v>3099</v>
      </c>
      <c r="D2" s="2962" t="s">
        <v>3100</v>
      </c>
      <c r="E2" s="2962" t="s">
        <v>3244</v>
      </c>
      <c r="F2" s="2962" t="s">
        <v>3101</v>
      </c>
      <c r="G2" s="2962" t="s">
        <v>3102</v>
      </c>
      <c r="H2" s="2962" t="s">
        <v>3103</v>
      </c>
      <c r="I2" s="2962" t="s">
        <v>3104</v>
      </c>
      <c r="J2" s="2962" t="s">
        <v>3105</v>
      </c>
      <c r="K2" s="2962" t="s">
        <v>3106</v>
      </c>
      <c r="L2" s="2962"/>
      <c r="M2" s="2963" t="s">
        <v>3107</v>
      </c>
      <c r="N2" s="3041" t="s">
        <v>3243</v>
      </c>
      <c r="O2" s="2962" t="s">
        <v>3108</v>
      </c>
      <c r="P2" s="2962" t="s">
        <v>3109</v>
      </c>
      <c r="Q2" s="2962" t="s">
        <v>3110</v>
      </c>
      <c r="R2" s="2960" t="s">
        <v>3281</v>
      </c>
    </row>
    <row r="3" spans="1:19" ht="67.5">
      <c r="A3" s="3412" t="s">
        <v>3111</v>
      </c>
      <c r="B3" s="2964" t="s">
        <v>3112</v>
      </c>
      <c r="C3" s="2964">
        <v>4100</v>
      </c>
      <c r="D3" s="3412" t="s">
        <v>3076</v>
      </c>
      <c r="E3" s="2964">
        <f t="shared" ref="E3:E10" si="0">ROUND(C3/$C$12*$F$3,0)</f>
        <v>4982</v>
      </c>
      <c r="F3" s="3412">
        <v>36541.65</v>
      </c>
      <c r="G3" s="3412" t="s">
        <v>3113</v>
      </c>
      <c r="H3" s="2964" t="s">
        <v>3114</v>
      </c>
      <c r="I3" s="2962" t="s">
        <v>3115</v>
      </c>
      <c r="J3" s="2962" t="s">
        <v>3116</v>
      </c>
      <c r="K3" s="2962" t="s">
        <v>3117</v>
      </c>
      <c r="L3" s="2962">
        <f t="shared" ref="L3:L11" si="1">ROUND(M3/C3/365,1)</f>
        <v>2</v>
      </c>
      <c r="M3" s="2963">
        <v>3000000</v>
      </c>
      <c r="N3" s="3041">
        <f>ROUND(2.121*C3*365/10000,0)</f>
        <v>317</v>
      </c>
      <c r="O3" s="2962" t="s">
        <v>3118</v>
      </c>
      <c r="P3" s="2962" t="s">
        <v>3119</v>
      </c>
      <c r="Q3" s="2962" t="s">
        <v>3120</v>
      </c>
      <c r="R3" s="2960">
        <f>0.05/3</f>
        <v>1.6666666666666666E-2</v>
      </c>
    </row>
    <row r="4" spans="1:19" ht="33.75">
      <c r="A4" s="3412"/>
      <c r="B4" s="2964" t="s">
        <v>3121</v>
      </c>
      <c r="C4" s="2964">
        <v>4383</v>
      </c>
      <c r="D4" s="3412"/>
      <c r="E4" s="2964">
        <f t="shared" si="0"/>
        <v>5326</v>
      </c>
      <c r="F4" s="3412"/>
      <c r="G4" s="3412"/>
      <c r="H4" s="2964" t="s">
        <v>3122</v>
      </c>
      <c r="I4" s="2962" t="s">
        <v>3123</v>
      </c>
      <c r="J4" s="2962" t="s">
        <v>3039</v>
      </c>
      <c r="K4" s="2962" t="s">
        <v>3124</v>
      </c>
      <c r="L4" s="2962">
        <f t="shared" si="1"/>
        <v>2.8</v>
      </c>
      <c r="M4" s="2963">
        <v>4450000</v>
      </c>
      <c r="N4" s="3041">
        <f>ROUND(2.78*C4*365/10000,0)</f>
        <v>445</v>
      </c>
      <c r="O4" s="2962" t="s">
        <v>3125</v>
      </c>
      <c r="P4" s="2962" t="s">
        <v>3126</v>
      </c>
      <c r="Q4" s="2962" t="s">
        <v>3127</v>
      </c>
      <c r="R4" s="2960">
        <v>0</v>
      </c>
    </row>
    <row r="5" spans="1:19" ht="26.25" customHeight="1">
      <c r="A5" s="3412"/>
      <c r="B5" s="2964" t="s">
        <v>3121</v>
      </c>
      <c r="C5" s="2964">
        <v>900</v>
      </c>
      <c r="D5" s="3412"/>
      <c r="E5" s="2964">
        <f t="shared" si="0"/>
        <v>1094</v>
      </c>
      <c r="F5" s="3412"/>
      <c r="G5" s="3412"/>
      <c r="H5" s="2964"/>
      <c r="I5" s="2962" t="s">
        <v>3128</v>
      </c>
      <c r="J5" s="2962" t="s">
        <v>3129</v>
      </c>
      <c r="K5" s="2962" t="s">
        <v>3130</v>
      </c>
      <c r="L5" s="2962">
        <f t="shared" si="1"/>
        <v>1.9</v>
      </c>
      <c r="M5" s="2963">
        <v>637300</v>
      </c>
      <c r="N5" s="3041">
        <f>ROUND(M5/10000,0)</f>
        <v>64</v>
      </c>
      <c r="O5" s="2962" t="s">
        <v>3131</v>
      </c>
      <c r="P5" s="2962" t="s">
        <v>3132</v>
      </c>
      <c r="Q5" s="2962"/>
      <c r="R5" s="2960">
        <v>0</v>
      </c>
    </row>
    <row r="6" spans="1:19" ht="67.5">
      <c r="A6" s="3412"/>
      <c r="B6" s="2964" t="s">
        <v>3133</v>
      </c>
      <c r="C6" s="2964">
        <v>4590</v>
      </c>
      <c r="D6" s="3412"/>
      <c r="E6" s="2964">
        <f t="shared" si="0"/>
        <v>5577</v>
      </c>
      <c r="F6" s="3412"/>
      <c r="G6" s="2964" t="s">
        <v>3134</v>
      </c>
      <c r="H6" s="2964" t="s">
        <v>3114</v>
      </c>
      <c r="I6" s="2962" t="s">
        <v>3135</v>
      </c>
      <c r="J6" s="2962" t="s">
        <v>3136</v>
      </c>
      <c r="K6" s="2965" t="s">
        <v>3137</v>
      </c>
      <c r="L6" s="2962">
        <f t="shared" si="1"/>
        <v>2.4</v>
      </c>
      <c r="M6" s="2963">
        <v>4100000</v>
      </c>
      <c r="N6" s="3041">
        <f>ROUND(2.52*C6*365/10000,0)</f>
        <v>422</v>
      </c>
      <c r="O6" s="2962" t="s">
        <v>3138</v>
      </c>
      <c r="P6" s="2962" t="s">
        <v>3139</v>
      </c>
      <c r="Q6" s="2962" t="s">
        <v>3140</v>
      </c>
      <c r="R6" s="2960">
        <f>0.03/3</f>
        <v>0.01</v>
      </c>
    </row>
    <row r="7" spans="1:19" s="2970" customFormat="1" ht="26.25" customHeight="1">
      <c r="A7" s="3412"/>
      <c r="B7" s="2966" t="s">
        <v>3141</v>
      </c>
      <c r="C7" s="2967">
        <v>5000</v>
      </c>
      <c r="D7" s="3412"/>
      <c r="E7" s="2964">
        <f t="shared" si="0"/>
        <v>6075</v>
      </c>
      <c r="F7" s="3412"/>
      <c r="G7" s="2967" t="s">
        <v>3142</v>
      </c>
      <c r="H7" s="2966" t="s">
        <v>3143</v>
      </c>
      <c r="I7" s="2968" t="s">
        <v>3144</v>
      </c>
      <c r="J7" s="2968" t="s">
        <v>3145</v>
      </c>
      <c r="K7" s="2968"/>
      <c r="L7" s="2962">
        <f t="shared" si="1"/>
        <v>2</v>
      </c>
      <c r="M7" s="2969">
        <v>3600000</v>
      </c>
      <c r="N7" s="3041">
        <f>ROUND(M7/10000,0)</f>
        <v>360</v>
      </c>
      <c r="O7" s="2968"/>
      <c r="P7" s="2966">
        <v>0</v>
      </c>
      <c r="Q7" s="2968"/>
      <c r="R7" s="2970">
        <v>0</v>
      </c>
    </row>
    <row r="8" spans="1:19" ht="26.25" customHeight="1">
      <c r="A8" s="3412" t="s">
        <v>3079</v>
      </c>
      <c r="B8" s="2964" t="s">
        <v>3146</v>
      </c>
      <c r="C8" s="2964">
        <v>2952.45</v>
      </c>
      <c r="D8" s="3412"/>
      <c r="E8" s="2964">
        <f t="shared" si="0"/>
        <v>3587</v>
      </c>
      <c r="F8" s="3412"/>
      <c r="G8" s="3412" t="s">
        <v>3147</v>
      </c>
      <c r="H8" s="2964" t="s">
        <v>3148</v>
      </c>
      <c r="I8" s="2962" t="s">
        <v>3149</v>
      </c>
      <c r="J8" s="2962" t="s">
        <v>3039</v>
      </c>
      <c r="K8" s="2962" t="s">
        <v>3150</v>
      </c>
      <c r="L8" s="2962">
        <f t="shared" si="1"/>
        <v>3</v>
      </c>
      <c r="M8" s="2963">
        <v>3234000</v>
      </c>
      <c r="N8" s="3041">
        <f>ROUND(M8/10000,0)</f>
        <v>323</v>
      </c>
      <c r="O8" s="2962" t="s">
        <v>3151</v>
      </c>
      <c r="P8" s="2962">
        <v>0</v>
      </c>
      <c r="Q8" s="2962" t="s">
        <v>3152</v>
      </c>
      <c r="R8" s="2960">
        <v>0</v>
      </c>
    </row>
    <row r="9" spans="1:19" ht="26.25" customHeight="1">
      <c r="A9" s="3412"/>
      <c r="B9" s="2964" t="s">
        <v>3153</v>
      </c>
      <c r="C9" s="2964">
        <v>4068.25</v>
      </c>
      <c r="D9" s="3412"/>
      <c r="E9" s="2964">
        <f t="shared" si="0"/>
        <v>4943</v>
      </c>
      <c r="F9" s="3412"/>
      <c r="G9" s="3412"/>
      <c r="H9" s="2964" t="s">
        <v>3148</v>
      </c>
      <c r="I9" s="2962" t="s">
        <v>3154</v>
      </c>
      <c r="J9" s="2962" t="s">
        <v>3039</v>
      </c>
      <c r="K9" s="2962" t="s">
        <v>3155</v>
      </c>
      <c r="L9" s="2962">
        <f t="shared" si="1"/>
        <v>2.6</v>
      </c>
      <c r="M9" s="2963">
        <v>3864000</v>
      </c>
      <c r="N9" s="3041">
        <f>ROUND(M9/10000,0)</f>
        <v>386</v>
      </c>
      <c r="O9" s="2962" t="s">
        <v>3156</v>
      </c>
      <c r="P9" s="2962">
        <v>0</v>
      </c>
      <c r="Q9" s="2962" t="s">
        <v>3157</v>
      </c>
      <c r="R9" s="2960">
        <v>0</v>
      </c>
    </row>
    <row r="10" spans="1:19" ht="26.25" customHeight="1">
      <c r="A10" s="3412"/>
      <c r="B10" s="2964" t="s">
        <v>3158</v>
      </c>
      <c r="C10" s="2964">
        <v>2485.98</v>
      </c>
      <c r="D10" s="3412"/>
      <c r="E10" s="2964">
        <f t="shared" si="0"/>
        <v>3021</v>
      </c>
      <c r="F10" s="3412"/>
      <c r="G10" s="3412" t="s">
        <v>3159</v>
      </c>
      <c r="H10" s="2964" t="s">
        <v>3148</v>
      </c>
      <c r="I10" s="2962" t="s">
        <v>3149</v>
      </c>
      <c r="J10" s="2962" t="s">
        <v>3039</v>
      </c>
      <c r="K10" s="2962" t="s">
        <v>3160</v>
      </c>
      <c r="L10" s="2962">
        <f t="shared" si="1"/>
        <v>3.3</v>
      </c>
      <c r="M10" s="2963">
        <v>2982000</v>
      </c>
      <c r="N10" s="3041">
        <f>ROUND(M10/10000,0)</f>
        <v>298</v>
      </c>
      <c r="O10" s="2962" t="s">
        <v>3151</v>
      </c>
      <c r="P10" s="2962">
        <v>0</v>
      </c>
      <c r="Q10" s="2962" t="s">
        <v>3161</v>
      </c>
      <c r="R10" s="2960">
        <v>0</v>
      </c>
    </row>
    <row r="11" spans="1:19" ht="26.25" customHeight="1">
      <c r="A11" s="3412"/>
      <c r="B11" s="2964" t="s">
        <v>3162</v>
      </c>
      <c r="C11" s="2964">
        <v>1594.81</v>
      </c>
      <c r="D11" s="3412"/>
      <c r="E11" s="2964">
        <f>F12-E12</f>
        <v>1936.6500000000015</v>
      </c>
      <c r="F11" s="3412"/>
      <c r="G11" s="3412"/>
      <c r="H11" s="2964" t="s">
        <v>3148</v>
      </c>
      <c r="I11" s="2994" t="s">
        <v>3149</v>
      </c>
      <c r="J11" s="2962" t="s">
        <v>3039</v>
      </c>
      <c r="K11" s="2962" t="s">
        <v>3163</v>
      </c>
      <c r="L11" s="2962">
        <f t="shared" si="1"/>
        <v>2.5</v>
      </c>
      <c r="M11" s="2963">
        <v>1428000</v>
      </c>
      <c r="N11" s="3041">
        <f>ROUND(M11/10000,0)</f>
        <v>143</v>
      </c>
      <c r="O11" s="2962" t="s">
        <v>3164</v>
      </c>
      <c r="P11" s="2962">
        <v>0</v>
      </c>
      <c r="Q11" s="2962" t="s">
        <v>3165</v>
      </c>
      <c r="R11" s="2960">
        <v>0</v>
      </c>
    </row>
    <row r="12" spans="1:19" s="2976" customFormat="1" ht="26.25" customHeight="1">
      <c r="A12" s="2971"/>
      <c r="B12" s="2972" t="s">
        <v>37</v>
      </c>
      <c r="C12" s="2973">
        <f>SUM(C3:C11)</f>
        <v>30074.49</v>
      </c>
      <c r="D12" s="2973"/>
      <c r="E12" s="2973">
        <f>SUM(E3:E10)</f>
        <v>34605</v>
      </c>
      <c r="F12" s="2973">
        <v>36541.65</v>
      </c>
      <c r="G12" s="2973"/>
      <c r="H12" s="2972"/>
      <c r="I12" s="2974"/>
      <c r="J12" s="2974"/>
      <c r="K12" s="2974"/>
      <c r="L12" s="2962" t="s">
        <v>3280</v>
      </c>
      <c r="M12" s="2975">
        <f>SUM(M3:M11)</f>
        <v>27295300</v>
      </c>
      <c r="N12" s="3042"/>
      <c r="O12" s="2974"/>
      <c r="P12" s="2972"/>
      <c r="Q12" s="2974"/>
    </row>
    <row r="13" spans="1:19" ht="26.25" customHeight="1">
      <c r="A13" s="2977"/>
      <c r="B13" s="2964" t="s">
        <v>3166</v>
      </c>
      <c r="C13" s="2964">
        <v>8340.06</v>
      </c>
      <c r="D13" s="2964" t="s">
        <v>3073</v>
      </c>
      <c r="E13" s="2964">
        <f>F13</f>
        <v>8078.12</v>
      </c>
      <c r="F13" s="2964">
        <v>8078.12</v>
      </c>
      <c r="G13" s="2964" t="s">
        <v>3167</v>
      </c>
      <c r="H13" s="2964" t="s">
        <v>3168</v>
      </c>
      <c r="I13" s="2962" t="s">
        <v>3169</v>
      </c>
      <c r="J13" s="2962" t="s">
        <v>3170</v>
      </c>
      <c r="K13" s="2962" t="s">
        <v>3171</v>
      </c>
      <c r="L13" s="2962">
        <f>ROUND(M13/C13/365,1)</f>
        <v>3.9</v>
      </c>
      <c r="M13" s="2963">
        <v>12000000</v>
      </c>
      <c r="N13" s="3041">
        <f>ROUND(M13*(1+10%)^5/10000,0)</f>
        <v>1933</v>
      </c>
      <c r="O13" s="2962" t="s">
        <v>3172</v>
      </c>
      <c r="P13" s="2962">
        <v>2000000</v>
      </c>
      <c r="Q13" s="2962" t="s">
        <v>3173</v>
      </c>
      <c r="R13" s="2960">
        <v>0.1</v>
      </c>
    </row>
    <row r="14" spans="1:19" s="2981" customFormat="1" ht="26.25" customHeight="1">
      <c r="A14" s="2978"/>
      <c r="B14" s="2979" t="s">
        <v>37</v>
      </c>
      <c r="C14" s="2979">
        <f>C13</f>
        <v>8340.06</v>
      </c>
      <c r="D14" s="2979"/>
      <c r="E14" s="2979"/>
      <c r="F14" s="2979">
        <f>F13</f>
        <v>8078.12</v>
      </c>
      <c r="G14" s="2979"/>
      <c r="H14" s="2979"/>
      <c r="I14" s="2979"/>
      <c r="J14" s="2979"/>
      <c r="K14" s="2979"/>
      <c r="L14" s="2962" t="s">
        <v>3280</v>
      </c>
      <c r="M14" s="2980">
        <f>M13</f>
        <v>12000000</v>
      </c>
      <c r="N14" s="3043"/>
      <c r="O14" s="2979"/>
      <c r="P14" s="2979"/>
      <c r="Q14" s="2979"/>
    </row>
    <row r="15" spans="1:19" s="2985" customFormat="1" ht="26.25" customHeight="1">
      <c r="A15" s="3407" t="s">
        <v>3174</v>
      </c>
      <c r="B15" s="2982" t="s">
        <v>3175</v>
      </c>
      <c r="C15" s="2982">
        <v>1768.93</v>
      </c>
      <c r="D15" s="3408" t="s">
        <v>3176</v>
      </c>
      <c r="E15" s="2989"/>
      <c r="F15" s="3408">
        <v>15438.1</v>
      </c>
      <c r="G15" s="3409" t="s">
        <v>3177</v>
      </c>
      <c r="H15" s="2982" t="s">
        <v>3168</v>
      </c>
      <c r="I15" s="2982" t="s">
        <v>3178</v>
      </c>
      <c r="J15" s="2982" t="s">
        <v>3039</v>
      </c>
      <c r="K15" s="2982">
        <v>6.9</v>
      </c>
      <c r="L15" s="3056"/>
      <c r="M15" s="2983">
        <f>C15*K15*365</f>
        <v>4455050.2050000001</v>
      </c>
      <c r="N15" s="3041" t="s">
        <v>3245</v>
      </c>
      <c r="O15" s="2982" t="s">
        <v>3131</v>
      </c>
      <c r="P15" s="2982">
        <v>0</v>
      </c>
      <c r="Q15" s="2984" t="s">
        <v>3179</v>
      </c>
    </row>
    <row r="16" spans="1:19" s="2985" customFormat="1" ht="26.25" customHeight="1">
      <c r="A16" s="3407"/>
      <c r="B16" s="2982" t="s">
        <v>3180</v>
      </c>
      <c r="C16" s="2982">
        <v>1345</v>
      </c>
      <c r="D16" s="3408"/>
      <c r="E16" s="2989"/>
      <c r="F16" s="3408"/>
      <c r="G16" s="3409"/>
      <c r="H16" s="2982" t="s">
        <v>3168</v>
      </c>
      <c r="I16" s="2982" t="s">
        <v>3181</v>
      </c>
      <c r="J16" s="2982" t="s">
        <v>3039</v>
      </c>
      <c r="K16" s="2982">
        <v>7.2</v>
      </c>
      <c r="L16" s="3056"/>
      <c r="M16" s="2983">
        <f t="shared" ref="M16:M23" si="2">C16*K16*365</f>
        <v>3534660</v>
      </c>
      <c r="N16" s="3044"/>
      <c r="O16" s="2982" t="s">
        <v>3131</v>
      </c>
      <c r="P16" s="2982">
        <v>0</v>
      </c>
      <c r="Q16" s="2984" t="s">
        <v>3179</v>
      </c>
    </row>
    <row r="17" spans="1:18" s="2985" customFormat="1" ht="26.25" customHeight="1">
      <c r="A17" s="3407"/>
      <c r="B17" s="2982" t="s">
        <v>3182</v>
      </c>
      <c r="C17" s="2982">
        <v>1540</v>
      </c>
      <c r="D17" s="3408"/>
      <c r="E17" s="2989"/>
      <c r="F17" s="3408"/>
      <c r="G17" s="3409"/>
      <c r="H17" s="2982" t="s">
        <v>3168</v>
      </c>
      <c r="I17" s="2982" t="s">
        <v>3183</v>
      </c>
      <c r="J17" s="2982" t="s">
        <v>3039</v>
      </c>
      <c r="K17" s="2982">
        <v>7.2</v>
      </c>
      <c r="L17" s="3056"/>
      <c r="M17" s="2983">
        <f t="shared" si="2"/>
        <v>4047120</v>
      </c>
      <c r="N17" s="3044"/>
      <c r="O17" s="2982" t="s">
        <v>3131</v>
      </c>
      <c r="P17" s="2982">
        <v>0</v>
      </c>
      <c r="Q17" s="2984" t="s">
        <v>3184</v>
      </c>
    </row>
    <row r="18" spans="1:18" s="2985" customFormat="1" ht="26.25" customHeight="1">
      <c r="A18" s="3407"/>
      <c r="B18" s="2982" t="s">
        <v>3185</v>
      </c>
      <c r="C18" s="2982">
        <v>1450</v>
      </c>
      <c r="D18" s="3408"/>
      <c r="E18" s="2989"/>
      <c r="F18" s="3408"/>
      <c r="G18" s="3409"/>
      <c r="H18" s="2982" t="s">
        <v>3168</v>
      </c>
      <c r="I18" s="2982" t="s">
        <v>3186</v>
      </c>
      <c r="J18" s="2982" t="s">
        <v>3039</v>
      </c>
      <c r="K18" s="2982">
        <v>7.2</v>
      </c>
      <c r="L18" s="3056"/>
      <c r="M18" s="2983">
        <f t="shared" si="2"/>
        <v>3810600</v>
      </c>
      <c r="N18" s="3044"/>
      <c r="O18" s="2982" t="s">
        <v>3131</v>
      </c>
      <c r="P18" s="2982">
        <v>0</v>
      </c>
      <c r="Q18" s="2984" t="s">
        <v>3184</v>
      </c>
    </row>
    <row r="19" spans="1:18" s="2985" customFormat="1" ht="26.25" customHeight="1">
      <c r="A19" s="3407"/>
      <c r="B19" s="2982" t="s">
        <v>3187</v>
      </c>
      <c r="C19" s="2982">
        <v>1780</v>
      </c>
      <c r="D19" s="3408"/>
      <c r="E19" s="2989"/>
      <c r="F19" s="3408"/>
      <c r="G19" s="3409"/>
      <c r="H19" s="2982" t="s">
        <v>3168</v>
      </c>
      <c r="I19" s="2982" t="s">
        <v>3188</v>
      </c>
      <c r="J19" s="2982" t="s">
        <v>3039</v>
      </c>
      <c r="K19" s="2982">
        <v>7.2</v>
      </c>
      <c r="L19" s="3056"/>
      <c r="M19" s="2983">
        <f t="shared" si="2"/>
        <v>4677840</v>
      </c>
      <c r="N19" s="3044"/>
      <c r="O19" s="2982" t="s">
        <v>3131</v>
      </c>
      <c r="P19" s="2982">
        <v>0</v>
      </c>
      <c r="Q19" s="2984" t="s">
        <v>3189</v>
      </c>
    </row>
    <row r="20" spans="1:18" s="2985" customFormat="1" ht="26.25" customHeight="1">
      <c r="A20" s="3407"/>
      <c r="B20" s="2984" t="s">
        <v>3190</v>
      </c>
      <c r="C20" s="2984">
        <v>1445.67</v>
      </c>
      <c r="D20" s="3408"/>
      <c r="E20" s="2989"/>
      <c r="F20" s="3408"/>
      <c r="G20" s="3409"/>
      <c r="H20" s="2982" t="s">
        <v>3168</v>
      </c>
      <c r="I20" s="2984" t="s">
        <v>3191</v>
      </c>
      <c r="J20" s="2984" t="s">
        <v>3039</v>
      </c>
      <c r="K20" s="2982">
        <v>7.2</v>
      </c>
      <c r="L20" s="3056"/>
      <c r="M20" s="2983">
        <f t="shared" si="2"/>
        <v>3799220.7600000002</v>
      </c>
      <c r="N20" s="3044"/>
      <c r="O20" s="2982" t="s">
        <v>3131</v>
      </c>
      <c r="P20" s="2984">
        <v>0</v>
      </c>
      <c r="Q20" s="2984" t="s">
        <v>3184</v>
      </c>
    </row>
    <row r="21" spans="1:18" s="2985" customFormat="1" ht="26.25" customHeight="1">
      <c r="A21" s="3407"/>
      <c r="B21" s="2984" t="s">
        <v>3192</v>
      </c>
      <c r="C21" s="2984">
        <v>1516.9</v>
      </c>
      <c r="D21" s="3408"/>
      <c r="E21" s="2989"/>
      <c r="F21" s="3408"/>
      <c r="G21" s="3409"/>
      <c r="H21" s="2982" t="s">
        <v>3168</v>
      </c>
      <c r="I21" s="2984" t="s">
        <v>3191</v>
      </c>
      <c r="J21" s="2984" t="s">
        <v>3039</v>
      </c>
      <c r="K21" s="2982">
        <v>7.2</v>
      </c>
      <c r="L21" s="3056"/>
      <c r="M21" s="2983">
        <f t="shared" si="2"/>
        <v>3986413.2</v>
      </c>
      <c r="N21" s="3044"/>
      <c r="O21" s="2982" t="s">
        <v>3131</v>
      </c>
      <c r="P21" s="2984">
        <v>0</v>
      </c>
      <c r="Q21" s="2984" t="s">
        <v>3189</v>
      </c>
    </row>
    <row r="22" spans="1:18" s="2985" customFormat="1" ht="26.25" customHeight="1">
      <c r="A22" s="3407"/>
      <c r="B22" s="2984" t="s">
        <v>3193</v>
      </c>
      <c r="C22" s="2984">
        <v>1423.07</v>
      </c>
      <c r="D22" s="3408"/>
      <c r="E22" s="2989"/>
      <c r="F22" s="3408"/>
      <c r="G22" s="3409"/>
      <c r="H22" s="2982" t="s">
        <v>3168</v>
      </c>
      <c r="I22" s="2984" t="s">
        <v>3191</v>
      </c>
      <c r="J22" s="2984" t="s">
        <v>3039</v>
      </c>
      <c r="K22" s="2982">
        <v>7.2</v>
      </c>
      <c r="L22" s="3056"/>
      <c r="M22" s="2983">
        <f t="shared" si="2"/>
        <v>3739827.96</v>
      </c>
      <c r="N22" s="3044"/>
      <c r="O22" s="2982" t="s">
        <v>3131</v>
      </c>
      <c r="P22" s="2984">
        <v>0</v>
      </c>
      <c r="Q22" s="2984" t="s">
        <v>3179</v>
      </c>
    </row>
    <row r="23" spans="1:18" s="2985" customFormat="1" ht="26.25" customHeight="1">
      <c r="A23" s="3407"/>
      <c r="B23" s="2984" t="s">
        <v>3194</v>
      </c>
      <c r="C23" s="2984">
        <v>938</v>
      </c>
      <c r="D23" s="3408"/>
      <c r="E23" s="2989"/>
      <c r="F23" s="3408"/>
      <c r="G23" s="3409"/>
      <c r="H23" s="2982" t="s">
        <v>3168</v>
      </c>
      <c r="I23" s="2984" t="s">
        <v>3195</v>
      </c>
      <c r="J23" s="2984" t="s">
        <v>3039</v>
      </c>
      <c r="K23" s="2982">
        <v>8.9</v>
      </c>
      <c r="L23" s="3056"/>
      <c r="M23" s="2983">
        <f t="shared" si="2"/>
        <v>3047093.0000000005</v>
      </c>
      <c r="N23" s="3044"/>
      <c r="O23" s="2982" t="s">
        <v>3131</v>
      </c>
      <c r="P23" s="2984">
        <v>0</v>
      </c>
      <c r="Q23" s="2984" t="s">
        <v>3189</v>
      </c>
    </row>
    <row r="24" spans="1:18" ht="50.25" customHeight="1">
      <c r="A24" s="2962" t="s">
        <v>3196</v>
      </c>
      <c r="B24" s="2962" t="s">
        <v>3197</v>
      </c>
      <c r="C24" s="2962">
        <v>2230.5300000000002</v>
      </c>
      <c r="D24" s="3408"/>
      <c r="E24" s="2989">
        <f>C24</f>
        <v>2230.5300000000002</v>
      </c>
      <c r="F24" s="3408"/>
      <c r="G24" s="2962" t="s">
        <v>3198</v>
      </c>
      <c r="H24" s="2962" t="s">
        <v>3199</v>
      </c>
      <c r="I24" s="2962" t="s">
        <v>3200</v>
      </c>
      <c r="J24" s="2962" t="s">
        <v>3201</v>
      </c>
      <c r="K24" s="2962" t="s">
        <v>3202</v>
      </c>
      <c r="L24" s="2962"/>
      <c r="M24" s="2963">
        <v>3818820</v>
      </c>
      <c r="N24" s="3041">
        <f>ROUND(M24/10000,0)</f>
        <v>382</v>
      </c>
      <c r="O24" s="2962" t="s">
        <v>3203</v>
      </c>
      <c r="P24" s="2962">
        <v>954705</v>
      </c>
      <c r="Q24" s="2962" t="s">
        <v>3204</v>
      </c>
      <c r="R24" s="2960">
        <v>0</v>
      </c>
    </row>
    <row r="25" spans="1:18" ht="26.25" customHeight="1">
      <c r="A25" s="2962"/>
      <c r="B25" s="2979" t="s">
        <v>37</v>
      </c>
      <c r="C25" s="2979">
        <f>SUM(C15:C24)</f>
        <v>15438.1</v>
      </c>
      <c r="D25" s="2986">
        <f>F25-C25</f>
        <v>0</v>
      </c>
      <c r="E25" s="2986"/>
      <c r="F25" s="2986">
        <f>F15</f>
        <v>15438.1</v>
      </c>
      <c r="G25" s="2979"/>
      <c r="H25" s="2979"/>
      <c r="I25" s="2979"/>
      <c r="J25" s="2979"/>
      <c r="K25" s="2979"/>
      <c r="L25" s="2979"/>
      <c r="M25" s="2980">
        <f>SUM(M15:M24)</f>
        <v>38916645.125</v>
      </c>
      <c r="N25" s="3043"/>
      <c r="O25" s="2979"/>
      <c r="P25" s="2962"/>
      <c r="Q25" s="2962"/>
    </row>
    <row r="26" spans="1:18" ht="26.25" customHeight="1">
      <c r="A26" s="2962"/>
      <c r="B26" s="2987" t="s">
        <v>3205</v>
      </c>
      <c r="C26" s="2987"/>
      <c r="D26" s="2988"/>
      <c r="E26" s="2988"/>
      <c r="F26" s="2989"/>
      <c r="G26" s="2962"/>
      <c r="H26" s="2987"/>
      <c r="I26" s="2987" t="s">
        <v>3206</v>
      </c>
      <c r="J26" s="2987"/>
      <c r="K26" s="2987"/>
      <c r="L26" s="2987"/>
      <c r="M26" s="2990">
        <v>6000000</v>
      </c>
      <c r="N26" s="3041">
        <v>600</v>
      </c>
      <c r="O26" s="2987" t="s">
        <v>3207</v>
      </c>
      <c r="P26" s="2987">
        <v>6000000</v>
      </c>
      <c r="Q26" s="2987" t="s">
        <v>3208</v>
      </c>
      <c r="R26" s="2960">
        <v>0</v>
      </c>
    </row>
    <row r="27" spans="1:18" ht="26.25" customHeight="1">
      <c r="A27" s="2962"/>
      <c r="B27" s="2962" t="s">
        <v>3209</v>
      </c>
      <c r="C27" s="2962"/>
      <c r="D27" s="2962"/>
      <c r="E27" s="2962"/>
      <c r="F27" s="2962"/>
      <c r="G27" s="2962"/>
      <c r="H27" s="2962"/>
      <c r="I27" s="2962"/>
      <c r="J27" s="2962"/>
      <c r="K27" s="2962"/>
      <c r="L27" s="2962"/>
      <c r="M27" s="2963">
        <v>6000000</v>
      </c>
      <c r="N27" s="3041" t="s">
        <v>3280</v>
      </c>
      <c r="O27" s="2962"/>
      <c r="P27" s="2962"/>
      <c r="Q27" s="2962"/>
    </row>
    <row r="28" spans="1:18" ht="26.25" customHeight="1">
      <c r="A28" s="2961" t="s">
        <v>37</v>
      </c>
      <c r="B28" s="2991"/>
      <c r="C28" s="2987">
        <f>SUM(C7:C25)</f>
        <v>93732.3</v>
      </c>
      <c r="D28" s="2987"/>
      <c r="E28" s="2987"/>
      <c r="F28" s="2987">
        <f>F12+F14+F25</f>
        <v>60057.87</v>
      </c>
      <c r="G28" s="2987"/>
      <c r="H28" s="2991"/>
      <c r="I28" s="2991"/>
      <c r="J28" s="2991"/>
      <c r="K28" s="2991"/>
      <c r="L28" s="2991"/>
      <c r="M28" s="2990">
        <f>M12+M14+M25+M26+M27</f>
        <v>90211945.125</v>
      </c>
      <c r="N28" s="3041"/>
      <c r="O28" s="2991"/>
      <c r="P28" s="2991"/>
      <c r="Q28" s="2991"/>
    </row>
    <row r="29" spans="1:18">
      <c r="C29" s="2960">
        <f>C12+C14+C24</f>
        <v>40645.08</v>
      </c>
    </row>
    <row r="30" spans="1:18" s="2985" customFormat="1">
      <c r="M30" s="2992" t="s">
        <v>3246</v>
      </c>
      <c r="N30" s="3045">
        <f>SUM(N3:N28)</f>
        <v>5673</v>
      </c>
      <c r="R30" s="2985">
        <f>ROUND(C3/C29*R3+C6/C29*R6+C13/C29*R13,3)</f>
        <v>2.3E-2</v>
      </c>
    </row>
    <row r="31" spans="1:18">
      <c r="M31" s="2993" t="s">
        <v>3247</v>
      </c>
      <c r="N31" s="3045">
        <f>'数据-汇总表'!E3</f>
        <v>47850.3</v>
      </c>
    </row>
    <row r="32" spans="1:18">
      <c r="M32" s="2993" t="s">
        <v>3248</v>
      </c>
      <c r="N32" s="3046">
        <f>ROUND(N30*10000/N31/365,1)</f>
        <v>3.2</v>
      </c>
      <c r="O32" s="2993"/>
    </row>
  </sheetData>
  <mergeCells count="12">
    <mergeCell ref="A15:A23"/>
    <mergeCell ref="D15:D24"/>
    <mergeCell ref="F15:F24"/>
    <mergeCell ref="G15:G23"/>
    <mergeCell ref="B1:Q1"/>
    <mergeCell ref="A3:A7"/>
    <mergeCell ref="D3:D11"/>
    <mergeCell ref="F3:F11"/>
    <mergeCell ref="G3:G5"/>
    <mergeCell ref="A8:A11"/>
    <mergeCell ref="G8:G9"/>
    <mergeCell ref="G10:G11"/>
  </mergeCells>
  <phoneticPr fontId="143" type="noConversion"/>
  <pageMargins left="0.75" right="0.75" top="0.98" bottom="0.98" header="0.51" footer="0.51"/>
  <pageSetup paperSize="9" scale="53"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E19" sqref="E19"/>
    </sheetView>
  </sheetViews>
  <sheetFormatPr defaultRowHeight="20.25" customHeight="1"/>
  <cols>
    <col min="1" max="1" width="14.25" style="2997" customWidth="1"/>
    <col min="2" max="2" width="18.75" style="2997" customWidth="1"/>
    <col min="3" max="5" width="14.25" style="2997" customWidth="1"/>
    <col min="6" max="6" width="11" style="2997" customWidth="1"/>
    <col min="7" max="7" width="9" style="2997"/>
    <col min="8" max="8" width="13.75" style="2997" customWidth="1"/>
    <col min="9" max="256" width="9" style="2997"/>
    <col min="257" max="257" width="14.25" style="2997" customWidth="1"/>
    <col min="258" max="258" width="18.75" style="2997" customWidth="1"/>
    <col min="259" max="261" width="14.25" style="2997" customWidth="1"/>
    <col min="262" max="262" width="11" style="2997" customWidth="1"/>
    <col min="263" max="263" width="9" style="2997"/>
    <col min="264" max="264" width="13.75" style="2997" customWidth="1"/>
    <col min="265" max="512" width="9" style="2997"/>
    <col min="513" max="513" width="14.25" style="2997" customWidth="1"/>
    <col min="514" max="514" width="18.75" style="2997" customWidth="1"/>
    <col min="515" max="517" width="14.25" style="2997" customWidth="1"/>
    <col min="518" max="518" width="11" style="2997" customWidth="1"/>
    <col min="519" max="519" width="9" style="2997"/>
    <col min="520" max="520" width="13.75" style="2997" customWidth="1"/>
    <col min="521" max="768" width="9" style="2997"/>
    <col min="769" max="769" width="14.25" style="2997" customWidth="1"/>
    <col min="770" max="770" width="18.75" style="2997" customWidth="1"/>
    <col min="771" max="773" width="14.25" style="2997" customWidth="1"/>
    <col min="774" max="774" width="11" style="2997" customWidth="1"/>
    <col min="775" max="775" width="9" style="2997"/>
    <col min="776" max="776" width="13.75" style="2997" customWidth="1"/>
    <col min="777" max="1024" width="9" style="2997"/>
    <col min="1025" max="1025" width="14.25" style="2997" customWidth="1"/>
    <col min="1026" max="1026" width="18.75" style="2997" customWidth="1"/>
    <col min="1027" max="1029" width="14.25" style="2997" customWidth="1"/>
    <col min="1030" max="1030" width="11" style="2997" customWidth="1"/>
    <col min="1031" max="1031" width="9" style="2997"/>
    <col min="1032" max="1032" width="13.75" style="2997" customWidth="1"/>
    <col min="1033" max="1280" width="9" style="2997"/>
    <col min="1281" max="1281" width="14.25" style="2997" customWidth="1"/>
    <col min="1282" max="1282" width="18.75" style="2997" customWidth="1"/>
    <col min="1283" max="1285" width="14.25" style="2997" customWidth="1"/>
    <col min="1286" max="1286" width="11" style="2997" customWidth="1"/>
    <col min="1287" max="1287" width="9" style="2997"/>
    <col min="1288" max="1288" width="13.75" style="2997" customWidth="1"/>
    <col min="1289" max="1536" width="9" style="2997"/>
    <col min="1537" max="1537" width="14.25" style="2997" customWidth="1"/>
    <col min="1538" max="1538" width="18.75" style="2997" customWidth="1"/>
    <col min="1539" max="1541" width="14.25" style="2997" customWidth="1"/>
    <col min="1542" max="1542" width="11" style="2997" customWidth="1"/>
    <col min="1543" max="1543" width="9" style="2997"/>
    <col min="1544" max="1544" width="13.75" style="2997" customWidth="1"/>
    <col min="1545" max="1792" width="9" style="2997"/>
    <col min="1793" max="1793" width="14.25" style="2997" customWidth="1"/>
    <col min="1794" max="1794" width="18.75" style="2997" customWidth="1"/>
    <col min="1795" max="1797" width="14.25" style="2997" customWidth="1"/>
    <col min="1798" max="1798" width="11" style="2997" customWidth="1"/>
    <col min="1799" max="1799" width="9" style="2997"/>
    <col min="1800" max="1800" width="13.75" style="2997" customWidth="1"/>
    <col min="1801" max="2048" width="9" style="2997"/>
    <col min="2049" max="2049" width="14.25" style="2997" customWidth="1"/>
    <col min="2050" max="2050" width="18.75" style="2997" customWidth="1"/>
    <col min="2051" max="2053" width="14.25" style="2997" customWidth="1"/>
    <col min="2054" max="2054" width="11" style="2997" customWidth="1"/>
    <col min="2055" max="2055" width="9" style="2997"/>
    <col min="2056" max="2056" width="13.75" style="2997" customWidth="1"/>
    <col min="2057" max="2304" width="9" style="2997"/>
    <col min="2305" max="2305" width="14.25" style="2997" customWidth="1"/>
    <col min="2306" max="2306" width="18.75" style="2997" customWidth="1"/>
    <col min="2307" max="2309" width="14.25" style="2997" customWidth="1"/>
    <col min="2310" max="2310" width="11" style="2997" customWidth="1"/>
    <col min="2311" max="2311" width="9" style="2997"/>
    <col min="2312" max="2312" width="13.75" style="2997" customWidth="1"/>
    <col min="2313" max="2560" width="9" style="2997"/>
    <col min="2561" max="2561" width="14.25" style="2997" customWidth="1"/>
    <col min="2562" max="2562" width="18.75" style="2997" customWidth="1"/>
    <col min="2563" max="2565" width="14.25" style="2997" customWidth="1"/>
    <col min="2566" max="2566" width="11" style="2997" customWidth="1"/>
    <col min="2567" max="2567" width="9" style="2997"/>
    <col min="2568" max="2568" width="13.75" style="2997" customWidth="1"/>
    <col min="2569" max="2816" width="9" style="2997"/>
    <col min="2817" max="2817" width="14.25" style="2997" customWidth="1"/>
    <col min="2818" max="2818" width="18.75" style="2997" customWidth="1"/>
    <col min="2819" max="2821" width="14.25" style="2997" customWidth="1"/>
    <col min="2822" max="2822" width="11" style="2997" customWidth="1"/>
    <col min="2823" max="2823" width="9" style="2997"/>
    <col min="2824" max="2824" width="13.75" style="2997" customWidth="1"/>
    <col min="2825" max="3072" width="9" style="2997"/>
    <col min="3073" max="3073" width="14.25" style="2997" customWidth="1"/>
    <col min="3074" max="3074" width="18.75" style="2997" customWidth="1"/>
    <col min="3075" max="3077" width="14.25" style="2997" customWidth="1"/>
    <col min="3078" max="3078" width="11" style="2997" customWidth="1"/>
    <col min="3079" max="3079" width="9" style="2997"/>
    <col min="3080" max="3080" width="13.75" style="2997" customWidth="1"/>
    <col min="3081" max="3328" width="9" style="2997"/>
    <col min="3329" max="3329" width="14.25" style="2997" customWidth="1"/>
    <col min="3330" max="3330" width="18.75" style="2997" customWidth="1"/>
    <col min="3331" max="3333" width="14.25" style="2997" customWidth="1"/>
    <col min="3334" max="3334" width="11" style="2997" customWidth="1"/>
    <col min="3335" max="3335" width="9" style="2997"/>
    <col min="3336" max="3336" width="13.75" style="2997" customWidth="1"/>
    <col min="3337" max="3584" width="9" style="2997"/>
    <col min="3585" max="3585" width="14.25" style="2997" customWidth="1"/>
    <col min="3586" max="3586" width="18.75" style="2997" customWidth="1"/>
    <col min="3587" max="3589" width="14.25" style="2997" customWidth="1"/>
    <col min="3590" max="3590" width="11" style="2997" customWidth="1"/>
    <col min="3591" max="3591" width="9" style="2997"/>
    <col min="3592" max="3592" width="13.75" style="2997" customWidth="1"/>
    <col min="3593" max="3840" width="9" style="2997"/>
    <col min="3841" max="3841" width="14.25" style="2997" customWidth="1"/>
    <col min="3842" max="3842" width="18.75" style="2997" customWidth="1"/>
    <col min="3843" max="3845" width="14.25" style="2997" customWidth="1"/>
    <col min="3846" max="3846" width="11" style="2997" customWidth="1"/>
    <col min="3847" max="3847" width="9" style="2997"/>
    <col min="3848" max="3848" width="13.75" style="2997" customWidth="1"/>
    <col min="3849" max="4096" width="9" style="2997"/>
    <col min="4097" max="4097" width="14.25" style="2997" customWidth="1"/>
    <col min="4098" max="4098" width="18.75" style="2997" customWidth="1"/>
    <col min="4099" max="4101" width="14.25" style="2997" customWidth="1"/>
    <col min="4102" max="4102" width="11" style="2997" customWidth="1"/>
    <col min="4103" max="4103" width="9" style="2997"/>
    <col min="4104" max="4104" width="13.75" style="2997" customWidth="1"/>
    <col min="4105" max="4352" width="9" style="2997"/>
    <col min="4353" max="4353" width="14.25" style="2997" customWidth="1"/>
    <col min="4354" max="4354" width="18.75" style="2997" customWidth="1"/>
    <col min="4355" max="4357" width="14.25" style="2997" customWidth="1"/>
    <col min="4358" max="4358" width="11" style="2997" customWidth="1"/>
    <col min="4359" max="4359" width="9" style="2997"/>
    <col min="4360" max="4360" width="13.75" style="2997" customWidth="1"/>
    <col min="4361" max="4608" width="9" style="2997"/>
    <col min="4609" max="4609" width="14.25" style="2997" customWidth="1"/>
    <col min="4610" max="4610" width="18.75" style="2997" customWidth="1"/>
    <col min="4611" max="4613" width="14.25" style="2997" customWidth="1"/>
    <col min="4614" max="4614" width="11" style="2997" customWidth="1"/>
    <col min="4615" max="4615" width="9" style="2997"/>
    <col min="4616" max="4616" width="13.75" style="2997" customWidth="1"/>
    <col min="4617" max="4864" width="9" style="2997"/>
    <col min="4865" max="4865" width="14.25" style="2997" customWidth="1"/>
    <col min="4866" max="4866" width="18.75" style="2997" customWidth="1"/>
    <col min="4867" max="4869" width="14.25" style="2997" customWidth="1"/>
    <col min="4870" max="4870" width="11" style="2997" customWidth="1"/>
    <col min="4871" max="4871" width="9" style="2997"/>
    <col min="4872" max="4872" width="13.75" style="2997" customWidth="1"/>
    <col min="4873" max="5120" width="9" style="2997"/>
    <col min="5121" max="5121" width="14.25" style="2997" customWidth="1"/>
    <col min="5122" max="5122" width="18.75" style="2997" customWidth="1"/>
    <col min="5123" max="5125" width="14.25" style="2997" customWidth="1"/>
    <col min="5126" max="5126" width="11" style="2997" customWidth="1"/>
    <col min="5127" max="5127" width="9" style="2997"/>
    <col min="5128" max="5128" width="13.75" style="2997" customWidth="1"/>
    <col min="5129" max="5376" width="9" style="2997"/>
    <col min="5377" max="5377" width="14.25" style="2997" customWidth="1"/>
    <col min="5378" max="5378" width="18.75" style="2997" customWidth="1"/>
    <col min="5379" max="5381" width="14.25" style="2997" customWidth="1"/>
    <col min="5382" max="5382" width="11" style="2997" customWidth="1"/>
    <col min="5383" max="5383" width="9" style="2997"/>
    <col min="5384" max="5384" width="13.75" style="2997" customWidth="1"/>
    <col min="5385" max="5632" width="9" style="2997"/>
    <col min="5633" max="5633" width="14.25" style="2997" customWidth="1"/>
    <col min="5634" max="5634" width="18.75" style="2997" customWidth="1"/>
    <col min="5635" max="5637" width="14.25" style="2997" customWidth="1"/>
    <col min="5638" max="5638" width="11" style="2997" customWidth="1"/>
    <col min="5639" max="5639" width="9" style="2997"/>
    <col min="5640" max="5640" width="13.75" style="2997" customWidth="1"/>
    <col min="5641" max="5888" width="9" style="2997"/>
    <col min="5889" max="5889" width="14.25" style="2997" customWidth="1"/>
    <col min="5890" max="5890" width="18.75" style="2997" customWidth="1"/>
    <col min="5891" max="5893" width="14.25" style="2997" customWidth="1"/>
    <col min="5894" max="5894" width="11" style="2997" customWidth="1"/>
    <col min="5895" max="5895" width="9" style="2997"/>
    <col min="5896" max="5896" width="13.75" style="2997" customWidth="1"/>
    <col min="5897" max="6144" width="9" style="2997"/>
    <col min="6145" max="6145" width="14.25" style="2997" customWidth="1"/>
    <col min="6146" max="6146" width="18.75" style="2997" customWidth="1"/>
    <col min="6147" max="6149" width="14.25" style="2997" customWidth="1"/>
    <col min="6150" max="6150" width="11" style="2997" customWidth="1"/>
    <col min="6151" max="6151" width="9" style="2997"/>
    <col min="6152" max="6152" width="13.75" style="2997" customWidth="1"/>
    <col min="6153" max="6400" width="9" style="2997"/>
    <col min="6401" max="6401" width="14.25" style="2997" customWidth="1"/>
    <col min="6402" max="6402" width="18.75" style="2997" customWidth="1"/>
    <col min="6403" max="6405" width="14.25" style="2997" customWidth="1"/>
    <col min="6406" max="6406" width="11" style="2997" customWidth="1"/>
    <col min="6407" max="6407" width="9" style="2997"/>
    <col min="6408" max="6408" width="13.75" style="2997" customWidth="1"/>
    <col min="6409" max="6656" width="9" style="2997"/>
    <col min="6657" max="6657" width="14.25" style="2997" customWidth="1"/>
    <col min="6658" max="6658" width="18.75" style="2997" customWidth="1"/>
    <col min="6659" max="6661" width="14.25" style="2997" customWidth="1"/>
    <col min="6662" max="6662" width="11" style="2997" customWidth="1"/>
    <col min="6663" max="6663" width="9" style="2997"/>
    <col min="6664" max="6664" width="13.75" style="2997" customWidth="1"/>
    <col min="6665" max="6912" width="9" style="2997"/>
    <col min="6913" max="6913" width="14.25" style="2997" customWidth="1"/>
    <col min="6914" max="6914" width="18.75" style="2997" customWidth="1"/>
    <col min="6915" max="6917" width="14.25" style="2997" customWidth="1"/>
    <col min="6918" max="6918" width="11" style="2997" customWidth="1"/>
    <col min="6919" max="6919" width="9" style="2997"/>
    <col min="6920" max="6920" width="13.75" style="2997" customWidth="1"/>
    <col min="6921" max="7168" width="9" style="2997"/>
    <col min="7169" max="7169" width="14.25" style="2997" customWidth="1"/>
    <col min="7170" max="7170" width="18.75" style="2997" customWidth="1"/>
    <col min="7171" max="7173" width="14.25" style="2997" customWidth="1"/>
    <col min="7174" max="7174" width="11" style="2997" customWidth="1"/>
    <col min="7175" max="7175" width="9" style="2997"/>
    <col min="7176" max="7176" width="13.75" style="2997" customWidth="1"/>
    <col min="7177" max="7424" width="9" style="2997"/>
    <col min="7425" max="7425" width="14.25" style="2997" customWidth="1"/>
    <col min="7426" max="7426" width="18.75" style="2997" customWidth="1"/>
    <col min="7427" max="7429" width="14.25" style="2997" customWidth="1"/>
    <col min="7430" max="7430" width="11" style="2997" customWidth="1"/>
    <col min="7431" max="7431" width="9" style="2997"/>
    <col min="7432" max="7432" width="13.75" style="2997" customWidth="1"/>
    <col min="7433" max="7680" width="9" style="2997"/>
    <col min="7681" max="7681" width="14.25" style="2997" customWidth="1"/>
    <col min="7682" max="7682" width="18.75" style="2997" customWidth="1"/>
    <col min="7683" max="7685" width="14.25" style="2997" customWidth="1"/>
    <col min="7686" max="7686" width="11" style="2997" customWidth="1"/>
    <col min="7687" max="7687" width="9" style="2997"/>
    <col min="7688" max="7688" width="13.75" style="2997" customWidth="1"/>
    <col min="7689" max="7936" width="9" style="2997"/>
    <col min="7937" max="7937" width="14.25" style="2997" customWidth="1"/>
    <col min="7938" max="7938" width="18.75" style="2997" customWidth="1"/>
    <col min="7939" max="7941" width="14.25" style="2997" customWidth="1"/>
    <col min="7942" max="7942" width="11" style="2997" customWidth="1"/>
    <col min="7943" max="7943" width="9" style="2997"/>
    <col min="7944" max="7944" width="13.75" style="2997" customWidth="1"/>
    <col min="7945" max="8192" width="9" style="2997"/>
    <col min="8193" max="8193" width="14.25" style="2997" customWidth="1"/>
    <col min="8194" max="8194" width="18.75" style="2997" customWidth="1"/>
    <col min="8195" max="8197" width="14.25" style="2997" customWidth="1"/>
    <col min="8198" max="8198" width="11" style="2997" customWidth="1"/>
    <col min="8199" max="8199" width="9" style="2997"/>
    <col min="8200" max="8200" width="13.75" style="2997" customWidth="1"/>
    <col min="8201" max="8448" width="9" style="2997"/>
    <col min="8449" max="8449" width="14.25" style="2997" customWidth="1"/>
    <col min="8450" max="8450" width="18.75" style="2997" customWidth="1"/>
    <col min="8451" max="8453" width="14.25" style="2997" customWidth="1"/>
    <col min="8454" max="8454" width="11" style="2997" customWidth="1"/>
    <col min="8455" max="8455" width="9" style="2997"/>
    <col min="8456" max="8456" width="13.75" style="2997" customWidth="1"/>
    <col min="8457" max="8704" width="9" style="2997"/>
    <col min="8705" max="8705" width="14.25" style="2997" customWidth="1"/>
    <col min="8706" max="8706" width="18.75" style="2997" customWidth="1"/>
    <col min="8707" max="8709" width="14.25" style="2997" customWidth="1"/>
    <col min="8710" max="8710" width="11" style="2997" customWidth="1"/>
    <col min="8711" max="8711" width="9" style="2997"/>
    <col min="8712" max="8712" width="13.75" style="2997" customWidth="1"/>
    <col min="8713" max="8960" width="9" style="2997"/>
    <col min="8961" max="8961" width="14.25" style="2997" customWidth="1"/>
    <col min="8962" max="8962" width="18.75" style="2997" customWidth="1"/>
    <col min="8963" max="8965" width="14.25" style="2997" customWidth="1"/>
    <col min="8966" max="8966" width="11" style="2997" customWidth="1"/>
    <col min="8967" max="8967" width="9" style="2997"/>
    <col min="8968" max="8968" width="13.75" style="2997" customWidth="1"/>
    <col min="8969" max="9216" width="9" style="2997"/>
    <col min="9217" max="9217" width="14.25" style="2997" customWidth="1"/>
    <col min="9218" max="9218" width="18.75" style="2997" customWidth="1"/>
    <col min="9219" max="9221" width="14.25" style="2997" customWidth="1"/>
    <col min="9222" max="9222" width="11" style="2997" customWidth="1"/>
    <col min="9223" max="9223" width="9" style="2997"/>
    <col min="9224" max="9224" width="13.75" style="2997" customWidth="1"/>
    <col min="9225" max="9472" width="9" style="2997"/>
    <col min="9473" max="9473" width="14.25" style="2997" customWidth="1"/>
    <col min="9474" max="9474" width="18.75" style="2997" customWidth="1"/>
    <col min="9475" max="9477" width="14.25" style="2997" customWidth="1"/>
    <col min="9478" max="9478" width="11" style="2997" customWidth="1"/>
    <col min="9479" max="9479" width="9" style="2997"/>
    <col min="9480" max="9480" width="13.75" style="2997" customWidth="1"/>
    <col min="9481" max="9728" width="9" style="2997"/>
    <col min="9729" max="9729" width="14.25" style="2997" customWidth="1"/>
    <col min="9730" max="9730" width="18.75" style="2997" customWidth="1"/>
    <col min="9731" max="9733" width="14.25" style="2997" customWidth="1"/>
    <col min="9734" max="9734" width="11" style="2997" customWidth="1"/>
    <col min="9735" max="9735" width="9" style="2997"/>
    <col min="9736" max="9736" width="13.75" style="2997" customWidth="1"/>
    <col min="9737" max="9984" width="9" style="2997"/>
    <col min="9985" max="9985" width="14.25" style="2997" customWidth="1"/>
    <col min="9986" max="9986" width="18.75" style="2997" customWidth="1"/>
    <col min="9987" max="9989" width="14.25" style="2997" customWidth="1"/>
    <col min="9990" max="9990" width="11" style="2997" customWidth="1"/>
    <col min="9991" max="9991" width="9" style="2997"/>
    <col min="9992" max="9992" width="13.75" style="2997" customWidth="1"/>
    <col min="9993" max="10240" width="9" style="2997"/>
    <col min="10241" max="10241" width="14.25" style="2997" customWidth="1"/>
    <col min="10242" max="10242" width="18.75" style="2997" customWidth="1"/>
    <col min="10243" max="10245" width="14.25" style="2997" customWidth="1"/>
    <col min="10246" max="10246" width="11" style="2997" customWidth="1"/>
    <col min="10247" max="10247" width="9" style="2997"/>
    <col min="10248" max="10248" width="13.75" style="2997" customWidth="1"/>
    <col min="10249" max="10496" width="9" style="2997"/>
    <col min="10497" max="10497" width="14.25" style="2997" customWidth="1"/>
    <col min="10498" max="10498" width="18.75" style="2997" customWidth="1"/>
    <col min="10499" max="10501" width="14.25" style="2997" customWidth="1"/>
    <col min="10502" max="10502" width="11" style="2997" customWidth="1"/>
    <col min="10503" max="10503" width="9" style="2997"/>
    <col min="10504" max="10504" width="13.75" style="2997" customWidth="1"/>
    <col min="10505" max="10752" width="9" style="2997"/>
    <col min="10753" max="10753" width="14.25" style="2997" customWidth="1"/>
    <col min="10754" max="10754" width="18.75" style="2997" customWidth="1"/>
    <col min="10755" max="10757" width="14.25" style="2997" customWidth="1"/>
    <col min="10758" max="10758" width="11" style="2997" customWidth="1"/>
    <col min="10759" max="10759" width="9" style="2997"/>
    <col min="10760" max="10760" width="13.75" style="2997" customWidth="1"/>
    <col min="10761" max="11008" width="9" style="2997"/>
    <col min="11009" max="11009" width="14.25" style="2997" customWidth="1"/>
    <col min="11010" max="11010" width="18.75" style="2997" customWidth="1"/>
    <col min="11011" max="11013" width="14.25" style="2997" customWidth="1"/>
    <col min="11014" max="11014" width="11" style="2997" customWidth="1"/>
    <col min="11015" max="11015" width="9" style="2997"/>
    <col min="11016" max="11016" width="13.75" style="2997" customWidth="1"/>
    <col min="11017" max="11264" width="9" style="2997"/>
    <col min="11265" max="11265" width="14.25" style="2997" customWidth="1"/>
    <col min="11266" max="11266" width="18.75" style="2997" customWidth="1"/>
    <col min="11267" max="11269" width="14.25" style="2997" customWidth="1"/>
    <col min="11270" max="11270" width="11" style="2997" customWidth="1"/>
    <col min="11271" max="11271" width="9" style="2997"/>
    <col min="11272" max="11272" width="13.75" style="2997" customWidth="1"/>
    <col min="11273" max="11520" width="9" style="2997"/>
    <col min="11521" max="11521" width="14.25" style="2997" customWidth="1"/>
    <col min="11522" max="11522" width="18.75" style="2997" customWidth="1"/>
    <col min="11523" max="11525" width="14.25" style="2997" customWidth="1"/>
    <col min="11526" max="11526" width="11" style="2997" customWidth="1"/>
    <col min="11527" max="11527" width="9" style="2997"/>
    <col min="11528" max="11528" width="13.75" style="2997" customWidth="1"/>
    <col min="11529" max="11776" width="9" style="2997"/>
    <col min="11777" max="11777" width="14.25" style="2997" customWidth="1"/>
    <col min="11778" max="11778" width="18.75" style="2997" customWidth="1"/>
    <col min="11779" max="11781" width="14.25" style="2997" customWidth="1"/>
    <col min="11782" max="11782" width="11" style="2997" customWidth="1"/>
    <col min="11783" max="11783" width="9" style="2997"/>
    <col min="11784" max="11784" width="13.75" style="2997" customWidth="1"/>
    <col min="11785" max="12032" width="9" style="2997"/>
    <col min="12033" max="12033" width="14.25" style="2997" customWidth="1"/>
    <col min="12034" max="12034" width="18.75" style="2997" customWidth="1"/>
    <col min="12035" max="12037" width="14.25" style="2997" customWidth="1"/>
    <col min="12038" max="12038" width="11" style="2997" customWidth="1"/>
    <col min="12039" max="12039" width="9" style="2997"/>
    <col min="12040" max="12040" width="13.75" style="2997" customWidth="1"/>
    <col min="12041" max="12288" width="9" style="2997"/>
    <col min="12289" max="12289" width="14.25" style="2997" customWidth="1"/>
    <col min="12290" max="12290" width="18.75" style="2997" customWidth="1"/>
    <col min="12291" max="12293" width="14.25" style="2997" customWidth="1"/>
    <col min="12294" max="12294" width="11" style="2997" customWidth="1"/>
    <col min="12295" max="12295" width="9" style="2997"/>
    <col min="12296" max="12296" width="13.75" style="2997" customWidth="1"/>
    <col min="12297" max="12544" width="9" style="2997"/>
    <col min="12545" max="12545" width="14.25" style="2997" customWidth="1"/>
    <col min="12546" max="12546" width="18.75" style="2997" customWidth="1"/>
    <col min="12547" max="12549" width="14.25" style="2997" customWidth="1"/>
    <col min="12550" max="12550" width="11" style="2997" customWidth="1"/>
    <col min="12551" max="12551" width="9" style="2997"/>
    <col min="12552" max="12552" width="13.75" style="2997" customWidth="1"/>
    <col min="12553" max="12800" width="9" style="2997"/>
    <col min="12801" max="12801" width="14.25" style="2997" customWidth="1"/>
    <col min="12802" max="12802" width="18.75" style="2997" customWidth="1"/>
    <col min="12803" max="12805" width="14.25" style="2997" customWidth="1"/>
    <col min="12806" max="12806" width="11" style="2997" customWidth="1"/>
    <col min="12807" max="12807" width="9" style="2997"/>
    <col min="12808" max="12808" width="13.75" style="2997" customWidth="1"/>
    <col min="12809" max="13056" width="9" style="2997"/>
    <col min="13057" max="13057" width="14.25" style="2997" customWidth="1"/>
    <col min="13058" max="13058" width="18.75" style="2997" customWidth="1"/>
    <col min="13059" max="13061" width="14.25" style="2997" customWidth="1"/>
    <col min="13062" max="13062" width="11" style="2997" customWidth="1"/>
    <col min="13063" max="13063" width="9" style="2997"/>
    <col min="13064" max="13064" width="13.75" style="2997" customWidth="1"/>
    <col min="13065" max="13312" width="9" style="2997"/>
    <col min="13313" max="13313" width="14.25" style="2997" customWidth="1"/>
    <col min="13314" max="13314" width="18.75" style="2997" customWidth="1"/>
    <col min="13315" max="13317" width="14.25" style="2997" customWidth="1"/>
    <col min="13318" max="13318" width="11" style="2997" customWidth="1"/>
    <col min="13319" max="13319" width="9" style="2997"/>
    <col min="13320" max="13320" width="13.75" style="2997" customWidth="1"/>
    <col min="13321" max="13568" width="9" style="2997"/>
    <col min="13569" max="13569" width="14.25" style="2997" customWidth="1"/>
    <col min="13570" max="13570" width="18.75" style="2997" customWidth="1"/>
    <col min="13571" max="13573" width="14.25" style="2997" customWidth="1"/>
    <col min="13574" max="13574" width="11" style="2997" customWidth="1"/>
    <col min="13575" max="13575" width="9" style="2997"/>
    <col min="13576" max="13576" width="13.75" style="2997" customWidth="1"/>
    <col min="13577" max="13824" width="9" style="2997"/>
    <col min="13825" max="13825" width="14.25" style="2997" customWidth="1"/>
    <col min="13826" max="13826" width="18.75" style="2997" customWidth="1"/>
    <col min="13827" max="13829" width="14.25" style="2997" customWidth="1"/>
    <col min="13830" max="13830" width="11" style="2997" customWidth="1"/>
    <col min="13831" max="13831" width="9" style="2997"/>
    <col min="13832" max="13832" width="13.75" style="2997" customWidth="1"/>
    <col min="13833" max="14080" width="9" style="2997"/>
    <col min="14081" max="14081" width="14.25" style="2997" customWidth="1"/>
    <col min="14082" max="14082" width="18.75" style="2997" customWidth="1"/>
    <col min="14083" max="14085" width="14.25" style="2997" customWidth="1"/>
    <col min="14086" max="14086" width="11" style="2997" customWidth="1"/>
    <col min="14087" max="14087" width="9" style="2997"/>
    <col min="14088" max="14088" width="13.75" style="2997" customWidth="1"/>
    <col min="14089" max="14336" width="9" style="2997"/>
    <col min="14337" max="14337" width="14.25" style="2997" customWidth="1"/>
    <col min="14338" max="14338" width="18.75" style="2997" customWidth="1"/>
    <col min="14339" max="14341" width="14.25" style="2997" customWidth="1"/>
    <col min="14342" max="14342" width="11" style="2997" customWidth="1"/>
    <col min="14343" max="14343" width="9" style="2997"/>
    <col min="14344" max="14344" width="13.75" style="2997" customWidth="1"/>
    <col min="14345" max="14592" width="9" style="2997"/>
    <col min="14593" max="14593" width="14.25" style="2997" customWidth="1"/>
    <col min="14594" max="14594" width="18.75" style="2997" customWidth="1"/>
    <col min="14595" max="14597" width="14.25" style="2997" customWidth="1"/>
    <col min="14598" max="14598" width="11" style="2997" customWidth="1"/>
    <col min="14599" max="14599" width="9" style="2997"/>
    <col min="14600" max="14600" width="13.75" style="2997" customWidth="1"/>
    <col min="14601" max="14848" width="9" style="2997"/>
    <col min="14849" max="14849" width="14.25" style="2997" customWidth="1"/>
    <col min="14850" max="14850" width="18.75" style="2997" customWidth="1"/>
    <col min="14851" max="14853" width="14.25" style="2997" customWidth="1"/>
    <col min="14854" max="14854" width="11" style="2997" customWidth="1"/>
    <col min="14855" max="14855" width="9" style="2997"/>
    <col min="14856" max="14856" width="13.75" style="2997" customWidth="1"/>
    <col min="14857" max="15104" width="9" style="2997"/>
    <col min="15105" max="15105" width="14.25" style="2997" customWidth="1"/>
    <col min="15106" max="15106" width="18.75" style="2997" customWidth="1"/>
    <col min="15107" max="15109" width="14.25" style="2997" customWidth="1"/>
    <col min="15110" max="15110" width="11" style="2997" customWidth="1"/>
    <col min="15111" max="15111" width="9" style="2997"/>
    <col min="15112" max="15112" width="13.75" style="2997" customWidth="1"/>
    <col min="15113" max="15360" width="9" style="2997"/>
    <col min="15361" max="15361" width="14.25" style="2997" customWidth="1"/>
    <col min="15362" max="15362" width="18.75" style="2997" customWidth="1"/>
    <col min="15363" max="15365" width="14.25" style="2997" customWidth="1"/>
    <col min="15366" max="15366" width="11" style="2997" customWidth="1"/>
    <col min="15367" max="15367" width="9" style="2997"/>
    <col min="15368" max="15368" width="13.75" style="2997" customWidth="1"/>
    <col min="15369" max="15616" width="9" style="2997"/>
    <col min="15617" max="15617" width="14.25" style="2997" customWidth="1"/>
    <col min="15618" max="15618" width="18.75" style="2997" customWidth="1"/>
    <col min="15619" max="15621" width="14.25" style="2997" customWidth="1"/>
    <col min="15622" max="15622" width="11" style="2997" customWidth="1"/>
    <col min="15623" max="15623" width="9" style="2997"/>
    <col min="15624" max="15624" width="13.75" style="2997" customWidth="1"/>
    <col min="15625" max="15872" width="9" style="2997"/>
    <col min="15873" max="15873" width="14.25" style="2997" customWidth="1"/>
    <col min="15874" max="15874" width="18.75" style="2997" customWidth="1"/>
    <col min="15875" max="15877" width="14.25" style="2997" customWidth="1"/>
    <col min="15878" max="15878" width="11" style="2997" customWidth="1"/>
    <col min="15879" max="15879" width="9" style="2997"/>
    <col min="15880" max="15880" width="13.75" style="2997" customWidth="1"/>
    <col min="15881" max="16128" width="9" style="2997"/>
    <col min="16129" max="16129" width="14.25" style="2997" customWidth="1"/>
    <col min="16130" max="16130" width="18.75" style="2997" customWidth="1"/>
    <col min="16131" max="16133" width="14.25" style="2997" customWidth="1"/>
    <col min="16134" max="16134" width="11" style="2997" customWidth="1"/>
    <col min="16135" max="16135" width="9" style="2997"/>
    <col min="16136" max="16136" width="13.75" style="2997" customWidth="1"/>
    <col min="16137" max="16384" width="9" style="2997"/>
  </cols>
  <sheetData>
    <row r="1" spans="1:6" ht="15" thickBot="1">
      <c r="A1" s="2995" t="s">
        <v>3210</v>
      </c>
      <c r="B1" s="2996">
        <v>43112</v>
      </c>
    </row>
    <row r="2" spans="1:6" ht="27">
      <c r="A2" s="2998" t="s">
        <v>3211</v>
      </c>
      <c r="B2" s="2999" t="s">
        <v>3212</v>
      </c>
      <c r="C2" s="3000" t="s">
        <v>3213</v>
      </c>
      <c r="D2" s="2999" t="s">
        <v>3214</v>
      </c>
      <c r="E2" s="3001" t="s">
        <v>3215</v>
      </c>
    </row>
    <row r="3" spans="1:6" ht="14.25">
      <c r="A3" s="3002">
        <v>40</v>
      </c>
      <c r="B3" s="3003"/>
      <c r="C3" s="3004">
        <f>ROUNDDOWN(MIN((B3-$B$1)/365,A3),2)</f>
        <v>-118.11</v>
      </c>
      <c r="D3" s="3005">
        <f>IF(ISERROR(ROUND(POWER(1+E3,A3-C3)*(POWER(1+E3,C3)-1)/(POWER(1+E3,A3)-1),3)),0,ROUND(POWER(1+E3,A3-C3)*(POWER(1+E3,C3)-1)/(POWER(1+E3,A3)-1),3))</f>
        <v>-128.52699999999999</v>
      </c>
      <c r="E3" s="3006">
        <v>0.04</v>
      </c>
    </row>
    <row r="4" spans="1:6" ht="14.25">
      <c r="A4" s="3002">
        <v>50</v>
      </c>
      <c r="B4" s="3003">
        <v>48426</v>
      </c>
      <c r="C4" s="3004">
        <f>ROUNDDOWN(MIN((B4-$B$1)/365,A4),2)</f>
        <v>14.55</v>
      </c>
      <c r="D4" s="3005">
        <f>IF(ISERROR(ROUND(POWER(1+E4,A4-C4)*(POWER(1+E4,C4)-1)/(POWER(1+E4,A4)-1),3)),0,ROUND(POWER(1+E4,A4-C4)*(POWER(1+E4,C4)-1)/(POWER(1+E4,A4)-1),3))</f>
        <v>0.50600000000000001</v>
      </c>
      <c r="E4" s="3006">
        <v>0.04</v>
      </c>
    </row>
    <row r="5" spans="1:6" ht="15" thickBot="1">
      <c r="A5" s="3007">
        <v>70</v>
      </c>
      <c r="B5" s="3008"/>
      <c r="C5" s="3009">
        <f>ROUNDDOWN(MIN((B5-$B$1)/365,A5),2)</f>
        <v>-118.11</v>
      </c>
      <c r="D5" s="3010">
        <f>IF(ISERROR(ROUND(POWER(1+E5,A5-C5)*(POWER(1+E5,C5)-1)/(POWER(1+E5,A5)-1),3)),0,ROUND(POWER(1+E5,A5-C5)*(POWER(1+E5,C5)-1)/(POWER(1+E5,A5)-1),3))</f>
        <v>-108.739</v>
      </c>
      <c r="E5" s="3011">
        <v>0.04</v>
      </c>
    </row>
    <row r="6" spans="1:6" ht="14.25" thickBot="1"/>
    <row r="7" spans="1:6" s="3014" customFormat="1" ht="14.25" thickBot="1">
      <c r="A7" s="3012" t="s">
        <v>3216</v>
      </c>
      <c r="B7" s="3013"/>
    </row>
    <row r="8" spans="1:6" ht="14.25" thickBot="1">
      <c r="A8" s="3413" t="s">
        <v>3217</v>
      </c>
      <c r="B8" s="3414"/>
      <c r="C8" s="3015"/>
      <c r="D8" s="3016" t="s">
        <v>3215</v>
      </c>
      <c r="E8" s="3015"/>
      <c r="F8" s="3017" t="s">
        <v>3214</v>
      </c>
    </row>
    <row r="9" spans="1:6" ht="14.25">
      <c r="A9" s="3018" t="s">
        <v>3218</v>
      </c>
      <c r="B9" s="3019">
        <v>70</v>
      </c>
      <c r="C9" s="3020" t="s">
        <v>3219</v>
      </c>
      <c r="D9" s="3021">
        <v>4.4999999999999998E-2</v>
      </c>
      <c r="E9" s="3020" t="s">
        <v>3220</v>
      </c>
      <c r="F9" s="3022">
        <f>1-(1/(POWER(1+D9,B9)))</f>
        <v>0.95409503414356267</v>
      </c>
    </row>
    <row r="10" spans="1:6" ht="15" thickBot="1">
      <c r="A10" s="3023" t="s">
        <v>3221</v>
      </c>
      <c r="B10" s="3024">
        <v>40</v>
      </c>
      <c r="C10" s="3025" t="s">
        <v>3222</v>
      </c>
      <c r="D10" s="3026">
        <v>4.4999999999999998E-2</v>
      </c>
      <c r="E10" s="3025" t="s">
        <v>3223</v>
      </c>
      <c r="F10" s="3027">
        <f>1-(1/(POWER(1+D10,B10)))</f>
        <v>0.8280712989125899</v>
      </c>
    </row>
    <row r="11" spans="1:6" ht="15" thickBot="1">
      <c r="A11" s="3028" t="s">
        <v>3224</v>
      </c>
      <c r="B11" s="3029"/>
      <c r="C11" s="3029"/>
      <c r="D11" s="3029"/>
      <c r="E11" s="3029"/>
      <c r="F11" s="3029"/>
    </row>
    <row r="12" spans="1:6" ht="14.25">
      <c r="A12" s="3018" t="s">
        <v>3225</v>
      </c>
      <c r="B12" s="3030">
        <v>5000</v>
      </c>
      <c r="E12" s="3031"/>
      <c r="F12" s="3031"/>
    </row>
    <row r="13" spans="1:6" ht="15" thickBot="1">
      <c r="A13" s="3023" t="s">
        <v>3226</v>
      </c>
      <c r="B13" s="3032">
        <f>ROUND(B12*F10/F9,2)</f>
        <v>4339.5600000000004</v>
      </c>
      <c r="C13" s="3033">
        <f>ROUND(F10/F9,4)</f>
        <v>0.8679</v>
      </c>
      <c r="E13" s="3031"/>
      <c r="F13" s="3031"/>
    </row>
    <row r="14" spans="1:6" ht="15" thickBot="1">
      <c r="A14" s="3028" t="s">
        <v>3227</v>
      </c>
      <c r="B14" s="3034"/>
      <c r="C14" s="3031"/>
    </row>
    <row r="15" spans="1:6" ht="14.25">
      <c r="A15" s="3020" t="s">
        <v>3228</v>
      </c>
      <c r="B15" s="3035">
        <v>4810</v>
      </c>
      <c r="C15" s="3031"/>
    </row>
    <row r="16" spans="1:6" ht="15" thickBot="1">
      <c r="A16" s="3025" t="s">
        <v>3229</v>
      </c>
      <c r="B16" s="3036">
        <f>ROUND(B15*F9/F10,2)</f>
        <v>5542.03</v>
      </c>
      <c r="C16" s="3033">
        <f>ROUND(F9/F10,4)</f>
        <v>1.1521999999999999</v>
      </c>
    </row>
    <row r="17" spans="3:3" ht="14.25">
      <c r="C17" s="3031"/>
    </row>
  </sheetData>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0"/>
  <sheetViews>
    <sheetView zoomScaleSheetLayoutView="100" workbookViewId="0">
      <pane xSplit="3" ySplit="1" topLeftCell="D10" activePane="bottomRight" state="frozen"/>
      <selection pane="topRight"/>
      <selection pane="bottomLeft"/>
      <selection pane="bottomRight" activeCell="J17" sqref="J17"/>
    </sheetView>
  </sheetViews>
  <sheetFormatPr defaultRowHeight="18.75"/>
  <cols>
    <col min="1" max="1" width="7.375" style="2960" customWidth="1"/>
    <col min="2" max="2" width="25.625" style="2960" customWidth="1"/>
    <col min="3" max="3" width="9.75" style="2960" customWidth="1"/>
    <col min="4" max="4" width="19.75" style="2960" bestFit="1" customWidth="1"/>
    <col min="5" max="5" width="9.25" style="2960" customWidth="1"/>
    <col min="6" max="6" width="6.625" style="2960" customWidth="1"/>
    <col min="7" max="7" width="5.5" style="2960" bestFit="1" customWidth="1"/>
    <col min="8" max="8" width="16.875" style="2960" customWidth="1"/>
    <col min="9" max="9" width="4.875" style="2960" customWidth="1"/>
    <col min="10" max="10" width="21.625" style="2960" customWidth="1"/>
    <col min="11" max="11" width="19.125" style="2993" bestFit="1" customWidth="1"/>
    <col min="12" max="12" width="25.25" style="2960" customWidth="1"/>
    <col min="13" max="13" width="9.5" style="2960" bestFit="1" customWidth="1"/>
    <col min="14" max="14" width="20.5" style="2960" bestFit="1" customWidth="1"/>
    <col min="15" max="256" width="9" style="2960"/>
    <col min="257" max="257" width="7.375" style="2960" customWidth="1"/>
    <col min="258" max="258" width="25.625" style="2960" customWidth="1"/>
    <col min="259" max="259" width="9.75" style="2960" customWidth="1"/>
    <col min="260" max="260" width="19.75" style="2960" bestFit="1" customWidth="1"/>
    <col min="261" max="261" width="9.25" style="2960" customWidth="1"/>
    <col min="262" max="262" width="6.625" style="2960" customWidth="1"/>
    <col min="263" max="263" width="5.5" style="2960" bestFit="1" customWidth="1"/>
    <col min="264" max="264" width="16.875" style="2960" customWidth="1"/>
    <col min="265" max="265" width="4.875" style="2960" customWidth="1"/>
    <col min="266" max="266" width="21.625" style="2960" customWidth="1"/>
    <col min="267" max="267" width="19.125" style="2960" bestFit="1" customWidth="1"/>
    <col min="268" max="268" width="25.25" style="2960" customWidth="1"/>
    <col min="269" max="269" width="9.5" style="2960" bestFit="1" customWidth="1"/>
    <col min="270" max="270" width="20.5" style="2960" bestFit="1" customWidth="1"/>
    <col min="271" max="512" width="9" style="2960"/>
    <col min="513" max="513" width="7.375" style="2960" customWidth="1"/>
    <col min="514" max="514" width="25.625" style="2960" customWidth="1"/>
    <col min="515" max="515" width="9.75" style="2960" customWidth="1"/>
    <col min="516" max="516" width="19.75" style="2960" bestFit="1" customWidth="1"/>
    <col min="517" max="517" width="9.25" style="2960" customWidth="1"/>
    <col min="518" max="518" width="6.625" style="2960" customWidth="1"/>
    <col min="519" max="519" width="5.5" style="2960" bestFit="1" customWidth="1"/>
    <col min="520" max="520" width="16.875" style="2960" customWidth="1"/>
    <col min="521" max="521" width="4.875" style="2960" customWidth="1"/>
    <col min="522" max="522" width="21.625" style="2960" customWidth="1"/>
    <col min="523" max="523" width="19.125" style="2960" bestFit="1" customWidth="1"/>
    <col min="524" max="524" width="25.25" style="2960" customWidth="1"/>
    <col min="525" max="525" width="9.5" style="2960" bestFit="1" customWidth="1"/>
    <col min="526" max="526" width="20.5" style="2960" bestFit="1" customWidth="1"/>
    <col min="527" max="768" width="9" style="2960"/>
    <col min="769" max="769" width="7.375" style="2960" customWidth="1"/>
    <col min="770" max="770" width="25.625" style="2960" customWidth="1"/>
    <col min="771" max="771" width="9.75" style="2960" customWidth="1"/>
    <col min="772" max="772" width="19.75" style="2960" bestFit="1" customWidth="1"/>
    <col min="773" max="773" width="9.25" style="2960" customWidth="1"/>
    <col min="774" max="774" width="6.625" style="2960" customWidth="1"/>
    <col min="775" max="775" width="5.5" style="2960" bestFit="1" customWidth="1"/>
    <col min="776" max="776" width="16.875" style="2960" customWidth="1"/>
    <col min="777" max="777" width="4.875" style="2960" customWidth="1"/>
    <col min="778" max="778" width="21.625" style="2960" customWidth="1"/>
    <col min="779" max="779" width="19.125" style="2960" bestFit="1" customWidth="1"/>
    <col min="780" max="780" width="25.25" style="2960" customWidth="1"/>
    <col min="781" max="781" width="9.5" style="2960" bestFit="1" customWidth="1"/>
    <col min="782" max="782" width="20.5" style="2960" bestFit="1" customWidth="1"/>
    <col min="783" max="1024" width="9" style="2960"/>
    <col min="1025" max="1025" width="7.375" style="2960" customWidth="1"/>
    <col min="1026" max="1026" width="25.625" style="2960" customWidth="1"/>
    <col min="1027" max="1027" width="9.75" style="2960" customWidth="1"/>
    <col min="1028" max="1028" width="19.75" style="2960" bestFit="1" customWidth="1"/>
    <col min="1029" max="1029" width="9.25" style="2960" customWidth="1"/>
    <col min="1030" max="1030" width="6.625" style="2960" customWidth="1"/>
    <col min="1031" max="1031" width="5.5" style="2960" bestFit="1" customWidth="1"/>
    <col min="1032" max="1032" width="16.875" style="2960" customWidth="1"/>
    <col min="1033" max="1033" width="4.875" style="2960" customWidth="1"/>
    <col min="1034" max="1034" width="21.625" style="2960" customWidth="1"/>
    <col min="1035" max="1035" width="19.125" style="2960" bestFit="1" customWidth="1"/>
    <col min="1036" max="1036" width="25.25" style="2960" customWidth="1"/>
    <col min="1037" max="1037" width="9.5" style="2960" bestFit="1" customWidth="1"/>
    <col min="1038" max="1038" width="20.5" style="2960" bestFit="1" customWidth="1"/>
    <col min="1039" max="1280" width="9" style="2960"/>
    <col min="1281" max="1281" width="7.375" style="2960" customWidth="1"/>
    <col min="1282" max="1282" width="25.625" style="2960" customWidth="1"/>
    <col min="1283" max="1283" width="9.75" style="2960" customWidth="1"/>
    <col min="1284" max="1284" width="19.75" style="2960" bestFit="1" customWidth="1"/>
    <col min="1285" max="1285" width="9.25" style="2960" customWidth="1"/>
    <col min="1286" max="1286" width="6.625" style="2960" customWidth="1"/>
    <col min="1287" max="1287" width="5.5" style="2960" bestFit="1" customWidth="1"/>
    <col min="1288" max="1288" width="16.875" style="2960" customWidth="1"/>
    <col min="1289" max="1289" width="4.875" style="2960" customWidth="1"/>
    <col min="1290" max="1290" width="21.625" style="2960" customWidth="1"/>
    <col min="1291" max="1291" width="19.125" style="2960" bestFit="1" customWidth="1"/>
    <col min="1292" max="1292" width="25.25" style="2960" customWidth="1"/>
    <col min="1293" max="1293" width="9.5" style="2960" bestFit="1" customWidth="1"/>
    <col min="1294" max="1294" width="20.5" style="2960" bestFit="1" customWidth="1"/>
    <col min="1295" max="1536" width="9" style="2960"/>
    <col min="1537" max="1537" width="7.375" style="2960" customWidth="1"/>
    <col min="1538" max="1538" width="25.625" style="2960" customWidth="1"/>
    <col min="1539" max="1539" width="9.75" style="2960" customWidth="1"/>
    <col min="1540" max="1540" width="19.75" style="2960" bestFit="1" customWidth="1"/>
    <col min="1541" max="1541" width="9.25" style="2960" customWidth="1"/>
    <col min="1542" max="1542" width="6.625" style="2960" customWidth="1"/>
    <col min="1543" max="1543" width="5.5" style="2960" bestFit="1" customWidth="1"/>
    <col min="1544" max="1544" width="16.875" style="2960" customWidth="1"/>
    <col min="1545" max="1545" width="4.875" style="2960" customWidth="1"/>
    <col min="1546" max="1546" width="21.625" style="2960" customWidth="1"/>
    <col min="1547" max="1547" width="19.125" style="2960" bestFit="1" customWidth="1"/>
    <col min="1548" max="1548" width="25.25" style="2960" customWidth="1"/>
    <col min="1549" max="1549" width="9.5" style="2960" bestFit="1" customWidth="1"/>
    <col min="1550" max="1550" width="20.5" style="2960" bestFit="1" customWidth="1"/>
    <col min="1551" max="1792" width="9" style="2960"/>
    <col min="1793" max="1793" width="7.375" style="2960" customWidth="1"/>
    <col min="1794" max="1794" width="25.625" style="2960" customWidth="1"/>
    <col min="1795" max="1795" width="9.75" style="2960" customWidth="1"/>
    <col min="1796" max="1796" width="19.75" style="2960" bestFit="1" customWidth="1"/>
    <col min="1797" max="1797" width="9.25" style="2960" customWidth="1"/>
    <col min="1798" max="1798" width="6.625" style="2960" customWidth="1"/>
    <col min="1799" max="1799" width="5.5" style="2960" bestFit="1" customWidth="1"/>
    <col min="1800" max="1800" width="16.875" style="2960" customWidth="1"/>
    <col min="1801" max="1801" width="4.875" style="2960" customWidth="1"/>
    <col min="1802" max="1802" width="21.625" style="2960" customWidth="1"/>
    <col min="1803" max="1803" width="19.125" style="2960" bestFit="1" customWidth="1"/>
    <col min="1804" max="1804" width="25.25" style="2960" customWidth="1"/>
    <col min="1805" max="1805" width="9.5" style="2960" bestFit="1" customWidth="1"/>
    <col min="1806" max="1806" width="20.5" style="2960" bestFit="1" customWidth="1"/>
    <col min="1807" max="2048" width="9" style="2960"/>
    <col min="2049" max="2049" width="7.375" style="2960" customWidth="1"/>
    <col min="2050" max="2050" width="25.625" style="2960" customWidth="1"/>
    <col min="2051" max="2051" width="9.75" style="2960" customWidth="1"/>
    <col min="2052" max="2052" width="19.75" style="2960" bestFit="1" customWidth="1"/>
    <col min="2053" max="2053" width="9.25" style="2960" customWidth="1"/>
    <col min="2054" max="2054" width="6.625" style="2960" customWidth="1"/>
    <col min="2055" max="2055" width="5.5" style="2960" bestFit="1" customWidth="1"/>
    <col min="2056" max="2056" width="16.875" style="2960" customWidth="1"/>
    <col min="2057" max="2057" width="4.875" style="2960" customWidth="1"/>
    <col min="2058" max="2058" width="21.625" style="2960" customWidth="1"/>
    <col min="2059" max="2059" width="19.125" style="2960" bestFit="1" customWidth="1"/>
    <col min="2060" max="2060" width="25.25" style="2960" customWidth="1"/>
    <col min="2061" max="2061" width="9.5" style="2960" bestFit="1" customWidth="1"/>
    <col min="2062" max="2062" width="20.5" style="2960" bestFit="1" customWidth="1"/>
    <col min="2063" max="2304" width="9" style="2960"/>
    <col min="2305" max="2305" width="7.375" style="2960" customWidth="1"/>
    <col min="2306" max="2306" width="25.625" style="2960" customWidth="1"/>
    <col min="2307" max="2307" width="9.75" style="2960" customWidth="1"/>
    <col min="2308" max="2308" width="19.75" style="2960" bestFit="1" customWidth="1"/>
    <col min="2309" max="2309" width="9.25" style="2960" customWidth="1"/>
    <col min="2310" max="2310" width="6.625" style="2960" customWidth="1"/>
    <col min="2311" max="2311" width="5.5" style="2960" bestFit="1" customWidth="1"/>
    <col min="2312" max="2312" width="16.875" style="2960" customWidth="1"/>
    <col min="2313" max="2313" width="4.875" style="2960" customWidth="1"/>
    <col min="2314" max="2314" width="21.625" style="2960" customWidth="1"/>
    <col min="2315" max="2315" width="19.125" style="2960" bestFit="1" customWidth="1"/>
    <col min="2316" max="2316" width="25.25" style="2960" customWidth="1"/>
    <col min="2317" max="2317" width="9.5" style="2960" bestFit="1" customWidth="1"/>
    <col min="2318" max="2318" width="20.5" style="2960" bestFit="1" customWidth="1"/>
    <col min="2319" max="2560" width="9" style="2960"/>
    <col min="2561" max="2561" width="7.375" style="2960" customWidth="1"/>
    <col min="2562" max="2562" width="25.625" style="2960" customWidth="1"/>
    <col min="2563" max="2563" width="9.75" style="2960" customWidth="1"/>
    <col min="2564" max="2564" width="19.75" style="2960" bestFit="1" customWidth="1"/>
    <col min="2565" max="2565" width="9.25" style="2960" customWidth="1"/>
    <col min="2566" max="2566" width="6.625" style="2960" customWidth="1"/>
    <col min="2567" max="2567" width="5.5" style="2960" bestFit="1" customWidth="1"/>
    <col min="2568" max="2568" width="16.875" style="2960" customWidth="1"/>
    <col min="2569" max="2569" width="4.875" style="2960" customWidth="1"/>
    <col min="2570" max="2570" width="21.625" style="2960" customWidth="1"/>
    <col min="2571" max="2571" width="19.125" style="2960" bestFit="1" customWidth="1"/>
    <col min="2572" max="2572" width="25.25" style="2960" customWidth="1"/>
    <col min="2573" max="2573" width="9.5" style="2960" bestFit="1" customWidth="1"/>
    <col min="2574" max="2574" width="20.5" style="2960" bestFit="1" customWidth="1"/>
    <col min="2575" max="2816" width="9" style="2960"/>
    <col min="2817" max="2817" width="7.375" style="2960" customWidth="1"/>
    <col min="2818" max="2818" width="25.625" style="2960" customWidth="1"/>
    <col min="2819" max="2819" width="9.75" style="2960" customWidth="1"/>
    <col min="2820" max="2820" width="19.75" style="2960" bestFit="1" customWidth="1"/>
    <col min="2821" max="2821" width="9.25" style="2960" customWidth="1"/>
    <col min="2822" max="2822" width="6.625" style="2960" customWidth="1"/>
    <col min="2823" max="2823" width="5.5" style="2960" bestFit="1" customWidth="1"/>
    <col min="2824" max="2824" width="16.875" style="2960" customWidth="1"/>
    <col min="2825" max="2825" width="4.875" style="2960" customWidth="1"/>
    <col min="2826" max="2826" width="21.625" style="2960" customWidth="1"/>
    <col min="2827" max="2827" width="19.125" style="2960" bestFit="1" customWidth="1"/>
    <col min="2828" max="2828" width="25.25" style="2960" customWidth="1"/>
    <col min="2829" max="2829" width="9.5" style="2960" bestFit="1" customWidth="1"/>
    <col min="2830" max="2830" width="20.5" style="2960" bestFit="1" customWidth="1"/>
    <col min="2831" max="3072" width="9" style="2960"/>
    <col min="3073" max="3073" width="7.375" style="2960" customWidth="1"/>
    <col min="3074" max="3074" width="25.625" style="2960" customWidth="1"/>
    <col min="3075" max="3075" width="9.75" style="2960" customWidth="1"/>
    <col min="3076" max="3076" width="19.75" style="2960" bestFit="1" customWidth="1"/>
    <col min="3077" max="3077" width="9.25" style="2960" customWidth="1"/>
    <col min="3078" max="3078" width="6.625" style="2960" customWidth="1"/>
    <col min="3079" max="3079" width="5.5" style="2960" bestFit="1" customWidth="1"/>
    <col min="3080" max="3080" width="16.875" style="2960" customWidth="1"/>
    <col min="3081" max="3081" width="4.875" style="2960" customWidth="1"/>
    <col min="3082" max="3082" width="21.625" style="2960" customWidth="1"/>
    <col min="3083" max="3083" width="19.125" style="2960" bestFit="1" customWidth="1"/>
    <col min="3084" max="3084" width="25.25" style="2960" customWidth="1"/>
    <col min="3085" max="3085" width="9.5" style="2960" bestFit="1" customWidth="1"/>
    <col min="3086" max="3086" width="20.5" style="2960" bestFit="1" customWidth="1"/>
    <col min="3087" max="3328" width="9" style="2960"/>
    <col min="3329" max="3329" width="7.375" style="2960" customWidth="1"/>
    <col min="3330" max="3330" width="25.625" style="2960" customWidth="1"/>
    <col min="3331" max="3331" width="9.75" style="2960" customWidth="1"/>
    <col min="3332" max="3332" width="19.75" style="2960" bestFit="1" customWidth="1"/>
    <col min="3333" max="3333" width="9.25" style="2960" customWidth="1"/>
    <col min="3334" max="3334" width="6.625" style="2960" customWidth="1"/>
    <col min="3335" max="3335" width="5.5" style="2960" bestFit="1" customWidth="1"/>
    <col min="3336" max="3336" width="16.875" style="2960" customWidth="1"/>
    <col min="3337" max="3337" width="4.875" style="2960" customWidth="1"/>
    <col min="3338" max="3338" width="21.625" style="2960" customWidth="1"/>
    <col min="3339" max="3339" width="19.125" style="2960" bestFit="1" customWidth="1"/>
    <col min="3340" max="3340" width="25.25" style="2960" customWidth="1"/>
    <col min="3341" max="3341" width="9.5" style="2960" bestFit="1" customWidth="1"/>
    <col min="3342" max="3342" width="20.5" style="2960" bestFit="1" customWidth="1"/>
    <col min="3343" max="3584" width="9" style="2960"/>
    <col min="3585" max="3585" width="7.375" style="2960" customWidth="1"/>
    <col min="3586" max="3586" width="25.625" style="2960" customWidth="1"/>
    <col min="3587" max="3587" width="9.75" style="2960" customWidth="1"/>
    <col min="3588" max="3588" width="19.75" style="2960" bestFit="1" customWidth="1"/>
    <col min="3589" max="3589" width="9.25" style="2960" customWidth="1"/>
    <col min="3590" max="3590" width="6.625" style="2960" customWidth="1"/>
    <col min="3591" max="3591" width="5.5" style="2960" bestFit="1" customWidth="1"/>
    <col min="3592" max="3592" width="16.875" style="2960" customWidth="1"/>
    <col min="3593" max="3593" width="4.875" style="2960" customWidth="1"/>
    <col min="3594" max="3594" width="21.625" style="2960" customWidth="1"/>
    <col min="3595" max="3595" width="19.125" style="2960" bestFit="1" customWidth="1"/>
    <col min="3596" max="3596" width="25.25" style="2960" customWidth="1"/>
    <col min="3597" max="3597" width="9.5" style="2960" bestFit="1" customWidth="1"/>
    <col min="3598" max="3598" width="20.5" style="2960" bestFit="1" customWidth="1"/>
    <col min="3599" max="3840" width="9" style="2960"/>
    <col min="3841" max="3841" width="7.375" style="2960" customWidth="1"/>
    <col min="3842" max="3842" width="25.625" style="2960" customWidth="1"/>
    <col min="3843" max="3843" width="9.75" style="2960" customWidth="1"/>
    <col min="3844" max="3844" width="19.75" style="2960" bestFit="1" customWidth="1"/>
    <col min="3845" max="3845" width="9.25" style="2960" customWidth="1"/>
    <col min="3846" max="3846" width="6.625" style="2960" customWidth="1"/>
    <col min="3847" max="3847" width="5.5" style="2960" bestFit="1" customWidth="1"/>
    <col min="3848" max="3848" width="16.875" style="2960" customWidth="1"/>
    <col min="3849" max="3849" width="4.875" style="2960" customWidth="1"/>
    <col min="3850" max="3850" width="21.625" style="2960" customWidth="1"/>
    <col min="3851" max="3851" width="19.125" style="2960" bestFit="1" customWidth="1"/>
    <col min="3852" max="3852" width="25.25" style="2960" customWidth="1"/>
    <col min="3853" max="3853" width="9.5" style="2960" bestFit="1" customWidth="1"/>
    <col min="3854" max="3854" width="20.5" style="2960" bestFit="1" customWidth="1"/>
    <col min="3855" max="4096" width="9" style="2960"/>
    <col min="4097" max="4097" width="7.375" style="2960" customWidth="1"/>
    <col min="4098" max="4098" width="25.625" style="2960" customWidth="1"/>
    <col min="4099" max="4099" width="9.75" style="2960" customWidth="1"/>
    <col min="4100" max="4100" width="19.75" style="2960" bestFit="1" customWidth="1"/>
    <col min="4101" max="4101" width="9.25" style="2960" customWidth="1"/>
    <col min="4102" max="4102" width="6.625" style="2960" customWidth="1"/>
    <col min="4103" max="4103" width="5.5" style="2960" bestFit="1" customWidth="1"/>
    <col min="4104" max="4104" width="16.875" style="2960" customWidth="1"/>
    <col min="4105" max="4105" width="4.875" style="2960" customWidth="1"/>
    <col min="4106" max="4106" width="21.625" style="2960" customWidth="1"/>
    <col min="4107" max="4107" width="19.125" style="2960" bestFit="1" customWidth="1"/>
    <col min="4108" max="4108" width="25.25" style="2960" customWidth="1"/>
    <col min="4109" max="4109" width="9.5" style="2960" bestFit="1" customWidth="1"/>
    <col min="4110" max="4110" width="20.5" style="2960" bestFit="1" customWidth="1"/>
    <col min="4111" max="4352" width="9" style="2960"/>
    <col min="4353" max="4353" width="7.375" style="2960" customWidth="1"/>
    <col min="4354" max="4354" width="25.625" style="2960" customWidth="1"/>
    <col min="4355" max="4355" width="9.75" style="2960" customWidth="1"/>
    <col min="4356" max="4356" width="19.75" style="2960" bestFit="1" customWidth="1"/>
    <col min="4357" max="4357" width="9.25" style="2960" customWidth="1"/>
    <col min="4358" max="4358" width="6.625" style="2960" customWidth="1"/>
    <col min="4359" max="4359" width="5.5" style="2960" bestFit="1" customWidth="1"/>
    <col min="4360" max="4360" width="16.875" style="2960" customWidth="1"/>
    <col min="4361" max="4361" width="4.875" style="2960" customWidth="1"/>
    <col min="4362" max="4362" width="21.625" style="2960" customWidth="1"/>
    <col min="4363" max="4363" width="19.125" style="2960" bestFit="1" customWidth="1"/>
    <col min="4364" max="4364" width="25.25" style="2960" customWidth="1"/>
    <col min="4365" max="4365" width="9.5" style="2960" bestFit="1" customWidth="1"/>
    <col min="4366" max="4366" width="20.5" style="2960" bestFit="1" customWidth="1"/>
    <col min="4367" max="4608" width="9" style="2960"/>
    <col min="4609" max="4609" width="7.375" style="2960" customWidth="1"/>
    <col min="4610" max="4610" width="25.625" style="2960" customWidth="1"/>
    <col min="4611" max="4611" width="9.75" style="2960" customWidth="1"/>
    <col min="4612" max="4612" width="19.75" style="2960" bestFit="1" customWidth="1"/>
    <col min="4613" max="4613" width="9.25" style="2960" customWidth="1"/>
    <col min="4614" max="4614" width="6.625" style="2960" customWidth="1"/>
    <col min="4615" max="4615" width="5.5" style="2960" bestFit="1" customWidth="1"/>
    <col min="4616" max="4616" width="16.875" style="2960" customWidth="1"/>
    <col min="4617" max="4617" width="4.875" style="2960" customWidth="1"/>
    <col min="4618" max="4618" width="21.625" style="2960" customWidth="1"/>
    <col min="4619" max="4619" width="19.125" style="2960" bestFit="1" customWidth="1"/>
    <col min="4620" max="4620" width="25.25" style="2960" customWidth="1"/>
    <col min="4621" max="4621" width="9.5" style="2960" bestFit="1" customWidth="1"/>
    <col min="4622" max="4622" width="20.5" style="2960" bestFit="1" customWidth="1"/>
    <col min="4623" max="4864" width="9" style="2960"/>
    <col min="4865" max="4865" width="7.375" style="2960" customWidth="1"/>
    <col min="4866" max="4866" width="25.625" style="2960" customWidth="1"/>
    <col min="4867" max="4867" width="9.75" style="2960" customWidth="1"/>
    <col min="4868" max="4868" width="19.75" style="2960" bestFit="1" customWidth="1"/>
    <col min="4869" max="4869" width="9.25" style="2960" customWidth="1"/>
    <col min="4870" max="4870" width="6.625" style="2960" customWidth="1"/>
    <col min="4871" max="4871" width="5.5" style="2960" bestFit="1" customWidth="1"/>
    <col min="4872" max="4872" width="16.875" style="2960" customWidth="1"/>
    <col min="4873" max="4873" width="4.875" style="2960" customWidth="1"/>
    <col min="4874" max="4874" width="21.625" style="2960" customWidth="1"/>
    <col min="4875" max="4875" width="19.125" style="2960" bestFit="1" customWidth="1"/>
    <col min="4876" max="4876" width="25.25" style="2960" customWidth="1"/>
    <col min="4877" max="4877" width="9.5" style="2960" bestFit="1" customWidth="1"/>
    <col min="4878" max="4878" width="20.5" style="2960" bestFit="1" customWidth="1"/>
    <col min="4879" max="5120" width="9" style="2960"/>
    <col min="5121" max="5121" width="7.375" style="2960" customWidth="1"/>
    <col min="5122" max="5122" width="25.625" style="2960" customWidth="1"/>
    <col min="5123" max="5123" width="9.75" style="2960" customWidth="1"/>
    <col min="5124" max="5124" width="19.75" style="2960" bestFit="1" customWidth="1"/>
    <col min="5125" max="5125" width="9.25" style="2960" customWidth="1"/>
    <col min="5126" max="5126" width="6.625" style="2960" customWidth="1"/>
    <col min="5127" max="5127" width="5.5" style="2960" bestFit="1" customWidth="1"/>
    <col min="5128" max="5128" width="16.875" style="2960" customWidth="1"/>
    <col min="5129" max="5129" width="4.875" style="2960" customWidth="1"/>
    <col min="5130" max="5130" width="21.625" style="2960" customWidth="1"/>
    <col min="5131" max="5131" width="19.125" style="2960" bestFit="1" customWidth="1"/>
    <col min="5132" max="5132" width="25.25" style="2960" customWidth="1"/>
    <col min="5133" max="5133" width="9.5" style="2960" bestFit="1" customWidth="1"/>
    <col min="5134" max="5134" width="20.5" style="2960" bestFit="1" customWidth="1"/>
    <col min="5135" max="5376" width="9" style="2960"/>
    <col min="5377" max="5377" width="7.375" style="2960" customWidth="1"/>
    <col min="5378" max="5378" width="25.625" style="2960" customWidth="1"/>
    <col min="5379" max="5379" width="9.75" style="2960" customWidth="1"/>
    <col min="5380" max="5380" width="19.75" style="2960" bestFit="1" customWidth="1"/>
    <col min="5381" max="5381" width="9.25" style="2960" customWidth="1"/>
    <col min="5382" max="5382" width="6.625" style="2960" customWidth="1"/>
    <col min="5383" max="5383" width="5.5" style="2960" bestFit="1" customWidth="1"/>
    <col min="5384" max="5384" width="16.875" style="2960" customWidth="1"/>
    <col min="5385" max="5385" width="4.875" style="2960" customWidth="1"/>
    <col min="5386" max="5386" width="21.625" style="2960" customWidth="1"/>
    <col min="5387" max="5387" width="19.125" style="2960" bestFit="1" customWidth="1"/>
    <col min="5388" max="5388" width="25.25" style="2960" customWidth="1"/>
    <col min="5389" max="5389" width="9.5" style="2960" bestFit="1" customWidth="1"/>
    <col min="5390" max="5390" width="20.5" style="2960" bestFit="1" customWidth="1"/>
    <col min="5391" max="5632" width="9" style="2960"/>
    <col min="5633" max="5633" width="7.375" style="2960" customWidth="1"/>
    <col min="5634" max="5634" width="25.625" style="2960" customWidth="1"/>
    <col min="5635" max="5635" width="9.75" style="2960" customWidth="1"/>
    <col min="5636" max="5636" width="19.75" style="2960" bestFit="1" customWidth="1"/>
    <col min="5637" max="5637" width="9.25" style="2960" customWidth="1"/>
    <col min="5638" max="5638" width="6.625" style="2960" customWidth="1"/>
    <col min="5639" max="5639" width="5.5" style="2960" bestFit="1" customWidth="1"/>
    <col min="5640" max="5640" width="16.875" style="2960" customWidth="1"/>
    <col min="5641" max="5641" width="4.875" style="2960" customWidth="1"/>
    <col min="5642" max="5642" width="21.625" style="2960" customWidth="1"/>
    <col min="5643" max="5643" width="19.125" style="2960" bestFit="1" customWidth="1"/>
    <col min="5644" max="5644" width="25.25" style="2960" customWidth="1"/>
    <col min="5645" max="5645" width="9.5" style="2960" bestFit="1" customWidth="1"/>
    <col min="5646" max="5646" width="20.5" style="2960" bestFit="1" customWidth="1"/>
    <col min="5647" max="5888" width="9" style="2960"/>
    <col min="5889" max="5889" width="7.375" style="2960" customWidth="1"/>
    <col min="5890" max="5890" width="25.625" style="2960" customWidth="1"/>
    <col min="5891" max="5891" width="9.75" style="2960" customWidth="1"/>
    <col min="5892" max="5892" width="19.75" style="2960" bestFit="1" customWidth="1"/>
    <col min="5893" max="5893" width="9.25" style="2960" customWidth="1"/>
    <col min="5894" max="5894" width="6.625" style="2960" customWidth="1"/>
    <col min="5895" max="5895" width="5.5" style="2960" bestFit="1" customWidth="1"/>
    <col min="5896" max="5896" width="16.875" style="2960" customWidth="1"/>
    <col min="5897" max="5897" width="4.875" style="2960" customWidth="1"/>
    <col min="5898" max="5898" width="21.625" style="2960" customWidth="1"/>
    <col min="5899" max="5899" width="19.125" style="2960" bestFit="1" customWidth="1"/>
    <col min="5900" max="5900" width="25.25" style="2960" customWidth="1"/>
    <col min="5901" max="5901" width="9.5" style="2960" bestFit="1" customWidth="1"/>
    <col min="5902" max="5902" width="20.5" style="2960" bestFit="1" customWidth="1"/>
    <col min="5903" max="6144" width="9" style="2960"/>
    <col min="6145" max="6145" width="7.375" style="2960" customWidth="1"/>
    <col min="6146" max="6146" width="25.625" style="2960" customWidth="1"/>
    <col min="6147" max="6147" width="9.75" style="2960" customWidth="1"/>
    <col min="6148" max="6148" width="19.75" style="2960" bestFit="1" customWidth="1"/>
    <col min="6149" max="6149" width="9.25" style="2960" customWidth="1"/>
    <col min="6150" max="6150" width="6.625" style="2960" customWidth="1"/>
    <col min="6151" max="6151" width="5.5" style="2960" bestFit="1" customWidth="1"/>
    <col min="6152" max="6152" width="16.875" style="2960" customWidth="1"/>
    <col min="6153" max="6153" width="4.875" style="2960" customWidth="1"/>
    <col min="6154" max="6154" width="21.625" style="2960" customWidth="1"/>
    <col min="6155" max="6155" width="19.125" style="2960" bestFit="1" customWidth="1"/>
    <col min="6156" max="6156" width="25.25" style="2960" customWidth="1"/>
    <col min="6157" max="6157" width="9.5" style="2960" bestFit="1" customWidth="1"/>
    <col min="6158" max="6158" width="20.5" style="2960" bestFit="1" customWidth="1"/>
    <col min="6159" max="6400" width="9" style="2960"/>
    <col min="6401" max="6401" width="7.375" style="2960" customWidth="1"/>
    <col min="6402" max="6402" width="25.625" style="2960" customWidth="1"/>
    <col min="6403" max="6403" width="9.75" style="2960" customWidth="1"/>
    <col min="6404" max="6404" width="19.75" style="2960" bestFit="1" customWidth="1"/>
    <col min="6405" max="6405" width="9.25" style="2960" customWidth="1"/>
    <col min="6406" max="6406" width="6.625" style="2960" customWidth="1"/>
    <col min="6407" max="6407" width="5.5" style="2960" bestFit="1" customWidth="1"/>
    <col min="6408" max="6408" width="16.875" style="2960" customWidth="1"/>
    <col min="6409" max="6409" width="4.875" style="2960" customWidth="1"/>
    <col min="6410" max="6410" width="21.625" style="2960" customWidth="1"/>
    <col min="6411" max="6411" width="19.125" style="2960" bestFit="1" customWidth="1"/>
    <col min="6412" max="6412" width="25.25" style="2960" customWidth="1"/>
    <col min="6413" max="6413" width="9.5" style="2960" bestFit="1" customWidth="1"/>
    <col min="6414" max="6414" width="20.5" style="2960" bestFit="1" customWidth="1"/>
    <col min="6415" max="6656" width="9" style="2960"/>
    <col min="6657" max="6657" width="7.375" style="2960" customWidth="1"/>
    <col min="6658" max="6658" width="25.625" style="2960" customWidth="1"/>
    <col min="6659" max="6659" width="9.75" style="2960" customWidth="1"/>
    <col min="6660" max="6660" width="19.75" style="2960" bestFit="1" customWidth="1"/>
    <col min="6661" max="6661" width="9.25" style="2960" customWidth="1"/>
    <col min="6662" max="6662" width="6.625" style="2960" customWidth="1"/>
    <col min="6663" max="6663" width="5.5" style="2960" bestFit="1" customWidth="1"/>
    <col min="6664" max="6664" width="16.875" style="2960" customWidth="1"/>
    <col min="6665" max="6665" width="4.875" style="2960" customWidth="1"/>
    <col min="6666" max="6666" width="21.625" style="2960" customWidth="1"/>
    <col min="6667" max="6667" width="19.125" style="2960" bestFit="1" customWidth="1"/>
    <col min="6668" max="6668" width="25.25" style="2960" customWidth="1"/>
    <col min="6669" max="6669" width="9.5" style="2960" bestFit="1" customWidth="1"/>
    <col min="6670" max="6670" width="20.5" style="2960" bestFit="1" customWidth="1"/>
    <col min="6671" max="6912" width="9" style="2960"/>
    <col min="6913" max="6913" width="7.375" style="2960" customWidth="1"/>
    <col min="6914" max="6914" width="25.625" style="2960" customWidth="1"/>
    <col min="6915" max="6915" width="9.75" style="2960" customWidth="1"/>
    <col min="6916" max="6916" width="19.75" style="2960" bestFit="1" customWidth="1"/>
    <col min="6917" max="6917" width="9.25" style="2960" customWidth="1"/>
    <col min="6918" max="6918" width="6.625" style="2960" customWidth="1"/>
    <col min="6919" max="6919" width="5.5" style="2960" bestFit="1" customWidth="1"/>
    <col min="6920" max="6920" width="16.875" style="2960" customWidth="1"/>
    <col min="6921" max="6921" width="4.875" style="2960" customWidth="1"/>
    <col min="6922" max="6922" width="21.625" style="2960" customWidth="1"/>
    <col min="6923" max="6923" width="19.125" style="2960" bestFit="1" customWidth="1"/>
    <col min="6924" max="6924" width="25.25" style="2960" customWidth="1"/>
    <col min="6925" max="6925" width="9.5" style="2960" bestFit="1" customWidth="1"/>
    <col min="6926" max="6926" width="20.5" style="2960" bestFit="1" customWidth="1"/>
    <col min="6927" max="7168" width="9" style="2960"/>
    <col min="7169" max="7169" width="7.375" style="2960" customWidth="1"/>
    <col min="7170" max="7170" width="25.625" style="2960" customWidth="1"/>
    <col min="7171" max="7171" width="9.75" style="2960" customWidth="1"/>
    <col min="7172" max="7172" width="19.75" style="2960" bestFit="1" customWidth="1"/>
    <col min="7173" max="7173" width="9.25" style="2960" customWidth="1"/>
    <col min="7174" max="7174" width="6.625" style="2960" customWidth="1"/>
    <col min="7175" max="7175" width="5.5" style="2960" bestFit="1" customWidth="1"/>
    <col min="7176" max="7176" width="16.875" style="2960" customWidth="1"/>
    <col min="7177" max="7177" width="4.875" style="2960" customWidth="1"/>
    <col min="7178" max="7178" width="21.625" style="2960" customWidth="1"/>
    <col min="7179" max="7179" width="19.125" style="2960" bestFit="1" customWidth="1"/>
    <col min="7180" max="7180" width="25.25" style="2960" customWidth="1"/>
    <col min="7181" max="7181" width="9.5" style="2960" bestFit="1" customWidth="1"/>
    <col min="7182" max="7182" width="20.5" style="2960" bestFit="1" customWidth="1"/>
    <col min="7183" max="7424" width="9" style="2960"/>
    <col min="7425" max="7425" width="7.375" style="2960" customWidth="1"/>
    <col min="7426" max="7426" width="25.625" style="2960" customWidth="1"/>
    <col min="7427" max="7427" width="9.75" style="2960" customWidth="1"/>
    <col min="7428" max="7428" width="19.75" style="2960" bestFit="1" customWidth="1"/>
    <col min="7429" max="7429" width="9.25" style="2960" customWidth="1"/>
    <col min="7430" max="7430" width="6.625" style="2960" customWidth="1"/>
    <col min="7431" max="7431" width="5.5" style="2960" bestFit="1" customWidth="1"/>
    <col min="7432" max="7432" width="16.875" style="2960" customWidth="1"/>
    <col min="7433" max="7433" width="4.875" style="2960" customWidth="1"/>
    <col min="7434" max="7434" width="21.625" style="2960" customWidth="1"/>
    <col min="7435" max="7435" width="19.125" style="2960" bestFit="1" customWidth="1"/>
    <col min="7436" max="7436" width="25.25" style="2960" customWidth="1"/>
    <col min="7437" max="7437" width="9.5" style="2960" bestFit="1" customWidth="1"/>
    <col min="7438" max="7438" width="20.5" style="2960" bestFit="1" customWidth="1"/>
    <col min="7439" max="7680" width="9" style="2960"/>
    <col min="7681" max="7681" width="7.375" style="2960" customWidth="1"/>
    <col min="7682" max="7682" width="25.625" style="2960" customWidth="1"/>
    <col min="7683" max="7683" width="9.75" style="2960" customWidth="1"/>
    <col min="7684" max="7684" width="19.75" style="2960" bestFit="1" customWidth="1"/>
    <col min="7685" max="7685" width="9.25" style="2960" customWidth="1"/>
    <col min="7686" max="7686" width="6.625" style="2960" customWidth="1"/>
    <col min="7687" max="7687" width="5.5" style="2960" bestFit="1" customWidth="1"/>
    <col min="7688" max="7688" width="16.875" style="2960" customWidth="1"/>
    <col min="7689" max="7689" width="4.875" style="2960" customWidth="1"/>
    <col min="7690" max="7690" width="21.625" style="2960" customWidth="1"/>
    <col min="7691" max="7691" width="19.125" style="2960" bestFit="1" customWidth="1"/>
    <col min="7692" max="7692" width="25.25" style="2960" customWidth="1"/>
    <col min="7693" max="7693" width="9.5" style="2960" bestFit="1" customWidth="1"/>
    <col min="7694" max="7694" width="20.5" style="2960" bestFit="1" customWidth="1"/>
    <col min="7695" max="7936" width="9" style="2960"/>
    <col min="7937" max="7937" width="7.375" style="2960" customWidth="1"/>
    <col min="7938" max="7938" width="25.625" style="2960" customWidth="1"/>
    <col min="7939" max="7939" width="9.75" style="2960" customWidth="1"/>
    <col min="7940" max="7940" width="19.75" style="2960" bestFit="1" customWidth="1"/>
    <col min="7941" max="7941" width="9.25" style="2960" customWidth="1"/>
    <col min="7942" max="7942" width="6.625" style="2960" customWidth="1"/>
    <col min="7943" max="7943" width="5.5" style="2960" bestFit="1" customWidth="1"/>
    <col min="7944" max="7944" width="16.875" style="2960" customWidth="1"/>
    <col min="7945" max="7945" width="4.875" style="2960" customWidth="1"/>
    <col min="7946" max="7946" width="21.625" style="2960" customWidth="1"/>
    <col min="7947" max="7947" width="19.125" style="2960" bestFit="1" customWidth="1"/>
    <col min="7948" max="7948" width="25.25" style="2960" customWidth="1"/>
    <col min="7949" max="7949" width="9.5" style="2960" bestFit="1" customWidth="1"/>
    <col min="7950" max="7950" width="20.5" style="2960" bestFit="1" customWidth="1"/>
    <col min="7951" max="8192" width="9" style="2960"/>
    <col min="8193" max="8193" width="7.375" style="2960" customWidth="1"/>
    <col min="8194" max="8194" width="25.625" style="2960" customWidth="1"/>
    <col min="8195" max="8195" width="9.75" style="2960" customWidth="1"/>
    <col min="8196" max="8196" width="19.75" style="2960" bestFit="1" customWidth="1"/>
    <col min="8197" max="8197" width="9.25" style="2960" customWidth="1"/>
    <col min="8198" max="8198" width="6.625" style="2960" customWidth="1"/>
    <col min="8199" max="8199" width="5.5" style="2960" bestFit="1" customWidth="1"/>
    <col min="8200" max="8200" width="16.875" style="2960" customWidth="1"/>
    <col min="8201" max="8201" width="4.875" style="2960" customWidth="1"/>
    <col min="8202" max="8202" width="21.625" style="2960" customWidth="1"/>
    <col min="8203" max="8203" width="19.125" style="2960" bestFit="1" customWidth="1"/>
    <col min="8204" max="8204" width="25.25" style="2960" customWidth="1"/>
    <col min="8205" max="8205" width="9.5" style="2960" bestFit="1" customWidth="1"/>
    <col min="8206" max="8206" width="20.5" style="2960" bestFit="1" customWidth="1"/>
    <col min="8207" max="8448" width="9" style="2960"/>
    <col min="8449" max="8449" width="7.375" style="2960" customWidth="1"/>
    <col min="8450" max="8450" width="25.625" style="2960" customWidth="1"/>
    <col min="8451" max="8451" width="9.75" style="2960" customWidth="1"/>
    <col min="8452" max="8452" width="19.75" style="2960" bestFit="1" customWidth="1"/>
    <col min="8453" max="8453" width="9.25" style="2960" customWidth="1"/>
    <col min="8454" max="8454" width="6.625" style="2960" customWidth="1"/>
    <col min="8455" max="8455" width="5.5" style="2960" bestFit="1" customWidth="1"/>
    <col min="8456" max="8456" width="16.875" style="2960" customWidth="1"/>
    <col min="8457" max="8457" width="4.875" style="2960" customWidth="1"/>
    <col min="8458" max="8458" width="21.625" style="2960" customWidth="1"/>
    <col min="8459" max="8459" width="19.125" style="2960" bestFit="1" customWidth="1"/>
    <col min="8460" max="8460" width="25.25" style="2960" customWidth="1"/>
    <col min="8461" max="8461" width="9.5" style="2960" bestFit="1" customWidth="1"/>
    <col min="8462" max="8462" width="20.5" style="2960" bestFit="1" customWidth="1"/>
    <col min="8463" max="8704" width="9" style="2960"/>
    <col min="8705" max="8705" width="7.375" style="2960" customWidth="1"/>
    <col min="8706" max="8706" width="25.625" style="2960" customWidth="1"/>
    <col min="8707" max="8707" width="9.75" style="2960" customWidth="1"/>
    <col min="8708" max="8708" width="19.75" style="2960" bestFit="1" customWidth="1"/>
    <col min="8709" max="8709" width="9.25" style="2960" customWidth="1"/>
    <col min="8710" max="8710" width="6.625" style="2960" customWidth="1"/>
    <col min="8711" max="8711" width="5.5" style="2960" bestFit="1" customWidth="1"/>
    <col min="8712" max="8712" width="16.875" style="2960" customWidth="1"/>
    <col min="8713" max="8713" width="4.875" style="2960" customWidth="1"/>
    <col min="8714" max="8714" width="21.625" style="2960" customWidth="1"/>
    <col min="8715" max="8715" width="19.125" style="2960" bestFit="1" customWidth="1"/>
    <col min="8716" max="8716" width="25.25" style="2960" customWidth="1"/>
    <col min="8717" max="8717" width="9.5" style="2960" bestFit="1" customWidth="1"/>
    <col min="8718" max="8718" width="20.5" style="2960" bestFit="1" customWidth="1"/>
    <col min="8719" max="8960" width="9" style="2960"/>
    <col min="8961" max="8961" width="7.375" style="2960" customWidth="1"/>
    <col min="8962" max="8962" width="25.625" style="2960" customWidth="1"/>
    <col min="8963" max="8963" width="9.75" style="2960" customWidth="1"/>
    <col min="8964" max="8964" width="19.75" style="2960" bestFit="1" customWidth="1"/>
    <col min="8965" max="8965" width="9.25" style="2960" customWidth="1"/>
    <col min="8966" max="8966" width="6.625" style="2960" customWidth="1"/>
    <col min="8967" max="8967" width="5.5" style="2960" bestFit="1" customWidth="1"/>
    <col min="8968" max="8968" width="16.875" style="2960" customWidth="1"/>
    <col min="8969" max="8969" width="4.875" style="2960" customWidth="1"/>
    <col min="8970" max="8970" width="21.625" style="2960" customWidth="1"/>
    <col min="8971" max="8971" width="19.125" style="2960" bestFit="1" customWidth="1"/>
    <col min="8972" max="8972" width="25.25" style="2960" customWidth="1"/>
    <col min="8973" max="8973" width="9.5" style="2960" bestFit="1" customWidth="1"/>
    <col min="8974" max="8974" width="20.5" style="2960" bestFit="1" customWidth="1"/>
    <col min="8975" max="9216" width="9" style="2960"/>
    <col min="9217" max="9217" width="7.375" style="2960" customWidth="1"/>
    <col min="9218" max="9218" width="25.625" style="2960" customWidth="1"/>
    <col min="9219" max="9219" width="9.75" style="2960" customWidth="1"/>
    <col min="9220" max="9220" width="19.75" style="2960" bestFit="1" customWidth="1"/>
    <col min="9221" max="9221" width="9.25" style="2960" customWidth="1"/>
    <col min="9222" max="9222" width="6.625" style="2960" customWidth="1"/>
    <col min="9223" max="9223" width="5.5" style="2960" bestFit="1" customWidth="1"/>
    <col min="9224" max="9224" width="16.875" style="2960" customWidth="1"/>
    <col min="9225" max="9225" width="4.875" style="2960" customWidth="1"/>
    <col min="9226" max="9226" width="21.625" style="2960" customWidth="1"/>
    <col min="9227" max="9227" width="19.125" style="2960" bestFit="1" customWidth="1"/>
    <col min="9228" max="9228" width="25.25" style="2960" customWidth="1"/>
    <col min="9229" max="9229" width="9.5" style="2960" bestFit="1" customWidth="1"/>
    <col min="9230" max="9230" width="20.5" style="2960" bestFit="1" customWidth="1"/>
    <col min="9231" max="9472" width="9" style="2960"/>
    <col min="9473" max="9473" width="7.375" style="2960" customWidth="1"/>
    <col min="9474" max="9474" width="25.625" style="2960" customWidth="1"/>
    <col min="9475" max="9475" width="9.75" style="2960" customWidth="1"/>
    <col min="9476" max="9476" width="19.75" style="2960" bestFit="1" customWidth="1"/>
    <col min="9477" max="9477" width="9.25" style="2960" customWidth="1"/>
    <col min="9478" max="9478" width="6.625" style="2960" customWidth="1"/>
    <col min="9479" max="9479" width="5.5" style="2960" bestFit="1" customWidth="1"/>
    <col min="9480" max="9480" width="16.875" style="2960" customWidth="1"/>
    <col min="9481" max="9481" width="4.875" style="2960" customWidth="1"/>
    <col min="9482" max="9482" width="21.625" style="2960" customWidth="1"/>
    <col min="9483" max="9483" width="19.125" style="2960" bestFit="1" customWidth="1"/>
    <col min="9484" max="9484" width="25.25" style="2960" customWidth="1"/>
    <col min="9485" max="9485" width="9.5" style="2960" bestFit="1" customWidth="1"/>
    <col min="9486" max="9486" width="20.5" style="2960" bestFit="1" customWidth="1"/>
    <col min="9487" max="9728" width="9" style="2960"/>
    <col min="9729" max="9729" width="7.375" style="2960" customWidth="1"/>
    <col min="9730" max="9730" width="25.625" style="2960" customWidth="1"/>
    <col min="9731" max="9731" width="9.75" style="2960" customWidth="1"/>
    <col min="9732" max="9732" width="19.75" style="2960" bestFit="1" customWidth="1"/>
    <col min="9733" max="9733" width="9.25" style="2960" customWidth="1"/>
    <col min="9734" max="9734" width="6.625" style="2960" customWidth="1"/>
    <col min="9735" max="9735" width="5.5" style="2960" bestFit="1" customWidth="1"/>
    <col min="9736" max="9736" width="16.875" style="2960" customWidth="1"/>
    <col min="9737" max="9737" width="4.875" style="2960" customWidth="1"/>
    <col min="9738" max="9738" width="21.625" style="2960" customWidth="1"/>
    <col min="9739" max="9739" width="19.125" style="2960" bestFit="1" customWidth="1"/>
    <col min="9740" max="9740" width="25.25" style="2960" customWidth="1"/>
    <col min="9741" max="9741" width="9.5" style="2960" bestFit="1" customWidth="1"/>
    <col min="9742" max="9742" width="20.5" style="2960" bestFit="1" customWidth="1"/>
    <col min="9743" max="9984" width="9" style="2960"/>
    <col min="9985" max="9985" width="7.375" style="2960" customWidth="1"/>
    <col min="9986" max="9986" width="25.625" style="2960" customWidth="1"/>
    <col min="9987" max="9987" width="9.75" style="2960" customWidth="1"/>
    <col min="9988" max="9988" width="19.75" style="2960" bestFit="1" customWidth="1"/>
    <col min="9989" max="9989" width="9.25" style="2960" customWidth="1"/>
    <col min="9990" max="9990" width="6.625" style="2960" customWidth="1"/>
    <col min="9991" max="9991" width="5.5" style="2960" bestFit="1" customWidth="1"/>
    <col min="9992" max="9992" width="16.875" style="2960" customWidth="1"/>
    <col min="9993" max="9993" width="4.875" style="2960" customWidth="1"/>
    <col min="9994" max="9994" width="21.625" style="2960" customWidth="1"/>
    <col min="9995" max="9995" width="19.125" style="2960" bestFit="1" customWidth="1"/>
    <col min="9996" max="9996" width="25.25" style="2960" customWidth="1"/>
    <col min="9997" max="9997" width="9.5" style="2960" bestFit="1" customWidth="1"/>
    <col min="9998" max="9998" width="20.5" style="2960" bestFit="1" customWidth="1"/>
    <col min="9999" max="10240" width="9" style="2960"/>
    <col min="10241" max="10241" width="7.375" style="2960" customWidth="1"/>
    <col min="10242" max="10242" width="25.625" style="2960" customWidth="1"/>
    <col min="10243" max="10243" width="9.75" style="2960" customWidth="1"/>
    <col min="10244" max="10244" width="19.75" style="2960" bestFit="1" customWidth="1"/>
    <col min="10245" max="10245" width="9.25" style="2960" customWidth="1"/>
    <col min="10246" max="10246" width="6.625" style="2960" customWidth="1"/>
    <col min="10247" max="10247" width="5.5" style="2960" bestFit="1" customWidth="1"/>
    <col min="10248" max="10248" width="16.875" style="2960" customWidth="1"/>
    <col min="10249" max="10249" width="4.875" style="2960" customWidth="1"/>
    <col min="10250" max="10250" width="21.625" style="2960" customWidth="1"/>
    <col min="10251" max="10251" width="19.125" style="2960" bestFit="1" customWidth="1"/>
    <col min="10252" max="10252" width="25.25" style="2960" customWidth="1"/>
    <col min="10253" max="10253" width="9.5" style="2960" bestFit="1" customWidth="1"/>
    <col min="10254" max="10254" width="20.5" style="2960" bestFit="1" customWidth="1"/>
    <col min="10255" max="10496" width="9" style="2960"/>
    <col min="10497" max="10497" width="7.375" style="2960" customWidth="1"/>
    <col min="10498" max="10498" width="25.625" style="2960" customWidth="1"/>
    <col min="10499" max="10499" width="9.75" style="2960" customWidth="1"/>
    <col min="10500" max="10500" width="19.75" style="2960" bestFit="1" customWidth="1"/>
    <col min="10501" max="10501" width="9.25" style="2960" customWidth="1"/>
    <col min="10502" max="10502" width="6.625" style="2960" customWidth="1"/>
    <col min="10503" max="10503" width="5.5" style="2960" bestFit="1" customWidth="1"/>
    <col min="10504" max="10504" width="16.875" style="2960" customWidth="1"/>
    <col min="10505" max="10505" width="4.875" style="2960" customWidth="1"/>
    <col min="10506" max="10506" width="21.625" style="2960" customWidth="1"/>
    <col min="10507" max="10507" width="19.125" style="2960" bestFit="1" customWidth="1"/>
    <col min="10508" max="10508" width="25.25" style="2960" customWidth="1"/>
    <col min="10509" max="10509" width="9.5" style="2960" bestFit="1" customWidth="1"/>
    <col min="10510" max="10510" width="20.5" style="2960" bestFit="1" customWidth="1"/>
    <col min="10511" max="10752" width="9" style="2960"/>
    <col min="10753" max="10753" width="7.375" style="2960" customWidth="1"/>
    <col min="10754" max="10754" width="25.625" style="2960" customWidth="1"/>
    <col min="10755" max="10755" width="9.75" style="2960" customWidth="1"/>
    <col min="10756" max="10756" width="19.75" style="2960" bestFit="1" customWidth="1"/>
    <col min="10757" max="10757" width="9.25" style="2960" customWidth="1"/>
    <col min="10758" max="10758" width="6.625" style="2960" customWidth="1"/>
    <col min="10759" max="10759" width="5.5" style="2960" bestFit="1" customWidth="1"/>
    <col min="10760" max="10760" width="16.875" style="2960" customWidth="1"/>
    <col min="10761" max="10761" width="4.875" style="2960" customWidth="1"/>
    <col min="10762" max="10762" width="21.625" style="2960" customWidth="1"/>
    <col min="10763" max="10763" width="19.125" style="2960" bestFit="1" customWidth="1"/>
    <col min="10764" max="10764" width="25.25" style="2960" customWidth="1"/>
    <col min="10765" max="10765" width="9.5" style="2960" bestFit="1" customWidth="1"/>
    <col min="10766" max="10766" width="20.5" style="2960" bestFit="1" customWidth="1"/>
    <col min="10767" max="11008" width="9" style="2960"/>
    <col min="11009" max="11009" width="7.375" style="2960" customWidth="1"/>
    <col min="11010" max="11010" width="25.625" style="2960" customWidth="1"/>
    <col min="11011" max="11011" width="9.75" style="2960" customWidth="1"/>
    <col min="11012" max="11012" width="19.75" style="2960" bestFit="1" customWidth="1"/>
    <col min="11013" max="11013" width="9.25" style="2960" customWidth="1"/>
    <col min="11014" max="11014" width="6.625" style="2960" customWidth="1"/>
    <col min="11015" max="11015" width="5.5" style="2960" bestFit="1" customWidth="1"/>
    <col min="11016" max="11016" width="16.875" style="2960" customWidth="1"/>
    <col min="11017" max="11017" width="4.875" style="2960" customWidth="1"/>
    <col min="11018" max="11018" width="21.625" style="2960" customWidth="1"/>
    <col min="11019" max="11019" width="19.125" style="2960" bestFit="1" customWidth="1"/>
    <col min="11020" max="11020" width="25.25" style="2960" customWidth="1"/>
    <col min="11021" max="11021" width="9.5" style="2960" bestFit="1" customWidth="1"/>
    <col min="11022" max="11022" width="20.5" style="2960" bestFit="1" customWidth="1"/>
    <col min="11023" max="11264" width="9" style="2960"/>
    <col min="11265" max="11265" width="7.375" style="2960" customWidth="1"/>
    <col min="11266" max="11266" width="25.625" style="2960" customWidth="1"/>
    <col min="11267" max="11267" width="9.75" style="2960" customWidth="1"/>
    <col min="11268" max="11268" width="19.75" style="2960" bestFit="1" customWidth="1"/>
    <col min="11269" max="11269" width="9.25" style="2960" customWidth="1"/>
    <col min="11270" max="11270" width="6.625" style="2960" customWidth="1"/>
    <col min="11271" max="11271" width="5.5" style="2960" bestFit="1" customWidth="1"/>
    <col min="11272" max="11272" width="16.875" style="2960" customWidth="1"/>
    <col min="11273" max="11273" width="4.875" style="2960" customWidth="1"/>
    <col min="11274" max="11274" width="21.625" style="2960" customWidth="1"/>
    <col min="11275" max="11275" width="19.125" style="2960" bestFit="1" customWidth="1"/>
    <col min="11276" max="11276" width="25.25" style="2960" customWidth="1"/>
    <col min="11277" max="11277" width="9.5" style="2960" bestFit="1" customWidth="1"/>
    <col min="11278" max="11278" width="20.5" style="2960" bestFit="1" customWidth="1"/>
    <col min="11279" max="11520" width="9" style="2960"/>
    <col min="11521" max="11521" width="7.375" style="2960" customWidth="1"/>
    <col min="11522" max="11522" width="25.625" style="2960" customWidth="1"/>
    <col min="11523" max="11523" width="9.75" style="2960" customWidth="1"/>
    <col min="11524" max="11524" width="19.75" style="2960" bestFit="1" customWidth="1"/>
    <col min="11525" max="11525" width="9.25" style="2960" customWidth="1"/>
    <col min="11526" max="11526" width="6.625" style="2960" customWidth="1"/>
    <col min="11527" max="11527" width="5.5" style="2960" bestFit="1" customWidth="1"/>
    <col min="11528" max="11528" width="16.875" style="2960" customWidth="1"/>
    <col min="11529" max="11529" width="4.875" style="2960" customWidth="1"/>
    <col min="11530" max="11530" width="21.625" style="2960" customWidth="1"/>
    <col min="11531" max="11531" width="19.125" style="2960" bestFit="1" customWidth="1"/>
    <col min="11532" max="11532" width="25.25" style="2960" customWidth="1"/>
    <col min="11533" max="11533" width="9.5" style="2960" bestFit="1" customWidth="1"/>
    <col min="11534" max="11534" width="20.5" style="2960" bestFit="1" customWidth="1"/>
    <col min="11535" max="11776" width="9" style="2960"/>
    <col min="11777" max="11777" width="7.375" style="2960" customWidth="1"/>
    <col min="11778" max="11778" width="25.625" style="2960" customWidth="1"/>
    <col min="11779" max="11779" width="9.75" style="2960" customWidth="1"/>
    <col min="11780" max="11780" width="19.75" style="2960" bestFit="1" customWidth="1"/>
    <col min="11781" max="11781" width="9.25" style="2960" customWidth="1"/>
    <col min="11782" max="11782" width="6.625" style="2960" customWidth="1"/>
    <col min="11783" max="11783" width="5.5" style="2960" bestFit="1" customWidth="1"/>
    <col min="11784" max="11784" width="16.875" style="2960" customWidth="1"/>
    <col min="11785" max="11785" width="4.875" style="2960" customWidth="1"/>
    <col min="11786" max="11786" width="21.625" style="2960" customWidth="1"/>
    <col min="11787" max="11787" width="19.125" style="2960" bestFit="1" customWidth="1"/>
    <col min="11788" max="11788" width="25.25" style="2960" customWidth="1"/>
    <col min="11789" max="11789" width="9.5" style="2960" bestFit="1" customWidth="1"/>
    <col min="11790" max="11790" width="20.5" style="2960" bestFit="1" customWidth="1"/>
    <col min="11791" max="12032" width="9" style="2960"/>
    <col min="12033" max="12033" width="7.375" style="2960" customWidth="1"/>
    <col min="12034" max="12034" width="25.625" style="2960" customWidth="1"/>
    <col min="12035" max="12035" width="9.75" style="2960" customWidth="1"/>
    <col min="12036" max="12036" width="19.75" style="2960" bestFit="1" customWidth="1"/>
    <col min="12037" max="12037" width="9.25" style="2960" customWidth="1"/>
    <col min="12038" max="12038" width="6.625" style="2960" customWidth="1"/>
    <col min="12039" max="12039" width="5.5" style="2960" bestFit="1" customWidth="1"/>
    <col min="12040" max="12040" width="16.875" style="2960" customWidth="1"/>
    <col min="12041" max="12041" width="4.875" style="2960" customWidth="1"/>
    <col min="12042" max="12042" width="21.625" style="2960" customWidth="1"/>
    <col min="12043" max="12043" width="19.125" style="2960" bestFit="1" customWidth="1"/>
    <col min="12044" max="12044" width="25.25" style="2960" customWidth="1"/>
    <col min="12045" max="12045" width="9.5" style="2960" bestFit="1" customWidth="1"/>
    <col min="12046" max="12046" width="20.5" style="2960" bestFit="1" customWidth="1"/>
    <col min="12047" max="12288" width="9" style="2960"/>
    <col min="12289" max="12289" width="7.375" style="2960" customWidth="1"/>
    <col min="12290" max="12290" width="25.625" style="2960" customWidth="1"/>
    <col min="12291" max="12291" width="9.75" style="2960" customWidth="1"/>
    <col min="12292" max="12292" width="19.75" style="2960" bestFit="1" customWidth="1"/>
    <col min="12293" max="12293" width="9.25" style="2960" customWidth="1"/>
    <col min="12294" max="12294" width="6.625" style="2960" customWidth="1"/>
    <col min="12295" max="12295" width="5.5" style="2960" bestFit="1" customWidth="1"/>
    <col min="12296" max="12296" width="16.875" style="2960" customWidth="1"/>
    <col min="12297" max="12297" width="4.875" style="2960" customWidth="1"/>
    <col min="12298" max="12298" width="21.625" style="2960" customWidth="1"/>
    <col min="12299" max="12299" width="19.125" style="2960" bestFit="1" customWidth="1"/>
    <col min="12300" max="12300" width="25.25" style="2960" customWidth="1"/>
    <col min="12301" max="12301" width="9.5" style="2960" bestFit="1" customWidth="1"/>
    <col min="12302" max="12302" width="20.5" style="2960" bestFit="1" customWidth="1"/>
    <col min="12303" max="12544" width="9" style="2960"/>
    <col min="12545" max="12545" width="7.375" style="2960" customWidth="1"/>
    <col min="12546" max="12546" width="25.625" style="2960" customWidth="1"/>
    <col min="12547" max="12547" width="9.75" style="2960" customWidth="1"/>
    <col min="12548" max="12548" width="19.75" style="2960" bestFit="1" customWidth="1"/>
    <col min="12549" max="12549" width="9.25" style="2960" customWidth="1"/>
    <col min="12550" max="12550" width="6.625" style="2960" customWidth="1"/>
    <col min="12551" max="12551" width="5.5" style="2960" bestFit="1" customWidth="1"/>
    <col min="12552" max="12552" width="16.875" style="2960" customWidth="1"/>
    <col min="12553" max="12553" width="4.875" style="2960" customWidth="1"/>
    <col min="12554" max="12554" width="21.625" style="2960" customWidth="1"/>
    <col min="12555" max="12555" width="19.125" style="2960" bestFit="1" customWidth="1"/>
    <col min="12556" max="12556" width="25.25" style="2960" customWidth="1"/>
    <col min="12557" max="12557" width="9.5" style="2960" bestFit="1" customWidth="1"/>
    <col min="12558" max="12558" width="20.5" style="2960" bestFit="1" customWidth="1"/>
    <col min="12559" max="12800" width="9" style="2960"/>
    <col min="12801" max="12801" width="7.375" style="2960" customWidth="1"/>
    <col min="12802" max="12802" width="25.625" style="2960" customWidth="1"/>
    <col min="12803" max="12803" width="9.75" style="2960" customWidth="1"/>
    <col min="12804" max="12804" width="19.75" style="2960" bestFit="1" customWidth="1"/>
    <col min="12805" max="12805" width="9.25" style="2960" customWidth="1"/>
    <col min="12806" max="12806" width="6.625" style="2960" customWidth="1"/>
    <col min="12807" max="12807" width="5.5" style="2960" bestFit="1" customWidth="1"/>
    <col min="12808" max="12808" width="16.875" style="2960" customWidth="1"/>
    <col min="12809" max="12809" width="4.875" style="2960" customWidth="1"/>
    <col min="12810" max="12810" width="21.625" style="2960" customWidth="1"/>
    <col min="12811" max="12811" width="19.125" style="2960" bestFit="1" customWidth="1"/>
    <col min="12812" max="12812" width="25.25" style="2960" customWidth="1"/>
    <col min="12813" max="12813" width="9.5" style="2960" bestFit="1" customWidth="1"/>
    <col min="12814" max="12814" width="20.5" style="2960" bestFit="1" customWidth="1"/>
    <col min="12815" max="13056" width="9" style="2960"/>
    <col min="13057" max="13057" width="7.375" style="2960" customWidth="1"/>
    <col min="13058" max="13058" width="25.625" style="2960" customWidth="1"/>
    <col min="13059" max="13059" width="9.75" style="2960" customWidth="1"/>
    <col min="13060" max="13060" width="19.75" style="2960" bestFit="1" customWidth="1"/>
    <col min="13061" max="13061" width="9.25" style="2960" customWidth="1"/>
    <col min="13062" max="13062" width="6.625" style="2960" customWidth="1"/>
    <col min="13063" max="13063" width="5.5" style="2960" bestFit="1" customWidth="1"/>
    <col min="13064" max="13064" width="16.875" style="2960" customWidth="1"/>
    <col min="13065" max="13065" width="4.875" style="2960" customWidth="1"/>
    <col min="13066" max="13066" width="21.625" style="2960" customWidth="1"/>
    <col min="13067" max="13067" width="19.125" style="2960" bestFit="1" customWidth="1"/>
    <col min="13068" max="13068" width="25.25" style="2960" customWidth="1"/>
    <col min="13069" max="13069" width="9.5" style="2960" bestFit="1" customWidth="1"/>
    <col min="13070" max="13070" width="20.5" style="2960" bestFit="1" customWidth="1"/>
    <col min="13071" max="13312" width="9" style="2960"/>
    <col min="13313" max="13313" width="7.375" style="2960" customWidth="1"/>
    <col min="13314" max="13314" width="25.625" style="2960" customWidth="1"/>
    <col min="13315" max="13315" width="9.75" style="2960" customWidth="1"/>
    <col min="13316" max="13316" width="19.75" style="2960" bestFit="1" customWidth="1"/>
    <col min="13317" max="13317" width="9.25" style="2960" customWidth="1"/>
    <col min="13318" max="13318" width="6.625" style="2960" customWidth="1"/>
    <col min="13319" max="13319" width="5.5" style="2960" bestFit="1" customWidth="1"/>
    <col min="13320" max="13320" width="16.875" style="2960" customWidth="1"/>
    <col min="13321" max="13321" width="4.875" style="2960" customWidth="1"/>
    <col min="13322" max="13322" width="21.625" style="2960" customWidth="1"/>
    <col min="13323" max="13323" width="19.125" style="2960" bestFit="1" customWidth="1"/>
    <col min="13324" max="13324" width="25.25" style="2960" customWidth="1"/>
    <col min="13325" max="13325" width="9.5" style="2960" bestFit="1" customWidth="1"/>
    <col min="13326" max="13326" width="20.5" style="2960" bestFit="1" customWidth="1"/>
    <col min="13327" max="13568" width="9" style="2960"/>
    <col min="13569" max="13569" width="7.375" style="2960" customWidth="1"/>
    <col min="13570" max="13570" width="25.625" style="2960" customWidth="1"/>
    <col min="13571" max="13571" width="9.75" style="2960" customWidth="1"/>
    <col min="13572" max="13572" width="19.75" style="2960" bestFit="1" customWidth="1"/>
    <col min="13573" max="13573" width="9.25" style="2960" customWidth="1"/>
    <col min="13574" max="13574" width="6.625" style="2960" customWidth="1"/>
    <col min="13575" max="13575" width="5.5" style="2960" bestFit="1" customWidth="1"/>
    <col min="13576" max="13576" width="16.875" style="2960" customWidth="1"/>
    <col min="13577" max="13577" width="4.875" style="2960" customWidth="1"/>
    <col min="13578" max="13578" width="21.625" style="2960" customWidth="1"/>
    <col min="13579" max="13579" width="19.125" style="2960" bestFit="1" customWidth="1"/>
    <col min="13580" max="13580" width="25.25" style="2960" customWidth="1"/>
    <col min="13581" max="13581" width="9.5" style="2960" bestFit="1" customWidth="1"/>
    <col min="13582" max="13582" width="20.5" style="2960" bestFit="1" customWidth="1"/>
    <col min="13583" max="13824" width="9" style="2960"/>
    <col min="13825" max="13825" width="7.375" style="2960" customWidth="1"/>
    <col min="13826" max="13826" width="25.625" style="2960" customWidth="1"/>
    <col min="13827" max="13827" width="9.75" style="2960" customWidth="1"/>
    <col min="13828" max="13828" width="19.75" style="2960" bestFit="1" customWidth="1"/>
    <col min="13829" max="13829" width="9.25" style="2960" customWidth="1"/>
    <col min="13830" max="13830" width="6.625" style="2960" customWidth="1"/>
    <col min="13831" max="13831" width="5.5" style="2960" bestFit="1" customWidth="1"/>
    <col min="13832" max="13832" width="16.875" style="2960" customWidth="1"/>
    <col min="13833" max="13833" width="4.875" style="2960" customWidth="1"/>
    <col min="13834" max="13834" width="21.625" style="2960" customWidth="1"/>
    <col min="13835" max="13835" width="19.125" style="2960" bestFit="1" customWidth="1"/>
    <col min="13836" max="13836" width="25.25" style="2960" customWidth="1"/>
    <col min="13837" max="13837" width="9.5" style="2960" bestFit="1" customWidth="1"/>
    <col min="13838" max="13838" width="20.5" style="2960" bestFit="1" customWidth="1"/>
    <col min="13839" max="14080" width="9" style="2960"/>
    <col min="14081" max="14081" width="7.375" style="2960" customWidth="1"/>
    <col min="14082" max="14082" width="25.625" style="2960" customWidth="1"/>
    <col min="14083" max="14083" width="9.75" style="2960" customWidth="1"/>
    <col min="14084" max="14084" width="19.75" style="2960" bestFit="1" customWidth="1"/>
    <col min="14085" max="14085" width="9.25" style="2960" customWidth="1"/>
    <col min="14086" max="14086" width="6.625" style="2960" customWidth="1"/>
    <col min="14087" max="14087" width="5.5" style="2960" bestFit="1" customWidth="1"/>
    <col min="14088" max="14088" width="16.875" style="2960" customWidth="1"/>
    <col min="14089" max="14089" width="4.875" style="2960" customWidth="1"/>
    <col min="14090" max="14090" width="21.625" style="2960" customWidth="1"/>
    <col min="14091" max="14091" width="19.125" style="2960" bestFit="1" customWidth="1"/>
    <col min="14092" max="14092" width="25.25" style="2960" customWidth="1"/>
    <col min="14093" max="14093" width="9.5" style="2960" bestFit="1" customWidth="1"/>
    <col min="14094" max="14094" width="20.5" style="2960" bestFit="1" customWidth="1"/>
    <col min="14095" max="14336" width="9" style="2960"/>
    <col min="14337" max="14337" width="7.375" style="2960" customWidth="1"/>
    <col min="14338" max="14338" width="25.625" style="2960" customWidth="1"/>
    <col min="14339" max="14339" width="9.75" style="2960" customWidth="1"/>
    <col min="14340" max="14340" width="19.75" style="2960" bestFit="1" customWidth="1"/>
    <col min="14341" max="14341" width="9.25" style="2960" customWidth="1"/>
    <col min="14342" max="14342" width="6.625" style="2960" customWidth="1"/>
    <col min="14343" max="14343" width="5.5" style="2960" bestFit="1" customWidth="1"/>
    <col min="14344" max="14344" width="16.875" style="2960" customWidth="1"/>
    <col min="14345" max="14345" width="4.875" style="2960" customWidth="1"/>
    <col min="14346" max="14346" width="21.625" style="2960" customWidth="1"/>
    <col min="14347" max="14347" width="19.125" style="2960" bestFit="1" customWidth="1"/>
    <col min="14348" max="14348" width="25.25" style="2960" customWidth="1"/>
    <col min="14349" max="14349" width="9.5" style="2960" bestFit="1" customWidth="1"/>
    <col min="14350" max="14350" width="20.5" style="2960" bestFit="1" customWidth="1"/>
    <col min="14351" max="14592" width="9" style="2960"/>
    <col min="14593" max="14593" width="7.375" style="2960" customWidth="1"/>
    <col min="14594" max="14594" width="25.625" style="2960" customWidth="1"/>
    <col min="14595" max="14595" width="9.75" style="2960" customWidth="1"/>
    <col min="14596" max="14596" width="19.75" style="2960" bestFit="1" customWidth="1"/>
    <col min="14597" max="14597" width="9.25" style="2960" customWidth="1"/>
    <col min="14598" max="14598" width="6.625" style="2960" customWidth="1"/>
    <col min="14599" max="14599" width="5.5" style="2960" bestFit="1" customWidth="1"/>
    <col min="14600" max="14600" width="16.875" style="2960" customWidth="1"/>
    <col min="14601" max="14601" width="4.875" style="2960" customWidth="1"/>
    <col min="14602" max="14602" width="21.625" style="2960" customWidth="1"/>
    <col min="14603" max="14603" width="19.125" style="2960" bestFit="1" customWidth="1"/>
    <col min="14604" max="14604" width="25.25" style="2960" customWidth="1"/>
    <col min="14605" max="14605" width="9.5" style="2960" bestFit="1" customWidth="1"/>
    <col min="14606" max="14606" width="20.5" style="2960" bestFit="1" customWidth="1"/>
    <col min="14607" max="14848" width="9" style="2960"/>
    <col min="14849" max="14849" width="7.375" style="2960" customWidth="1"/>
    <col min="14850" max="14850" width="25.625" style="2960" customWidth="1"/>
    <col min="14851" max="14851" width="9.75" style="2960" customWidth="1"/>
    <col min="14852" max="14852" width="19.75" style="2960" bestFit="1" customWidth="1"/>
    <col min="14853" max="14853" width="9.25" style="2960" customWidth="1"/>
    <col min="14854" max="14854" width="6.625" style="2960" customWidth="1"/>
    <col min="14855" max="14855" width="5.5" style="2960" bestFit="1" customWidth="1"/>
    <col min="14856" max="14856" width="16.875" style="2960" customWidth="1"/>
    <col min="14857" max="14857" width="4.875" style="2960" customWidth="1"/>
    <col min="14858" max="14858" width="21.625" style="2960" customWidth="1"/>
    <col min="14859" max="14859" width="19.125" style="2960" bestFit="1" customWidth="1"/>
    <col min="14860" max="14860" width="25.25" style="2960" customWidth="1"/>
    <col min="14861" max="14861" width="9.5" style="2960" bestFit="1" customWidth="1"/>
    <col min="14862" max="14862" width="20.5" style="2960" bestFit="1" customWidth="1"/>
    <col min="14863" max="15104" width="9" style="2960"/>
    <col min="15105" max="15105" width="7.375" style="2960" customWidth="1"/>
    <col min="15106" max="15106" width="25.625" style="2960" customWidth="1"/>
    <col min="15107" max="15107" width="9.75" style="2960" customWidth="1"/>
    <col min="15108" max="15108" width="19.75" style="2960" bestFit="1" customWidth="1"/>
    <col min="15109" max="15109" width="9.25" style="2960" customWidth="1"/>
    <col min="15110" max="15110" width="6.625" style="2960" customWidth="1"/>
    <col min="15111" max="15111" width="5.5" style="2960" bestFit="1" customWidth="1"/>
    <col min="15112" max="15112" width="16.875" style="2960" customWidth="1"/>
    <col min="15113" max="15113" width="4.875" style="2960" customWidth="1"/>
    <col min="15114" max="15114" width="21.625" style="2960" customWidth="1"/>
    <col min="15115" max="15115" width="19.125" style="2960" bestFit="1" customWidth="1"/>
    <col min="15116" max="15116" width="25.25" style="2960" customWidth="1"/>
    <col min="15117" max="15117" width="9.5" style="2960" bestFit="1" customWidth="1"/>
    <col min="15118" max="15118" width="20.5" style="2960" bestFit="1" customWidth="1"/>
    <col min="15119" max="15360" width="9" style="2960"/>
    <col min="15361" max="15361" width="7.375" style="2960" customWidth="1"/>
    <col min="15362" max="15362" width="25.625" style="2960" customWidth="1"/>
    <col min="15363" max="15363" width="9.75" style="2960" customWidth="1"/>
    <col min="15364" max="15364" width="19.75" style="2960" bestFit="1" customWidth="1"/>
    <col min="15365" max="15365" width="9.25" style="2960" customWidth="1"/>
    <col min="15366" max="15366" width="6.625" style="2960" customWidth="1"/>
    <col min="15367" max="15367" width="5.5" style="2960" bestFit="1" customWidth="1"/>
    <col min="15368" max="15368" width="16.875" style="2960" customWidth="1"/>
    <col min="15369" max="15369" width="4.875" style="2960" customWidth="1"/>
    <col min="15370" max="15370" width="21.625" style="2960" customWidth="1"/>
    <col min="15371" max="15371" width="19.125" style="2960" bestFit="1" customWidth="1"/>
    <col min="15372" max="15372" width="25.25" style="2960" customWidth="1"/>
    <col min="15373" max="15373" width="9.5" style="2960" bestFit="1" customWidth="1"/>
    <col min="15374" max="15374" width="20.5" style="2960" bestFit="1" customWidth="1"/>
    <col min="15375" max="15616" width="9" style="2960"/>
    <col min="15617" max="15617" width="7.375" style="2960" customWidth="1"/>
    <col min="15618" max="15618" width="25.625" style="2960" customWidth="1"/>
    <col min="15619" max="15619" width="9.75" style="2960" customWidth="1"/>
    <col min="15620" max="15620" width="19.75" style="2960" bestFit="1" customWidth="1"/>
    <col min="15621" max="15621" width="9.25" style="2960" customWidth="1"/>
    <col min="15622" max="15622" width="6.625" style="2960" customWidth="1"/>
    <col min="15623" max="15623" width="5.5" style="2960" bestFit="1" customWidth="1"/>
    <col min="15624" max="15624" width="16.875" style="2960" customWidth="1"/>
    <col min="15625" max="15625" width="4.875" style="2960" customWidth="1"/>
    <col min="15626" max="15626" width="21.625" style="2960" customWidth="1"/>
    <col min="15627" max="15627" width="19.125" style="2960" bestFit="1" customWidth="1"/>
    <col min="15628" max="15628" width="25.25" style="2960" customWidth="1"/>
    <col min="15629" max="15629" width="9.5" style="2960" bestFit="1" customWidth="1"/>
    <col min="15630" max="15630" width="20.5" style="2960" bestFit="1" customWidth="1"/>
    <col min="15631" max="15872" width="9" style="2960"/>
    <col min="15873" max="15873" width="7.375" style="2960" customWidth="1"/>
    <col min="15874" max="15874" width="25.625" style="2960" customWidth="1"/>
    <col min="15875" max="15875" width="9.75" style="2960" customWidth="1"/>
    <col min="15876" max="15876" width="19.75" style="2960" bestFit="1" customWidth="1"/>
    <col min="15877" max="15877" width="9.25" style="2960" customWidth="1"/>
    <col min="15878" max="15878" width="6.625" style="2960" customWidth="1"/>
    <col min="15879" max="15879" width="5.5" style="2960" bestFit="1" customWidth="1"/>
    <col min="15880" max="15880" width="16.875" style="2960" customWidth="1"/>
    <col min="15881" max="15881" width="4.875" style="2960" customWidth="1"/>
    <col min="15882" max="15882" width="21.625" style="2960" customWidth="1"/>
    <col min="15883" max="15883" width="19.125" style="2960" bestFit="1" customWidth="1"/>
    <col min="15884" max="15884" width="25.25" style="2960" customWidth="1"/>
    <col min="15885" max="15885" width="9.5" style="2960" bestFit="1" customWidth="1"/>
    <col min="15886" max="15886" width="20.5" style="2960" bestFit="1" customWidth="1"/>
    <col min="15887" max="16128" width="9" style="2960"/>
    <col min="16129" max="16129" width="7.375" style="2960" customWidth="1"/>
    <col min="16130" max="16130" width="25.625" style="2960" customWidth="1"/>
    <col min="16131" max="16131" width="9.75" style="2960" customWidth="1"/>
    <col min="16132" max="16132" width="19.75" style="2960" bestFit="1" customWidth="1"/>
    <col min="16133" max="16133" width="9.25" style="2960" customWidth="1"/>
    <col min="16134" max="16134" width="6.625" style="2960" customWidth="1"/>
    <col min="16135" max="16135" width="5.5" style="2960" bestFit="1" customWidth="1"/>
    <col min="16136" max="16136" width="16.875" style="2960" customWidth="1"/>
    <col min="16137" max="16137" width="4.875" style="2960" customWidth="1"/>
    <col min="16138" max="16138" width="21.625" style="2960" customWidth="1"/>
    <col min="16139" max="16139" width="19.125" style="2960" bestFit="1" customWidth="1"/>
    <col min="16140" max="16140" width="25.25" style="2960" customWidth="1"/>
    <col min="16141" max="16141" width="9.5" style="2960" bestFit="1" customWidth="1"/>
    <col min="16142" max="16142" width="20.5" style="2960" bestFit="1" customWidth="1"/>
    <col min="16143" max="16384" width="9" style="2960"/>
  </cols>
  <sheetData>
    <row r="1" spans="1:16" ht="31.5" customHeight="1">
      <c r="A1" s="2958"/>
      <c r="B1" s="3410" t="s">
        <v>3096</v>
      </c>
      <c r="C1" s="3411"/>
      <c r="D1" s="3411"/>
      <c r="E1" s="3411"/>
      <c r="F1" s="3411"/>
      <c r="G1" s="3411"/>
      <c r="H1" s="3411"/>
      <c r="I1" s="3411"/>
      <c r="J1" s="3411"/>
      <c r="K1" s="3411"/>
      <c r="L1" s="3411"/>
      <c r="M1" s="3411"/>
      <c r="N1" s="3411"/>
      <c r="O1" s="2959"/>
      <c r="P1" s="2959"/>
    </row>
    <row r="2" spans="1:16">
      <c r="A2" s="2961" t="s">
        <v>3097</v>
      </c>
      <c r="B2" s="2962" t="s">
        <v>3098</v>
      </c>
      <c r="C2" s="2962" t="s">
        <v>3099</v>
      </c>
      <c r="D2" s="2962" t="s">
        <v>3100</v>
      </c>
      <c r="E2" s="2962" t="s">
        <v>3101</v>
      </c>
      <c r="F2" s="2962" t="s">
        <v>3102</v>
      </c>
      <c r="G2" s="2962" t="s">
        <v>3103</v>
      </c>
      <c r="H2" s="2962" t="s">
        <v>3104</v>
      </c>
      <c r="I2" s="2962" t="s">
        <v>3105</v>
      </c>
      <c r="J2" s="2962" t="s">
        <v>3106</v>
      </c>
      <c r="K2" s="2963" t="s">
        <v>3107</v>
      </c>
      <c r="L2" s="2962" t="s">
        <v>3108</v>
      </c>
      <c r="M2" s="2962" t="s">
        <v>3109</v>
      </c>
      <c r="N2" s="2962" t="s">
        <v>3110</v>
      </c>
    </row>
    <row r="3" spans="1:16" ht="67.5">
      <c r="A3" s="3412" t="s">
        <v>3111</v>
      </c>
      <c r="B3" s="3059" t="s">
        <v>3112</v>
      </c>
      <c r="C3" s="3059">
        <v>4100</v>
      </c>
      <c r="D3" s="3412" t="s">
        <v>3076</v>
      </c>
      <c r="E3" s="3412">
        <v>36541.65</v>
      </c>
      <c r="F3" s="3412" t="s">
        <v>3113</v>
      </c>
      <c r="G3" s="3059" t="s">
        <v>3114</v>
      </c>
      <c r="H3" s="2962" t="s">
        <v>3115</v>
      </c>
      <c r="I3" s="2962" t="s">
        <v>3116</v>
      </c>
      <c r="J3" s="2962" t="s">
        <v>3117</v>
      </c>
      <c r="K3" s="2963">
        <v>3000000</v>
      </c>
      <c r="L3" s="2962" t="s">
        <v>3118</v>
      </c>
      <c r="M3" s="2962" t="s">
        <v>3119</v>
      </c>
      <c r="N3" s="2962" t="s">
        <v>3120</v>
      </c>
    </row>
    <row r="4" spans="1:16" ht="33.75">
      <c r="A4" s="3412"/>
      <c r="B4" s="3059" t="s">
        <v>3121</v>
      </c>
      <c r="C4" s="3059">
        <v>4383</v>
      </c>
      <c r="D4" s="3412"/>
      <c r="E4" s="3412"/>
      <c r="F4" s="3412"/>
      <c r="G4" s="3059" t="s">
        <v>3122</v>
      </c>
      <c r="H4" s="2962" t="s">
        <v>3123</v>
      </c>
      <c r="I4" s="2962" t="s">
        <v>3039</v>
      </c>
      <c r="J4" s="2962" t="s">
        <v>3124</v>
      </c>
      <c r="K4" s="2963">
        <v>4450000</v>
      </c>
      <c r="L4" s="2962" t="s">
        <v>3125</v>
      </c>
      <c r="M4" s="2962" t="s">
        <v>3126</v>
      </c>
      <c r="N4" s="2962" t="s">
        <v>3127</v>
      </c>
    </row>
    <row r="5" spans="1:16" ht="26.25" customHeight="1">
      <c r="A5" s="3412"/>
      <c r="B5" s="3059" t="s">
        <v>3121</v>
      </c>
      <c r="C5" s="3059">
        <v>900</v>
      </c>
      <c r="D5" s="3412"/>
      <c r="E5" s="3412"/>
      <c r="F5" s="3412"/>
      <c r="G5" s="3059"/>
      <c r="H5" s="2962" t="s">
        <v>3128</v>
      </c>
      <c r="I5" s="2962" t="s">
        <v>3129</v>
      </c>
      <c r="J5" s="2962" t="s">
        <v>3130</v>
      </c>
      <c r="K5" s="2963">
        <v>637300</v>
      </c>
      <c r="L5" s="2962" t="s">
        <v>3131</v>
      </c>
      <c r="M5" s="2962" t="s">
        <v>3132</v>
      </c>
      <c r="N5" s="2962"/>
    </row>
    <row r="6" spans="1:16" ht="67.5">
      <c r="A6" s="3412"/>
      <c r="B6" s="3059" t="s">
        <v>3133</v>
      </c>
      <c r="C6" s="3059">
        <v>4590</v>
      </c>
      <c r="D6" s="3412"/>
      <c r="E6" s="3412"/>
      <c r="F6" s="3059" t="s">
        <v>3134</v>
      </c>
      <c r="G6" s="3059" t="s">
        <v>3114</v>
      </c>
      <c r="H6" s="2962" t="s">
        <v>3135</v>
      </c>
      <c r="I6" s="2962" t="s">
        <v>3136</v>
      </c>
      <c r="J6" s="2965" t="s">
        <v>3137</v>
      </c>
      <c r="K6" s="2963">
        <v>4100000</v>
      </c>
      <c r="L6" s="2962" t="s">
        <v>3138</v>
      </c>
      <c r="M6" s="2962" t="s">
        <v>3139</v>
      </c>
      <c r="N6" s="2962" t="s">
        <v>3140</v>
      </c>
    </row>
    <row r="7" spans="1:16" s="2970" customFormat="1" ht="26.25" customHeight="1">
      <c r="A7" s="3412"/>
      <c r="B7" s="2966" t="s">
        <v>3141</v>
      </c>
      <c r="C7" s="3064">
        <v>5000</v>
      </c>
      <c r="D7" s="3412"/>
      <c r="E7" s="3412"/>
      <c r="F7" s="3064" t="s">
        <v>3142</v>
      </c>
      <c r="G7" s="2966" t="s">
        <v>3143</v>
      </c>
      <c r="H7" s="2968" t="s">
        <v>3144</v>
      </c>
      <c r="I7" s="2968" t="s">
        <v>3145</v>
      </c>
      <c r="J7" s="2968"/>
      <c r="K7" s="2969">
        <v>3600000</v>
      </c>
      <c r="L7" s="2968"/>
      <c r="M7" s="2966">
        <v>0</v>
      </c>
      <c r="N7" s="2968"/>
    </row>
    <row r="8" spans="1:16" ht="26.25" customHeight="1">
      <c r="A8" s="3412" t="s">
        <v>3079</v>
      </c>
      <c r="B8" s="3059" t="s">
        <v>3146</v>
      </c>
      <c r="C8" s="3059">
        <v>2952.45</v>
      </c>
      <c r="D8" s="3412"/>
      <c r="E8" s="3412"/>
      <c r="F8" s="3412" t="s">
        <v>3147</v>
      </c>
      <c r="G8" s="3059" t="s">
        <v>3148</v>
      </c>
      <c r="H8" s="2962" t="s">
        <v>3149</v>
      </c>
      <c r="I8" s="2962" t="s">
        <v>3039</v>
      </c>
      <c r="J8" s="2962" t="s">
        <v>3150</v>
      </c>
      <c r="K8" s="2963">
        <v>3234000</v>
      </c>
      <c r="L8" s="2962" t="s">
        <v>3151</v>
      </c>
      <c r="M8" s="2962">
        <v>0</v>
      </c>
      <c r="N8" s="2962" t="s">
        <v>3152</v>
      </c>
    </row>
    <row r="9" spans="1:16" ht="26.25" customHeight="1">
      <c r="A9" s="3412"/>
      <c r="B9" s="3059" t="s">
        <v>3153</v>
      </c>
      <c r="C9" s="3059">
        <v>4068.25</v>
      </c>
      <c r="D9" s="3412"/>
      <c r="E9" s="3412"/>
      <c r="F9" s="3412"/>
      <c r="G9" s="3059" t="s">
        <v>3148</v>
      </c>
      <c r="H9" s="2962" t="s">
        <v>3154</v>
      </c>
      <c r="I9" s="2962" t="s">
        <v>3039</v>
      </c>
      <c r="J9" s="2962" t="s">
        <v>3155</v>
      </c>
      <c r="K9" s="2963">
        <v>3864000</v>
      </c>
      <c r="L9" s="2962" t="s">
        <v>3156</v>
      </c>
      <c r="M9" s="2962">
        <v>0</v>
      </c>
      <c r="N9" s="2962" t="s">
        <v>3157</v>
      </c>
    </row>
    <row r="10" spans="1:16" ht="26.25" customHeight="1">
      <c r="A10" s="3412"/>
      <c r="B10" s="3059" t="s">
        <v>3158</v>
      </c>
      <c r="C10" s="3059">
        <v>2485.98</v>
      </c>
      <c r="D10" s="3412"/>
      <c r="E10" s="3412"/>
      <c r="F10" s="3412" t="s">
        <v>3159</v>
      </c>
      <c r="G10" s="3059" t="s">
        <v>3148</v>
      </c>
      <c r="H10" s="2962" t="s">
        <v>3149</v>
      </c>
      <c r="I10" s="2962" t="s">
        <v>3039</v>
      </c>
      <c r="J10" s="2962" t="s">
        <v>3160</v>
      </c>
      <c r="K10" s="2963">
        <v>2982000</v>
      </c>
      <c r="L10" s="2962" t="s">
        <v>3151</v>
      </c>
      <c r="M10" s="2962">
        <v>0</v>
      </c>
      <c r="N10" s="2962" t="s">
        <v>3161</v>
      </c>
    </row>
    <row r="11" spans="1:16" ht="26.25" customHeight="1">
      <c r="A11" s="3412"/>
      <c r="B11" s="3059" t="s">
        <v>3162</v>
      </c>
      <c r="C11" s="3059">
        <v>1594.81</v>
      </c>
      <c r="D11" s="3412"/>
      <c r="E11" s="3412"/>
      <c r="F11" s="3412"/>
      <c r="G11" s="3059" t="s">
        <v>3148</v>
      </c>
      <c r="H11" s="2962" t="s">
        <v>3149</v>
      </c>
      <c r="I11" s="2962" t="s">
        <v>3039</v>
      </c>
      <c r="J11" s="2962" t="s">
        <v>3163</v>
      </c>
      <c r="K11" s="2963">
        <v>1428000</v>
      </c>
      <c r="L11" s="2962" t="s">
        <v>3164</v>
      </c>
      <c r="M11" s="2962">
        <v>0</v>
      </c>
      <c r="N11" s="2962" t="s">
        <v>3165</v>
      </c>
    </row>
    <row r="12" spans="1:16" s="2976" customFormat="1" ht="26.25" customHeight="1">
      <c r="A12" s="2971"/>
      <c r="B12" s="2972" t="s">
        <v>37</v>
      </c>
      <c r="C12" s="2973">
        <f>SUM(C3:C11)</f>
        <v>30074.49</v>
      </c>
      <c r="D12" s="2973"/>
      <c r="E12" s="2973">
        <v>36541.65</v>
      </c>
      <c r="F12" s="2973"/>
      <c r="G12" s="2972"/>
      <c r="H12" s="2974"/>
      <c r="I12" s="2974"/>
      <c r="J12" s="2974"/>
      <c r="K12" s="2975">
        <f>SUM(K3:K11)</f>
        <v>27295300</v>
      </c>
      <c r="L12" s="2974"/>
      <c r="M12" s="2972"/>
      <c r="N12" s="2974"/>
    </row>
    <row r="13" spans="1:16" ht="26.25" customHeight="1">
      <c r="A13" s="2977"/>
      <c r="B13" s="3059" t="s">
        <v>3166</v>
      </c>
      <c r="C13" s="3059">
        <v>8340.06</v>
      </c>
      <c r="D13" s="3059" t="s">
        <v>3073</v>
      </c>
      <c r="E13" s="3059">
        <v>8078.12</v>
      </c>
      <c r="F13" s="3059" t="s">
        <v>3167</v>
      </c>
      <c r="G13" s="3059" t="s">
        <v>3168</v>
      </c>
      <c r="H13" s="2962" t="s">
        <v>3169</v>
      </c>
      <c r="I13" s="2962" t="s">
        <v>3170</v>
      </c>
      <c r="J13" s="2962" t="s">
        <v>3171</v>
      </c>
      <c r="K13" s="2963">
        <v>12000000</v>
      </c>
      <c r="L13" s="2962" t="s">
        <v>3172</v>
      </c>
      <c r="M13" s="2962">
        <v>2000000</v>
      </c>
      <c r="N13" s="2962" t="s">
        <v>3173</v>
      </c>
    </row>
    <row r="14" spans="1:16" s="2981" customFormat="1" ht="26.25" customHeight="1">
      <c r="A14" s="2978"/>
      <c r="B14" s="2979" t="s">
        <v>37</v>
      </c>
      <c r="C14" s="2979">
        <f>C13</f>
        <v>8340.06</v>
      </c>
      <c r="D14" s="2979"/>
      <c r="E14" s="2979">
        <f>E13</f>
        <v>8078.12</v>
      </c>
      <c r="F14" s="2979"/>
      <c r="G14" s="2979"/>
      <c r="H14" s="2979"/>
      <c r="I14" s="2979"/>
      <c r="J14" s="2979"/>
      <c r="K14" s="2980">
        <f>K13</f>
        <v>12000000</v>
      </c>
      <c r="L14" s="2979"/>
      <c r="M14" s="2979"/>
      <c r="N14" s="2979"/>
    </row>
    <row r="15" spans="1:16" ht="26.25" customHeight="1">
      <c r="A15" s="3415" t="s">
        <v>3174</v>
      </c>
      <c r="B15" s="3058" t="s">
        <v>3175</v>
      </c>
      <c r="C15" s="3058">
        <v>1768.93</v>
      </c>
      <c r="D15" s="3408" t="s">
        <v>3176</v>
      </c>
      <c r="E15" s="3408">
        <v>15438.1</v>
      </c>
      <c r="F15" s="3408" t="s">
        <v>3177</v>
      </c>
      <c r="G15" s="3058" t="s">
        <v>3168</v>
      </c>
      <c r="H15" s="3058" t="s">
        <v>3178</v>
      </c>
      <c r="I15" s="3058" t="s">
        <v>3039</v>
      </c>
      <c r="J15" s="3058">
        <v>6.9</v>
      </c>
      <c r="K15" s="3065">
        <f>C15*J15*365</f>
        <v>4455050.2050000001</v>
      </c>
      <c r="L15" s="3058" t="s">
        <v>3131</v>
      </c>
      <c r="M15" s="3058">
        <v>0</v>
      </c>
      <c r="N15" s="2987" t="s">
        <v>3179</v>
      </c>
    </row>
    <row r="16" spans="1:16" ht="26.25" customHeight="1">
      <c r="A16" s="3415"/>
      <c r="B16" s="3058" t="s">
        <v>3180</v>
      </c>
      <c r="C16" s="3058">
        <v>1345</v>
      </c>
      <c r="D16" s="3408"/>
      <c r="E16" s="3408"/>
      <c r="F16" s="3408"/>
      <c r="G16" s="3058" t="s">
        <v>3168</v>
      </c>
      <c r="H16" s="3058" t="s">
        <v>3181</v>
      </c>
      <c r="I16" s="3058" t="s">
        <v>3039</v>
      </c>
      <c r="J16" s="3058">
        <v>7.2</v>
      </c>
      <c r="K16" s="3065">
        <f t="shared" ref="K16:K23" si="0">C16*J16*365</f>
        <v>3534660</v>
      </c>
      <c r="L16" s="3058" t="s">
        <v>3131</v>
      </c>
      <c r="M16" s="3058">
        <v>0</v>
      </c>
      <c r="N16" s="2987" t="s">
        <v>3179</v>
      </c>
    </row>
    <row r="17" spans="1:14" ht="26.25" customHeight="1">
      <c r="A17" s="3415"/>
      <c r="B17" s="3058" t="s">
        <v>3182</v>
      </c>
      <c r="C17" s="3058">
        <v>1540</v>
      </c>
      <c r="D17" s="3408"/>
      <c r="E17" s="3408"/>
      <c r="F17" s="3408"/>
      <c r="G17" s="3058" t="s">
        <v>3168</v>
      </c>
      <c r="H17" s="3058" t="s">
        <v>3183</v>
      </c>
      <c r="I17" s="3058" t="s">
        <v>3039</v>
      </c>
      <c r="J17" s="3058">
        <v>7.2</v>
      </c>
      <c r="K17" s="3065">
        <f t="shared" si="0"/>
        <v>4047120</v>
      </c>
      <c r="L17" s="3058" t="s">
        <v>3131</v>
      </c>
      <c r="M17" s="3058">
        <v>0</v>
      </c>
      <c r="N17" s="2987" t="s">
        <v>3184</v>
      </c>
    </row>
    <row r="18" spans="1:14" ht="26.25" customHeight="1">
      <c r="A18" s="3415"/>
      <c r="B18" s="3058" t="s">
        <v>3185</v>
      </c>
      <c r="C18" s="3058">
        <v>1450</v>
      </c>
      <c r="D18" s="3408"/>
      <c r="E18" s="3408"/>
      <c r="F18" s="3408"/>
      <c r="G18" s="3058" t="s">
        <v>3168</v>
      </c>
      <c r="H18" s="3058" t="s">
        <v>3186</v>
      </c>
      <c r="I18" s="3058" t="s">
        <v>3039</v>
      </c>
      <c r="J18" s="3058">
        <v>7.2</v>
      </c>
      <c r="K18" s="3065">
        <f t="shared" si="0"/>
        <v>3810600</v>
      </c>
      <c r="L18" s="3058" t="s">
        <v>3131</v>
      </c>
      <c r="M18" s="3058">
        <v>0</v>
      </c>
      <c r="N18" s="2987" t="s">
        <v>3184</v>
      </c>
    </row>
    <row r="19" spans="1:14" ht="26.25" customHeight="1">
      <c r="A19" s="3415"/>
      <c r="B19" s="3058" t="s">
        <v>3187</v>
      </c>
      <c r="C19" s="3058">
        <v>1780</v>
      </c>
      <c r="D19" s="3408"/>
      <c r="E19" s="3408"/>
      <c r="F19" s="3408"/>
      <c r="G19" s="3058" t="s">
        <v>3168</v>
      </c>
      <c r="H19" s="3058" t="s">
        <v>3188</v>
      </c>
      <c r="I19" s="3058" t="s">
        <v>3039</v>
      </c>
      <c r="J19" s="3058">
        <v>7.2</v>
      </c>
      <c r="K19" s="3065">
        <f t="shared" si="0"/>
        <v>4677840</v>
      </c>
      <c r="L19" s="3058" t="s">
        <v>3131</v>
      </c>
      <c r="M19" s="3058">
        <v>0</v>
      </c>
      <c r="N19" s="2987" t="s">
        <v>3189</v>
      </c>
    </row>
    <row r="20" spans="1:14" ht="26.25" customHeight="1">
      <c r="A20" s="3415"/>
      <c r="B20" s="2987" t="s">
        <v>3190</v>
      </c>
      <c r="C20" s="2987">
        <v>1445.67</v>
      </c>
      <c r="D20" s="3408"/>
      <c r="E20" s="3408"/>
      <c r="F20" s="3408"/>
      <c r="G20" s="3058" t="s">
        <v>3168</v>
      </c>
      <c r="H20" s="2987" t="s">
        <v>3191</v>
      </c>
      <c r="I20" s="2987" t="s">
        <v>3039</v>
      </c>
      <c r="J20" s="3058">
        <v>7.2</v>
      </c>
      <c r="K20" s="3065">
        <f t="shared" si="0"/>
        <v>3799220.7600000002</v>
      </c>
      <c r="L20" s="3058" t="s">
        <v>3131</v>
      </c>
      <c r="M20" s="2987">
        <v>0</v>
      </c>
      <c r="N20" s="2987" t="s">
        <v>3184</v>
      </c>
    </row>
    <row r="21" spans="1:14" ht="26.25" customHeight="1">
      <c r="A21" s="3415"/>
      <c r="B21" s="2987" t="s">
        <v>3192</v>
      </c>
      <c r="C21" s="2987">
        <v>1516.9</v>
      </c>
      <c r="D21" s="3408"/>
      <c r="E21" s="3408"/>
      <c r="F21" s="3408"/>
      <c r="G21" s="3058" t="s">
        <v>3168</v>
      </c>
      <c r="H21" s="2987" t="s">
        <v>3191</v>
      </c>
      <c r="I21" s="2987" t="s">
        <v>3039</v>
      </c>
      <c r="J21" s="3058">
        <v>7.2</v>
      </c>
      <c r="K21" s="3065">
        <f t="shared" si="0"/>
        <v>3986413.2</v>
      </c>
      <c r="L21" s="3058" t="s">
        <v>3131</v>
      </c>
      <c r="M21" s="2987">
        <v>0</v>
      </c>
      <c r="N21" s="2987" t="s">
        <v>3189</v>
      </c>
    </row>
    <row r="22" spans="1:14" ht="26.25" customHeight="1">
      <c r="A22" s="3415"/>
      <c r="B22" s="2987" t="s">
        <v>3193</v>
      </c>
      <c r="C22" s="2987">
        <v>1423.07</v>
      </c>
      <c r="D22" s="3408"/>
      <c r="E22" s="3408"/>
      <c r="F22" s="3408"/>
      <c r="G22" s="3058" t="s">
        <v>3168</v>
      </c>
      <c r="H22" s="2987" t="s">
        <v>3191</v>
      </c>
      <c r="I22" s="2987" t="s">
        <v>3039</v>
      </c>
      <c r="J22" s="3058">
        <v>7.2</v>
      </c>
      <c r="K22" s="3065">
        <f t="shared" si="0"/>
        <v>3739827.96</v>
      </c>
      <c r="L22" s="3058" t="s">
        <v>3131</v>
      </c>
      <c r="M22" s="2987">
        <v>0</v>
      </c>
      <c r="N22" s="2987" t="s">
        <v>3179</v>
      </c>
    </row>
    <row r="23" spans="1:14" ht="26.25" customHeight="1">
      <c r="A23" s="3415"/>
      <c r="B23" s="2987" t="s">
        <v>3194</v>
      </c>
      <c r="C23" s="2987">
        <v>938</v>
      </c>
      <c r="D23" s="3408"/>
      <c r="E23" s="3408"/>
      <c r="F23" s="3408"/>
      <c r="G23" s="3058" t="s">
        <v>3168</v>
      </c>
      <c r="H23" s="2987" t="s">
        <v>3195</v>
      </c>
      <c r="I23" s="2987" t="s">
        <v>3039</v>
      </c>
      <c r="J23" s="3058">
        <v>8.9</v>
      </c>
      <c r="K23" s="3065">
        <f t="shared" si="0"/>
        <v>3047093.0000000005</v>
      </c>
      <c r="L23" s="3058" t="s">
        <v>3131</v>
      </c>
      <c r="M23" s="2987">
        <v>0</v>
      </c>
      <c r="N23" s="2987" t="s">
        <v>3189</v>
      </c>
    </row>
    <row r="24" spans="1:14" ht="26.25" customHeight="1">
      <c r="A24" s="2962" t="s">
        <v>3196</v>
      </c>
      <c r="B24" s="2962" t="s">
        <v>3197</v>
      </c>
      <c r="C24" s="2962">
        <v>2230.5300000000002</v>
      </c>
      <c r="D24" s="3408"/>
      <c r="E24" s="3408"/>
      <c r="F24" s="2962" t="s">
        <v>3198</v>
      </c>
      <c r="G24" s="2962" t="s">
        <v>3199</v>
      </c>
      <c r="H24" s="2962" t="s">
        <v>3200</v>
      </c>
      <c r="I24" s="2962" t="s">
        <v>3201</v>
      </c>
      <c r="J24" s="2962" t="s">
        <v>3202</v>
      </c>
      <c r="K24" s="2963">
        <v>3818820</v>
      </c>
      <c r="L24" s="2962" t="s">
        <v>3203</v>
      </c>
      <c r="M24" s="2962">
        <v>954705</v>
      </c>
      <c r="N24" s="2962" t="s">
        <v>3204</v>
      </c>
    </row>
    <row r="25" spans="1:14" ht="26.25" customHeight="1">
      <c r="A25" s="2962"/>
      <c r="B25" s="2979" t="s">
        <v>37</v>
      </c>
      <c r="C25" s="2979">
        <f>SUM(C15:C24)</f>
        <v>15438.1</v>
      </c>
      <c r="D25" s="2986">
        <f>E25-C25</f>
        <v>0</v>
      </c>
      <c r="E25" s="2986">
        <f>E15</f>
        <v>15438.1</v>
      </c>
      <c r="F25" s="2979"/>
      <c r="G25" s="2979"/>
      <c r="H25" s="2979"/>
      <c r="I25" s="2979"/>
      <c r="J25" s="2979"/>
      <c r="K25" s="2980">
        <f>SUM(K15:K24)</f>
        <v>38916645.125</v>
      </c>
      <c r="L25" s="2979"/>
      <c r="M25" s="2962"/>
      <c r="N25" s="2962"/>
    </row>
    <row r="26" spans="1:14" ht="26.25" customHeight="1">
      <c r="A26" s="2962"/>
      <c r="B26" s="2987" t="s">
        <v>3205</v>
      </c>
      <c r="C26" s="2987"/>
      <c r="D26" s="2988"/>
      <c r="E26" s="3058"/>
      <c r="F26" s="2962"/>
      <c r="G26" s="2987"/>
      <c r="H26" s="2987" t="s">
        <v>3206</v>
      </c>
      <c r="I26" s="2987"/>
      <c r="J26" s="2987"/>
      <c r="K26" s="2990">
        <v>6000000</v>
      </c>
      <c r="L26" s="2987" t="s">
        <v>3207</v>
      </c>
      <c r="M26" s="2987">
        <v>6000000</v>
      </c>
      <c r="N26" s="2987" t="s">
        <v>3208</v>
      </c>
    </row>
    <row r="27" spans="1:14" ht="26.25" customHeight="1">
      <c r="A27" s="2962"/>
      <c r="B27" s="2962" t="s">
        <v>3209</v>
      </c>
      <c r="C27" s="2962"/>
      <c r="D27" s="2962"/>
      <c r="E27" s="2962"/>
      <c r="F27" s="2962"/>
      <c r="G27" s="2962"/>
      <c r="H27" s="2962"/>
      <c r="I27" s="2962"/>
      <c r="J27" s="2962"/>
      <c r="K27" s="2963">
        <v>6000000</v>
      </c>
      <c r="L27" s="2962"/>
      <c r="M27" s="2962"/>
      <c r="N27" s="2962"/>
    </row>
    <row r="28" spans="1:14" ht="26.25" customHeight="1">
      <c r="A28" s="2961" t="s">
        <v>37</v>
      </c>
      <c r="B28" s="2991"/>
      <c r="C28" s="2987">
        <f>SUM(C7:C25)</f>
        <v>93732.3</v>
      </c>
      <c r="D28" s="2987"/>
      <c r="E28" s="2987">
        <f>E12+E14+E25</f>
        <v>60057.87</v>
      </c>
      <c r="F28" s="2987"/>
      <c r="G28" s="2991"/>
      <c r="H28" s="2991"/>
      <c r="I28" s="2991"/>
      <c r="J28" s="2991"/>
      <c r="K28" s="2990">
        <f>K12+K14+K25+K26+K27</f>
        <v>90211945.125</v>
      </c>
      <c r="L28" s="2991"/>
      <c r="M28" s="2991"/>
      <c r="N28" s="2991"/>
    </row>
    <row r="30" spans="1:14" s="2985" customFormat="1">
      <c r="K30" s="2992">
        <f>K12+K14+K24+K26+K27</f>
        <v>55114120</v>
      </c>
    </row>
  </sheetData>
  <mergeCells count="12">
    <mergeCell ref="A15:A23"/>
    <mergeCell ref="D15:D24"/>
    <mergeCell ref="E15:E24"/>
    <mergeCell ref="F15:F23"/>
    <mergeCell ref="B1:N1"/>
    <mergeCell ref="A3:A7"/>
    <mergeCell ref="D3:D11"/>
    <mergeCell ref="E3:E11"/>
    <mergeCell ref="F3:F5"/>
    <mergeCell ref="A8:A11"/>
    <mergeCell ref="F8:F9"/>
    <mergeCell ref="F10:F11"/>
  </mergeCells>
  <phoneticPr fontId="143" type="noConversion"/>
  <pageMargins left="0.75" right="0.75" top="0.98" bottom="0.98" header="0.51" footer="0.51"/>
  <pageSetup paperSize="9" scale="53"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77" t="str">
        <f>IF(项目基本情况!B9="房地产市场价值","估价结果一览表","结果表-2")</f>
        <v>结果表-2</v>
      </c>
      <c r="B1" s="3077"/>
      <c r="C1" s="3077"/>
      <c r="D1" s="3077"/>
      <c r="E1" s="3077"/>
      <c r="F1" s="3077"/>
      <c r="G1" s="3077"/>
      <c r="H1" s="3077"/>
      <c r="I1" s="3077"/>
    </row>
    <row r="2" spans="1:9" ht="30" customHeight="1" thickTop="1">
      <c r="A2" s="3078" t="s">
        <v>1640</v>
      </c>
      <c r="B2" s="3078" t="s">
        <v>1641</v>
      </c>
      <c r="C2" s="3078" t="s">
        <v>1642</v>
      </c>
      <c r="D2" s="3078" t="str">
        <f>结果表!D116</f>
        <v>出让国有建设用地使用权价值</v>
      </c>
      <c r="E2" s="3078"/>
      <c r="F2" s="3078" t="str">
        <f>结果表!F116</f>
        <v>建筑物价值</v>
      </c>
      <c r="G2" s="3078"/>
      <c r="H2" s="3078" t="str">
        <f>IF(项目基本情况!B9="房地产市场价值","房地产市场价值","房地产价值")</f>
        <v>房地产价值</v>
      </c>
      <c r="I2" s="3078"/>
    </row>
    <row r="3" spans="1:9" ht="15">
      <c r="A3" s="3079"/>
      <c r="B3" s="3079"/>
      <c r="C3" s="3079"/>
      <c r="D3" s="1046" t="s">
        <v>1637</v>
      </c>
      <c r="E3" s="1046" t="s">
        <v>1643</v>
      </c>
      <c r="F3" s="1046" t="s">
        <v>1637</v>
      </c>
      <c r="G3" s="1046" t="s">
        <v>1638</v>
      </c>
      <c r="H3" s="1046" t="s">
        <v>1637</v>
      </c>
      <c r="I3" s="1046" t="s">
        <v>1638</v>
      </c>
    </row>
    <row r="4" spans="1:9" ht="30">
      <c r="A4" s="1975" t="str">
        <f>项目基本情况!S2</f>
        <v>北京市顺义区天竺镇府前二街1号4幢等8幢房地产</v>
      </c>
      <c r="B4" s="1046">
        <f>项目基本情况!C17</f>
        <v>47850.3</v>
      </c>
      <c r="C4" s="1046">
        <f>项目基本情况!C18</f>
        <v>34445.57</v>
      </c>
      <c r="D4" s="1046">
        <f ca="1">结果表!D118</f>
        <v>47984</v>
      </c>
      <c r="E4" s="1046">
        <f ca="1">结果表!E118</f>
        <v>10028</v>
      </c>
      <c r="F4" s="1046">
        <f ca="1">结果表!F118</f>
        <v>33070</v>
      </c>
      <c r="G4" s="1046">
        <f ca="1">结果表!G118</f>
        <v>6911</v>
      </c>
      <c r="H4" s="1046">
        <f ca="1">结果表!H118</f>
        <v>81054</v>
      </c>
      <c r="I4" s="1046">
        <f ca="1">结果表!I118</f>
        <v>16939</v>
      </c>
    </row>
    <row r="5" spans="1:9" ht="30" customHeight="1">
      <c r="A5" s="3079" t="s">
        <v>1639</v>
      </c>
      <c r="B5" s="3079"/>
      <c r="C5" s="3079"/>
      <c r="D5" s="3080" t="str">
        <f ca="1">结果表!D119</f>
        <v>肆亿柒仟玖佰捌拾肆万元整</v>
      </c>
      <c r="E5" s="3080"/>
      <c r="F5" s="3080" t="str">
        <f ca="1">结果表!F119</f>
        <v>叁亿叁仟零柒拾万元整</v>
      </c>
      <c r="G5" s="3080"/>
      <c r="H5" s="3080" t="str">
        <f ca="1">结果表!H119</f>
        <v>捌亿壹仟零伍拾肆万元整</v>
      </c>
      <c r="I5" s="3080"/>
    </row>
    <row r="6" spans="1:9" ht="15.75">
      <c r="A6" s="3081" t="str">
        <f>结果表!A120</f>
        <v>估价师知悉的除抵押担保权以外的法定优先受偿款</v>
      </c>
      <c r="B6" s="3081"/>
      <c r="C6" s="3081"/>
      <c r="D6" s="3081">
        <f>结果表!D120</f>
        <v>0</v>
      </c>
      <c r="E6" s="3081"/>
      <c r="F6" s="3081"/>
      <c r="G6" s="3081"/>
      <c r="H6" s="3081"/>
      <c r="I6" s="3081"/>
    </row>
    <row r="7" spans="1:9" ht="15">
      <c r="A7" s="3079" t="s">
        <v>1639</v>
      </c>
      <c r="B7" s="3079"/>
      <c r="C7" s="3079"/>
      <c r="D7" s="3082" t="str">
        <f>结果表!D121</f>
        <v>零元整</v>
      </c>
      <c r="E7" s="3083"/>
      <c r="F7" s="3083"/>
      <c r="G7" s="3083"/>
      <c r="H7" s="3083"/>
      <c r="I7" s="3084"/>
    </row>
    <row r="8" spans="1:9" ht="15.75">
      <c r="A8" s="3081" t="str">
        <f>结果表!A122</f>
        <v/>
      </c>
      <c r="B8" s="3081"/>
      <c r="C8" s="3081"/>
      <c r="D8" s="3081" t="str">
        <f>结果表!D122</f>
        <v>——</v>
      </c>
      <c r="E8" s="3081"/>
      <c r="F8" s="3081"/>
      <c r="G8" s="3081"/>
      <c r="H8" s="3081"/>
      <c r="I8" s="3081"/>
    </row>
    <row r="9" spans="1:9" ht="15">
      <c r="A9" s="3079" t="s">
        <v>1639</v>
      </c>
      <c r="B9" s="3079"/>
      <c r="C9" s="3079"/>
      <c r="D9" s="3080" t="e">
        <f>结果表!D123</f>
        <v>#VALUE!</v>
      </c>
      <c r="E9" s="3080"/>
      <c r="F9" s="3080"/>
      <c r="G9" s="3080"/>
      <c r="H9" s="3080"/>
      <c r="I9" s="3080"/>
    </row>
    <row r="10" spans="1:9" ht="15.75">
      <c r="A10" s="3081" t="str">
        <f>结果表!A124</f>
        <v>抵押担保权已注销时的房地产抵押价值</v>
      </c>
      <c r="B10" s="3081"/>
      <c r="C10" s="3081"/>
      <c r="D10" s="3081">
        <f ca="1">结果表!D124</f>
        <v>81054</v>
      </c>
      <c r="E10" s="3081"/>
      <c r="F10" s="3081"/>
      <c r="G10" s="3081"/>
      <c r="H10" s="3081"/>
      <c r="I10" s="3081"/>
    </row>
    <row r="11" spans="1:9" ht="15">
      <c r="A11" s="3079" t="s">
        <v>1639</v>
      </c>
      <c r="B11" s="3079"/>
      <c r="C11" s="3079"/>
      <c r="D11" s="3080" t="str">
        <f ca="1">结果表!D125</f>
        <v>捌亿壹仟零伍拾肆万元整</v>
      </c>
      <c r="E11" s="3080"/>
      <c r="F11" s="3080"/>
      <c r="G11" s="3080"/>
      <c r="H11" s="3080"/>
      <c r="I11" s="3080"/>
    </row>
    <row r="12" spans="1:9" ht="15.75">
      <c r="A12" s="3081" t="str">
        <f>结果表!A126</f>
        <v/>
      </c>
      <c r="B12" s="3081"/>
      <c r="C12" s="3081"/>
      <c r="D12" s="3081" t="str">
        <f>结果表!D126</f>
        <v>——</v>
      </c>
      <c r="E12" s="3081"/>
      <c r="F12" s="3081"/>
      <c r="G12" s="3081"/>
      <c r="H12" s="3081"/>
      <c r="I12" s="3081"/>
    </row>
    <row r="13" spans="1:9" ht="15.75" thickBot="1">
      <c r="A13" s="3085" t="s">
        <v>1639</v>
      </c>
      <c r="B13" s="3085"/>
      <c r="C13" s="3085"/>
      <c r="D13" s="3086" t="e">
        <f>结果表!D127</f>
        <v>#VALUE!</v>
      </c>
      <c r="E13" s="3086"/>
      <c r="F13" s="3086"/>
      <c r="G13" s="3086"/>
      <c r="H13" s="3086"/>
      <c r="I13" s="3086"/>
    </row>
    <row r="14" spans="1:9" ht="15" thickTop="1">
      <c r="A14" s="3087" t="s">
        <v>1644</v>
      </c>
      <c r="B14" s="3087"/>
      <c r="C14" s="3087"/>
      <c r="D14" s="3087"/>
      <c r="E14" s="3087"/>
      <c r="F14" s="3087"/>
      <c r="G14" s="3087"/>
      <c r="H14" s="3087"/>
      <c r="I14" s="3087"/>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88" t="s">
        <v>1661</v>
      </c>
      <c r="B1" s="3088"/>
      <c r="C1" s="3088"/>
      <c r="D1" s="3088"/>
    </row>
    <row r="2" spans="1:4" ht="18">
      <c r="A2" s="3089" t="s">
        <v>1645</v>
      </c>
      <c r="B2" s="3089"/>
      <c r="C2" s="3089"/>
      <c r="D2" s="3089"/>
    </row>
    <row r="3" spans="1:4" ht="18.75">
      <c r="A3" s="1979" t="s">
        <v>1646</v>
      </c>
      <c r="B3" s="1979" t="s">
        <v>1647</v>
      </c>
      <c r="C3" s="1979" t="s">
        <v>1648</v>
      </c>
      <c r="D3" s="1979" t="s">
        <v>1649</v>
      </c>
    </row>
    <row r="4" spans="1:4" ht="56.25" customHeight="1">
      <c r="A4" s="1980" t="str">
        <f>项目基本情况!B4</f>
        <v>欧红伟</v>
      </c>
      <c r="B4" s="1981">
        <f ca="1">项目基本情况!C4</f>
        <v>1120000080</v>
      </c>
      <c r="C4" s="1982"/>
      <c r="D4" s="1983" t="s">
        <v>1650</v>
      </c>
    </row>
    <row r="5" spans="1:4" ht="56.25" customHeight="1">
      <c r="A5" s="1980" t="str">
        <f>项目基本情况!D4</f>
        <v>崔锴</v>
      </c>
      <c r="B5" s="1981">
        <f ca="1">项目基本情况!E4</f>
        <v>1120100036</v>
      </c>
      <c r="C5" s="1984"/>
      <c r="D5" s="1983" t="s">
        <v>1650</v>
      </c>
    </row>
    <row r="6" spans="1:4" ht="18">
      <c r="A6" s="3089" t="s">
        <v>1651</v>
      </c>
      <c r="B6" s="3089"/>
      <c r="C6" s="3089"/>
      <c r="D6" s="3089"/>
    </row>
    <row r="7" spans="1:4" ht="18.75">
      <c r="A7" s="1979" t="s">
        <v>1646</v>
      </c>
      <c r="B7" s="1981" t="s">
        <v>1652</v>
      </c>
      <c r="C7" s="1979" t="s">
        <v>1648</v>
      </c>
      <c r="D7" s="1979" t="s">
        <v>1649</v>
      </c>
    </row>
    <row r="8" spans="1:4" ht="56.25" customHeight="1">
      <c r="A8" s="1985" t="s">
        <v>869</v>
      </c>
      <c r="B8" s="1985" t="s">
        <v>1</v>
      </c>
      <c r="C8" s="1982"/>
      <c r="D8" s="1983" t="s">
        <v>1650</v>
      </c>
    </row>
    <row r="9" spans="1:4">
      <c r="A9" s="727"/>
      <c r="B9" s="727"/>
      <c r="C9" s="727"/>
      <c r="D9" s="727"/>
    </row>
    <row r="10" spans="1:4" ht="18.75">
      <c r="A10" s="1986" t="s">
        <v>1653</v>
      </c>
      <c r="B10" s="727"/>
      <c r="C10" s="727"/>
      <c r="D10" s="727"/>
    </row>
    <row r="11" spans="1:4" ht="30" customHeight="1">
      <c r="A11" s="3090" t="s">
        <v>1654</v>
      </c>
      <c r="B11" s="3091"/>
      <c r="C11" s="3091"/>
      <c r="D11" s="3091"/>
    </row>
    <row r="12" spans="1:4" ht="15.75">
      <c r="A12" s="30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2"/>
      <c r="C12" s="3092"/>
      <c r="D12" s="3092"/>
    </row>
    <row r="13" spans="1:4" ht="30" customHeight="1">
      <c r="A13" s="30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2"/>
      <c r="C13" s="3092"/>
      <c r="D13" s="3092"/>
    </row>
    <row r="14" spans="1:4" ht="15.75" customHeight="1">
      <c r="A14" s="3091" t="str">
        <f>IF(项目基本情况!B8="抵押","4.本次评估估价师所知悉的法定优先受偿款情况说明如下：","——")</f>
        <v>4.本次评估估价师所知悉的法定优先受偿款情况说明如下：</v>
      </c>
      <c r="B14" s="3092"/>
      <c r="C14" s="3092"/>
      <c r="D14" s="3092"/>
    </row>
    <row r="15" spans="1:4" ht="42" customHeight="1">
      <c r="A15" s="3091" t="str">
        <f>IF(项目基本情况!B8="抵押","（1）"&amp;CONCATENATE(项目基本情况!L20,项目基本情况!L21,项目基本情况!L22),"——")</f>
        <v>（1）根据估价对象《房屋所有权证》复印件、《国有土地使用权》复印件，截至价值时点，估价对象已设定抵押。上述抵押权设定日期为2017年8月21日，权利人为北京银行股份有限公司怀柔支行，权利范围为，权利价值为78000。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091"/>
      <c r="C15" s="3091"/>
      <c r="D15" s="3091"/>
    </row>
    <row r="16" spans="1:4" ht="30" customHeight="1">
      <c r="A16" s="3094" t="s">
        <v>1655</v>
      </c>
      <c r="B16" s="3094"/>
      <c r="C16" s="3094"/>
      <c r="D16" s="3094"/>
    </row>
    <row r="17" spans="1:4" ht="144" customHeight="1">
      <c r="A17" s="3094" t="s">
        <v>1656</v>
      </c>
      <c r="B17" s="3094"/>
      <c r="C17" s="3094"/>
      <c r="D17" s="3094"/>
    </row>
    <row r="18" spans="1:4" ht="15.75" customHeight="1">
      <c r="A18" s="3091" t="str">
        <f>IF(项目基本情况!B8="抵押",结果表!K120,"——")</f>
        <v>故，本次评估不存在估价师知悉的除抵押担保权以外的法定优先受偿款</v>
      </c>
      <c r="B18" s="3091"/>
      <c r="C18" s="3091"/>
      <c r="D18" s="3091"/>
    </row>
    <row r="19" spans="1:4" ht="46.5" customHeight="1">
      <c r="A19" s="30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1"/>
      <c r="C19" s="3091"/>
      <c r="D19" s="3091"/>
    </row>
    <row r="20" spans="1:4" ht="57.75" customHeight="1">
      <c r="A20" s="30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1"/>
      <c r="C20" s="3091"/>
      <c r="D20" s="3091"/>
    </row>
    <row r="21" spans="1:4" ht="57.75" customHeight="1">
      <c r="A21" s="30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5"/>
      <c r="C21" s="3095"/>
      <c r="D21" s="3095"/>
    </row>
    <row r="22" spans="1:4" ht="18.75" customHeight="1">
      <c r="A22" s="3096" t="s">
        <v>1657</v>
      </c>
      <c r="B22" s="3096"/>
      <c r="C22" s="3096"/>
      <c r="D22" s="3096"/>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93">
        <v>42551</v>
      </c>
      <c r="D31" s="309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102" t="s">
        <v>1668</v>
      </c>
      <c r="B15" s="3097" t="s">
        <v>136</v>
      </c>
      <c r="C15" s="3098"/>
    </row>
    <row r="16" spans="1:7" ht="13.5">
      <c r="A16" s="3103"/>
      <c r="B16" s="3097" t="s">
        <v>69</v>
      </c>
      <c r="C16" s="3098"/>
    </row>
    <row r="17" spans="1:3" ht="13.5">
      <c r="A17" s="3103"/>
      <c r="B17" s="3100" t="s">
        <v>1669</v>
      </c>
      <c r="C17" s="2002" t="s">
        <v>1668</v>
      </c>
    </row>
    <row r="18" spans="1:3" ht="13.5">
      <c r="A18" s="3103"/>
      <c r="B18" s="3100"/>
      <c r="C18" s="2002" t="s">
        <v>1670</v>
      </c>
    </row>
    <row r="19" spans="1:3" ht="13.5">
      <c r="A19" s="3103"/>
      <c r="B19" s="3100"/>
      <c r="C19" s="2002" t="s">
        <v>1671</v>
      </c>
    </row>
    <row r="20" spans="1:3" ht="13.5">
      <c r="A20" s="3104"/>
      <c r="B20" s="3099" t="s">
        <v>1672</v>
      </c>
      <c r="C20" s="3098"/>
    </row>
    <row r="21" spans="1:3" ht="13.5">
      <c r="A21" s="2003" t="s">
        <v>1673</v>
      </c>
      <c r="B21" s="2004"/>
      <c r="C21" s="2005"/>
    </row>
    <row r="22" spans="1:3" ht="13.5">
      <c r="A22" s="3101" t="s">
        <v>1674</v>
      </c>
      <c r="B22" s="3099" t="s">
        <v>1675</v>
      </c>
      <c r="C22" s="3098"/>
    </row>
    <row r="23" spans="1:3" ht="13.5">
      <c r="A23" s="3101"/>
      <c r="B23" s="3099" t="s">
        <v>1676</v>
      </c>
      <c r="C23" s="3098"/>
    </row>
    <row r="24" spans="1:3" ht="13.5">
      <c r="A24" s="3101"/>
      <c r="B24" s="3099" t="s">
        <v>1677</v>
      </c>
      <c r="C24" s="3098"/>
    </row>
    <row r="25" spans="1:3" ht="13.5">
      <c r="A25" s="3101"/>
      <c r="B25" s="3100" t="s">
        <v>1678</v>
      </c>
      <c r="C25" s="2002" t="s">
        <v>1679</v>
      </c>
    </row>
    <row r="26" spans="1:3" ht="13.5">
      <c r="A26" s="3101"/>
      <c r="B26" s="3100"/>
      <c r="C26" s="2002" t="s">
        <v>1680</v>
      </c>
    </row>
    <row r="27" spans="1:3" ht="13.5">
      <c r="A27" s="3101"/>
      <c r="B27" s="3100"/>
      <c r="C27" s="2002" t="s">
        <v>1681</v>
      </c>
    </row>
    <row r="28" spans="1:3" ht="13.5">
      <c r="A28" s="3101"/>
      <c r="B28" s="3100"/>
      <c r="C28" s="2002" t="s">
        <v>1682</v>
      </c>
    </row>
    <row r="29" spans="1:3" ht="13.5">
      <c r="A29" s="3101"/>
      <c r="B29" s="3100"/>
      <c r="C29" s="2002" t="s">
        <v>1683</v>
      </c>
    </row>
    <row r="30" spans="1:3" ht="13.5">
      <c r="A30" s="3101"/>
      <c r="B30" s="3100"/>
      <c r="C30" s="2002" t="s">
        <v>1684</v>
      </c>
    </row>
    <row r="31" spans="1:3" ht="13.5">
      <c r="A31" s="3101"/>
      <c r="B31" s="3100"/>
      <c r="C31" s="2002" t="s">
        <v>1685</v>
      </c>
    </row>
    <row r="32" spans="1:3" ht="13.5">
      <c r="A32" s="3101"/>
      <c r="B32" s="3100"/>
      <c r="C32" s="2002" t="s">
        <v>1686</v>
      </c>
    </row>
    <row r="33" spans="1:3" ht="13.5">
      <c r="A33" s="3101"/>
      <c r="B33" s="3100"/>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43117</v>
      </c>
      <c r="C2" s="1021" t="s">
        <v>826</v>
      </c>
      <c r="D2" s="1021"/>
    </row>
    <row r="3" spans="1:6" ht="24" customHeight="1">
      <c r="A3" s="1022" t="s">
        <v>827</v>
      </c>
      <c r="B3" s="1023" t="s">
        <v>828</v>
      </c>
      <c r="C3" s="2347" t="s">
        <v>829</v>
      </c>
      <c r="D3" s="2350" t="s">
        <v>830</v>
      </c>
      <c r="E3" s="1024" t="s">
        <v>831</v>
      </c>
      <c r="F3" s="1023" t="s">
        <v>829</v>
      </c>
    </row>
    <row r="4" spans="1:6" ht="24" customHeight="1">
      <c r="A4" s="1704" t="s">
        <v>832</v>
      </c>
      <c r="B4" s="1024">
        <f ca="1">IF(C4&lt;B2,"已过期",1119970066)</f>
        <v>1119970066</v>
      </c>
      <c r="C4" s="2348">
        <v>43849</v>
      </c>
      <c r="D4" s="2351" t="s">
        <v>832</v>
      </c>
      <c r="E4" s="1024">
        <f ca="1">IF(F4&lt;B2,"已过期",96010014)</f>
        <v>96010014</v>
      </c>
      <c r="F4" s="1032">
        <v>47118</v>
      </c>
    </row>
    <row r="5" spans="1:6" ht="24" customHeight="1">
      <c r="A5" s="1704" t="s">
        <v>833</v>
      </c>
      <c r="B5" s="1024">
        <f ca="1">IF(C5&lt;B2,"已过期",1119970074)</f>
        <v>1119970074</v>
      </c>
      <c r="C5" s="2348">
        <v>43849</v>
      </c>
      <c r="D5" s="2351" t="s">
        <v>833</v>
      </c>
      <c r="E5" s="1024">
        <f ca="1">IF(F5&lt;B2,"已过期",2002110027)</f>
        <v>2002110027</v>
      </c>
      <c r="F5" s="1032">
        <v>46752</v>
      </c>
    </row>
    <row r="6" spans="1:6" ht="24" customHeight="1">
      <c r="A6" s="1704" t="s">
        <v>834</v>
      </c>
      <c r="B6" s="1024">
        <f ca="1">IF(C6&lt;B2,"已过期",1119970111)</f>
        <v>1119970111</v>
      </c>
      <c r="C6" s="2348">
        <v>43849</v>
      </c>
      <c r="D6" s="2351" t="s">
        <v>834</v>
      </c>
      <c r="E6" s="1024">
        <f ca="1">IF(F6&lt;B2,"已过期",94010078)</f>
        <v>94010078</v>
      </c>
      <c r="F6" s="1032">
        <v>46387</v>
      </c>
    </row>
    <row r="7" spans="1:6" ht="24" customHeight="1">
      <c r="A7" s="1704" t="s">
        <v>835</v>
      </c>
      <c r="B7" s="1024">
        <f ca="1">IF(C7&lt;B2,"已过期",1120050019)</f>
        <v>1120050019</v>
      </c>
      <c r="C7" s="2348">
        <v>43359</v>
      </c>
      <c r="D7" s="2351" t="s">
        <v>835</v>
      </c>
      <c r="E7" s="1024">
        <f ca="1">IF(F7&lt;B2,"已过期",2002110030)</f>
        <v>2002110030</v>
      </c>
      <c r="F7" s="1032">
        <v>46387</v>
      </c>
    </row>
    <row r="8" spans="1:6" ht="24" customHeight="1">
      <c r="A8" s="1704" t="s">
        <v>836</v>
      </c>
      <c r="B8" s="1024">
        <f ca="1">IF(C8&lt;B2,"已过期",1120000080)</f>
        <v>1120000080</v>
      </c>
      <c r="C8" s="2348">
        <v>43849</v>
      </c>
      <c r="D8" s="2351" t="s">
        <v>836</v>
      </c>
      <c r="E8" s="1024">
        <f ca="1">IF(F8&lt;B2,"已过期",2000110082)</f>
        <v>2000110082</v>
      </c>
      <c r="F8" s="1032">
        <v>46387</v>
      </c>
    </row>
    <row r="9" spans="1:6" ht="24" customHeight="1">
      <c r="A9" s="1704" t="s">
        <v>837</v>
      </c>
      <c r="B9" s="1024">
        <f ca="1">IF(C9&lt;B2,"已过期",1419970001)</f>
        <v>1419970001</v>
      </c>
      <c r="C9" s="2348">
        <v>43867</v>
      </c>
      <c r="D9" s="2351" t="s">
        <v>837</v>
      </c>
      <c r="E9" s="1024">
        <f ca="1">IF(F9&lt;B2,"已过期",2002110125)</f>
        <v>2002110125</v>
      </c>
      <c r="F9" s="1032">
        <v>47118</v>
      </c>
    </row>
    <row r="10" spans="1:6" ht="24" customHeight="1">
      <c r="A10" s="1704" t="s">
        <v>838</v>
      </c>
      <c r="B10" s="1024">
        <f ca="1">IF(C10&lt;B2,"已过期",1120060040)</f>
        <v>1120060040</v>
      </c>
      <c r="C10" s="2348">
        <v>43483</v>
      </c>
      <c r="D10" s="2351" t="s">
        <v>838</v>
      </c>
      <c r="E10" s="1024">
        <f ca="1">IF(F10&lt;B2,"已过期",2004110096)</f>
        <v>2004110096</v>
      </c>
      <c r="F10" s="1032">
        <v>47118</v>
      </c>
    </row>
    <row r="11" spans="1:6" ht="24" customHeight="1">
      <c r="A11" s="1704" t="s">
        <v>839</v>
      </c>
      <c r="B11" s="1024">
        <f ca="1">IF(C11&lt;B2,"已过期",1120100036)</f>
        <v>1120100036</v>
      </c>
      <c r="C11" s="2348">
        <v>43622</v>
      </c>
      <c r="D11" s="2351" t="s">
        <v>839</v>
      </c>
      <c r="E11" s="1024">
        <f ca="1">IF(F11&lt;B2,"已过期",2010110070)</f>
        <v>2010110070</v>
      </c>
      <c r="F11" s="1032">
        <v>47907</v>
      </c>
    </row>
    <row r="12" spans="1:6" ht="24" customHeight="1">
      <c r="A12" s="1704"/>
      <c r="B12" s="1024"/>
      <c r="C12" s="2348"/>
      <c r="D12" s="2351"/>
      <c r="E12" s="1024"/>
      <c r="F12" s="1024"/>
    </row>
    <row r="13" spans="1:6" ht="24" customHeight="1">
      <c r="A13" s="1704" t="s">
        <v>840</v>
      </c>
      <c r="B13" s="1024">
        <f ca="1">IF(C13&lt;B2,"已过期",1120070131)</f>
        <v>1120070131</v>
      </c>
      <c r="C13" s="2348">
        <v>43814</v>
      </c>
      <c r="D13" s="2351" t="s">
        <v>840</v>
      </c>
      <c r="E13" s="1024">
        <v>2014110011</v>
      </c>
      <c r="F13" s="1032">
        <v>49302</v>
      </c>
    </row>
    <row r="14" spans="1:6" ht="24" customHeight="1">
      <c r="A14" s="1704" t="s">
        <v>841</v>
      </c>
      <c r="B14" s="1024">
        <f ca="1">IF(C14&lt;B2,"已过期",1120130020)</f>
        <v>1120130020</v>
      </c>
      <c r="C14" s="2348">
        <v>43622</v>
      </c>
      <c r="D14" s="2351"/>
      <c r="E14" s="1024"/>
      <c r="F14" s="1024"/>
    </row>
    <row r="15" spans="1:6" ht="24" customHeight="1">
      <c r="A15" s="1705" t="s">
        <v>1149</v>
      </c>
      <c r="B15" s="1024">
        <v>1120070085</v>
      </c>
      <c r="C15" s="2348">
        <v>43814</v>
      </c>
      <c r="D15" s="2352" t="s">
        <v>1149</v>
      </c>
      <c r="E15" s="1024">
        <v>2004110128</v>
      </c>
      <c r="F15" s="1025">
        <v>47118</v>
      </c>
    </row>
    <row r="16" spans="1:6" ht="24" customHeight="1">
      <c r="A16" s="1704" t="s">
        <v>842</v>
      </c>
      <c r="B16" s="1024">
        <f ca="1">IF(C16&lt;B2,"已过期",1120140022)</f>
        <v>1120140022</v>
      </c>
      <c r="C16" s="2348">
        <v>44029</v>
      </c>
      <c r="D16" s="2351" t="s">
        <v>842</v>
      </c>
      <c r="E16" s="1024">
        <f ca="1">IF(F16&lt;B2,"已过期",2008110059)</f>
        <v>2008110059</v>
      </c>
      <c r="F16" s="1032">
        <v>47177</v>
      </c>
    </row>
    <row r="17" spans="1:7" ht="24" customHeight="1">
      <c r="A17" s="1704"/>
      <c r="B17" s="1024"/>
      <c r="C17" s="2348"/>
      <c r="D17" s="2351"/>
      <c r="E17" s="1024"/>
      <c r="F17" s="1032"/>
    </row>
    <row r="18" spans="1:7" ht="24" customHeight="1">
      <c r="A18" s="1704"/>
      <c r="B18" s="1024"/>
      <c r="C18" s="2348"/>
      <c r="D18" s="2351"/>
      <c r="E18" s="1024"/>
      <c r="F18" s="1032"/>
    </row>
    <row r="19" spans="1:7" ht="24" customHeight="1">
      <c r="A19" s="1704"/>
      <c r="B19" s="1024"/>
      <c r="C19" s="2348"/>
      <c r="D19" s="2351"/>
      <c r="E19" s="1024"/>
      <c r="F19" s="1024"/>
    </row>
    <row r="20" spans="1:7" ht="24" customHeight="1">
      <c r="A20" s="1704"/>
      <c r="B20" s="1024"/>
      <c r="C20" s="2348"/>
      <c r="D20" s="2351"/>
      <c r="E20" s="1024"/>
      <c r="F20" s="1024"/>
    </row>
    <row r="21" spans="1:7" ht="24" customHeight="1">
      <c r="A21" s="1704"/>
      <c r="B21" s="1024"/>
      <c r="C21" s="2348"/>
      <c r="D21" s="2351" t="s">
        <v>843</v>
      </c>
      <c r="E21" s="1024">
        <f ca="1">IF(F21&lt;B2,"已过期",2011110090)</f>
        <v>2011110090</v>
      </c>
      <c r="F21" s="1032">
        <v>48302</v>
      </c>
    </row>
    <row r="22" spans="1:7" ht="24" customHeight="1">
      <c r="A22" s="1704" t="s">
        <v>844</v>
      </c>
      <c r="B22" s="1024">
        <f ca="1">IF(C22&lt;B2,"已过期",1120020033)</f>
        <v>1120020033</v>
      </c>
      <c r="C22" s="2348">
        <v>43304</v>
      </c>
      <c r="D22" s="2351" t="s">
        <v>844</v>
      </c>
      <c r="E22" s="1024">
        <f ca="1">IF(F22&lt;B2,"已过期",2000110137)</f>
        <v>2000110137</v>
      </c>
      <c r="F22" s="1032">
        <v>46387</v>
      </c>
    </row>
    <row r="23" spans="1:7" ht="24" customHeight="1">
      <c r="A23" s="1704" t="s">
        <v>845</v>
      </c>
      <c r="B23" s="1024">
        <f ca="1">IF(C23&lt;B2,"已过期",1120130048)</f>
        <v>1120130048</v>
      </c>
      <c r="C23" s="2348">
        <v>43686</v>
      </c>
      <c r="D23" s="2351"/>
      <c r="E23" s="1024"/>
      <c r="F23" s="1024"/>
    </row>
    <row r="24" spans="1:7" s="1026" customFormat="1" ht="24" customHeight="1">
      <c r="A24" s="1705" t="s">
        <v>1333</v>
      </c>
      <c r="B24" s="1705" t="s">
        <v>1333</v>
      </c>
      <c r="C24" s="2349" t="s">
        <v>1333</v>
      </c>
      <c r="D24" s="2352" t="s">
        <v>1333</v>
      </c>
      <c r="E24" s="1705" t="s">
        <v>1333</v>
      </c>
      <c r="F24" s="1705" t="s">
        <v>1333</v>
      </c>
    </row>
    <row r="25" spans="1:7" ht="24" customHeight="1">
      <c r="A25" s="3105" t="s">
        <v>846</v>
      </c>
      <c r="B25" s="3105"/>
      <c r="C25" s="3105"/>
      <c r="D25" s="3105"/>
      <c r="E25" s="3105"/>
      <c r="F25" s="3105"/>
      <c r="G25" s="3105"/>
    </row>
    <row r="26" spans="1:7" s="1027" customFormat="1" ht="24" customHeight="1">
      <c r="A26" s="3106" t="s">
        <v>847</v>
      </c>
      <c r="B26" s="3106"/>
      <c r="C26" s="3107"/>
      <c r="D26" s="3108" t="s">
        <v>848</v>
      </c>
      <c r="E26" s="3106"/>
      <c r="F26" s="3106"/>
    </row>
    <row r="27" spans="1:7" s="1029" customFormat="1" ht="24" customHeight="1">
      <c r="A27" s="1028" t="s">
        <v>849</v>
      </c>
      <c r="B27" s="1023" t="s">
        <v>850</v>
      </c>
      <c r="C27" s="2347" t="s">
        <v>851</v>
      </c>
      <c r="D27" s="2355" t="s">
        <v>849</v>
      </c>
      <c r="E27" s="1023" t="s">
        <v>850</v>
      </c>
      <c r="F27" s="1023" t="s">
        <v>851</v>
      </c>
    </row>
    <row r="28" spans="1:7" s="1029" customFormat="1" ht="24" customHeight="1">
      <c r="A28" s="1030" t="s">
        <v>852</v>
      </c>
      <c r="B28" s="1031" t="s">
        <v>853</v>
      </c>
      <c r="C28" s="2353">
        <v>43725</v>
      </c>
      <c r="D28" s="2356" t="s">
        <v>854</v>
      </c>
      <c r="E28" s="1030" t="s">
        <v>855</v>
      </c>
      <c r="F28" s="1060">
        <v>44377</v>
      </c>
    </row>
    <row r="29" spans="1:7" s="1029" customFormat="1" ht="24" customHeight="1">
      <c r="A29" s="1030"/>
      <c r="B29" s="1030"/>
      <c r="C29" s="2354"/>
      <c r="D29" s="2356"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成新率</vt:lpstr>
      <vt:lpstr>租赁情况</vt:lpstr>
      <vt:lpstr>剩余年限</vt:lpstr>
      <vt:lpstr>Sheet1</vt:lpstr>
      <vt:lpstr>Sheet1!Print_Area</vt:lpstr>
      <vt:lpstr>估价师及机构信息!Print_Area</vt:lpstr>
      <vt:lpstr>收益法!Print_Area</vt:lpstr>
      <vt:lpstr>'收益法 (元)'!Print_Area</vt:lpstr>
      <vt:lpstr>'数据-汇总表'!Print_Area</vt:lpstr>
      <vt:lpstr>租赁情况!Print_Area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2018-01-17T08:20:05Z</dcterms:modified>
</cp:coreProperties>
</file>